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3B33EB1-3711-C044-A2BF-498420F50C45}"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T210"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T260" i="1"/>
  <c r="BT261" i="1"/>
  <c r="BF262" i="1"/>
  <c r="BT262" i="1"/>
  <c r="BF263" i="1"/>
  <c r="BT263" i="1"/>
  <c r="BF264" i="1"/>
  <c r="BT264" i="1"/>
  <c r="BF265" i="1"/>
  <c r="BT265"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T510" i="1"/>
  <c r="BF511" i="1"/>
  <c r="BT511" i="1"/>
  <c r="BF512" i="1"/>
  <c r="BT512" i="1"/>
  <c r="BF513" i="1"/>
  <c r="BT513" i="1"/>
  <c r="BF514" i="1"/>
  <c r="BT514" i="1"/>
  <c r="BF515" i="1"/>
  <c r="BT515" i="1"/>
  <c r="BT516" i="1"/>
  <c r="BT517" i="1"/>
  <c r="BT518" i="1"/>
  <c r="BT519" i="1"/>
  <c r="BT520" i="1"/>
  <c r="BT521" i="1"/>
  <c r="BT522" i="1"/>
  <c r="BT523"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T554"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<sst xmlns="http://schemas.openxmlformats.org/spreadsheetml/2006/main" count="59833" uniqueCount="19317">
  <si>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</si>
  <si>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</si>
  <si>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</si>
  <si>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</si>
  <si>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</si>
  <si>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</si>
  <si>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</si>
  <si>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</si>
  <si>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</si>
  <si>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</si>
  <si>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</si>
  <si>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</si>
  <si>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</si>
  <si>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</si>
  <si>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</si>
  <si>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</si>
  <si>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</si>
  <si>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</si>
  <si>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</si>
  <si>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</si>
  <si>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</si>
  <si>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</si>
  <si>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</si>
  <si>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</si>
  <si>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</si>
  <si>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</si>
  <si>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</si>
  <si>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</si>
  <si>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</si>
  <si>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</si>
  <si>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</si>
  <si>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</si>
  <si>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</si>
  <si>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</si>
  <si>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</si>
  <si>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</si>
  <si>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</si>
  <si>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</si>
  <si>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</si>
  <si>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</si>
  <si>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</si>
  <si>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</si>
  <si>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</si>
  <si>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</si>
  <si>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</si>
  <si>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</si>
  <si>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</si>
  <si>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</si>
  <si>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</si>
  <si>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</si>
  <si>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</si>
  <si>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</si>
  <si>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</si>
  <si>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</si>
  <si>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</si>
  <si>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</si>
  <si>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</si>
  <si>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</si>
  <si>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</si>
  <si>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</si>
  <si>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</si>
  <si>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</si>
  <si>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</si>
  <si>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</si>
  <si>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</si>
  <si>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</si>
  <si>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</si>
  <si>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</si>
  <si>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</si>
  <si>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</si>
  <si>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</si>
  <si>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</si>
  <si>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</si>
  <si>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Suo, YH; Li, SZ; Cao, XZ</t>
  </si>
  <si>
    <t/>
  </si>
  <si>
    <t>Suo, Yanhui; Li, Sanzhong; Cao, Xianzhi</t>
  </si>
  <si>
    <t>Large-scale asymmetry in thickness of crustal accretion at the Southeast Indian Ridge due to deep mantle anomalies</t>
  </si>
  <si>
    <t>GEOLOGICAL SOCIETY OF AMERICA BULLETIN</t>
  </si>
  <si>
    <t>English</t>
  </si>
  <si>
    <t>Article</t>
  </si>
  <si>
    <t>AUSTRALIAN-ANTARCTIC DISCORDANCE; MID-ATLANTIC RIDGE; MIDOCEAN RIDGES; MAGMATIC ACCRETION; GRAVITY-ANOMALIES; SEA; BENEATH; TOPOGRAPHY; CONVECTION; MECHANISMS</t>
  </si>
  <si>
    <t>Hot mantle plumes and ancient cold slabs have been observed beneath modern midocean ridges, but their specific and detailed effects on mid-ocean ridge crustal accretion are poorly understood. The oceanic lithosphere beneath the Southeast Indian Ocean displays unique morphological, geophysical, and geochemical characteristics, which may reflect the influence of both mantle anomalies and upwelling plumes on seafloor spreading. In this study, we combined gravity-derived oceanic crustal thickness with plate tectonic reconstructions to investigate patterns of asymmetry in thickness of crust accreted at the Southeast Indian Ridge over the last 50 m.y. Our results reveal several distinct features: (1) small-scale, short-lived asymmetries in the thickness of crustal accretion of up to 0.75 km are alternatively distributed on the southern and northern flanks of the 90 degrees-120 degrees E Southeast Indian Ridge segment. These can be explained by variations in mantle depletion or mantle temperature. (2) Two large-scale, long-lived (duration of similar to 50 m.y.) asymmetries in crustal accretion of &gt;2.5 km are observed around the Kerguelen Plateau and Balleny Islands, which we attribute to excess crust from the off-axis Kerguelen and Balleny mantle plumes. (3) Two large-scale, long-lived (duration of similar to 50 m.y.) asymmetries in crustal accretion of 0.75-2.5 km are observed on the northern flank of the westernmost (70 degrees-80 degrees E) Southeast Indian Ridge and the southern flank of the eastern (120 degrees-140 degrees E) Southeast Indian Ridge segment, respectively. We attribute these to asymmetry in mantle temperature of up to 20-53 degrees C. We suggest these asymmetric temperatures across the Southeast Indian Ridge are associated with the foundered lithospheric fragments of the Indian Craton triggered by the African Large Low-Shear-Velocity Province during the breakup of Gondwanaland and an intraplate subducted slab of the Paleo-Tethys Ocean, respectively. The remnant craton fragments and subducted oceanic slab may have moved north in concert with the northward-migrating Southeast Indian Ridge beginning at 50 m.y. ago.</t>
  </si>
  <si>
    <t>[Suo, Yanhui; Li, Sanzhong; Cao, Xianzhi] Ocean Univ China, Coll Marine Geosci, Frontiers Sci Ctr Deep Ocean Multispheres &amp; Earth, MOE,Key Lab Submarine Geosci &amp; Prospecting Tech, Qingdao 266100, Peoples R China; [Suo, Yanhui; Li, Sanzhong] Qingdao Natl Lab Marine Sci &amp; Technol, Lab Marine Mineral Resources, Qingdao 266100, Peoples R China; [Cao, Xianzhi] Univ Sydney, Sch Geosci, EarthByte Grp, Sydney, NSW 2006, Australia</t>
  </si>
  <si>
    <t>Ocean University of China; Laoshan Laboratory; University of Sydney</t>
  </si>
  <si>
    <t>Suo, YH; Li, SZ (corresponding author), Ocean Univ China, Coll Marine Geosci, Frontiers Sci Ctr Deep Ocean Multispheres &amp; Earth, MOE,Key Lab Submarine Geosci &amp; Prospecting Tech, Qingdao 266100, Peoples R China.;Suo, YH; Li, SZ (corresponding author), Qingdao Natl Lab Marine Sci &amp; Technol, Lab Marine Mineral Resources, Qingdao 266100, Peoples R China.</t>
  </si>
  <si>
    <t>suoyh@ouc.edu.cn; sanzhong@ouc.edu.cn</t>
  </si>
  <si>
    <t>Li, Sanzhong/F-6111-2013</t>
  </si>
  <si>
    <t>NSFC [41876036, 91958214]</t>
  </si>
  <si>
    <t>NSFC(National Natural Science Foundation of China (NSFC))</t>
  </si>
  <si>
    <t>This work was supported by NSFC Grant nos. 41876036 and 91958214. We are grateful to Tingting Wang for providing codes of Euler rotation. We benefited from the technical assistance of Jian Lin and his group and constructive discussions and suggestions from Simon Edward Williams. Many thanks to Gillian R. Foulger, the editors, and reviewers for detailed and great reviews that helped us to improve our manuscript. Figures were drawn using the GMT software of Wessel and Smith (1998).</t>
  </si>
  <si>
    <t>GEOLOGICAL SOC AMER, INC</t>
  </si>
  <si>
    <t>BOULDER</t>
  </si>
  <si>
    <t>PO BOX 9140, BOULDER, CO 80301-9140 USA</t>
  </si>
  <si>
    <t>0016-7606</t>
  </si>
  <si>
    <t>1943-2674</t>
  </si>
  <si>
    <t>GEOL SOC AM BULL</t>
  </si>
  <si>
    <t>Geol. Soc. Am. Bull.</t>
  </si>
  <si>
    <t>MAY-JUN</t>
  </si>
  <si>
    <t>5-6</t>
  </si>
  <si>
    <t>10.1130/B35673.1</t>
  </si>
  <si>
    <t>Geosciences, Multidisciplinary</t>
  </si>
  <si>
    <t>Science Citation Index Expanded (SCI-EXPANDED)</t>
  </si>
  <si>
    <t>Geology</t>
  </si>
  <si>
    <t>SA0GS</t>
  </si>
  <si>
    <t>2024-04-21</t>
  </si>
  <si>
    <t>WOS:000648979000010</t>
  </si>
  <si>
    <t>Porter, SE; Mosley-Thompson, E; Thompson, LG; Wilson, AB</t>
  </si>
  <si>
    <t>Porter, Stacy E.; Mosley-Thompson, Ellen; Thompson, Lonnie G.; Wilson, Aaron B.</t>
  </si>
  <si>
    <t>Reconstructing an Interdecadal Pacific Oscillation Index from a Pacific Basin-Wide Collection of Ice Core Records</t>
  </si>
  <si>
    <t>JOURNAL OF CLIMATE</t>
  </si>
  <si>
    <t>Pacific Ocean; Paleoclimate; Multidecadal variability</t>
  </si>
  <si>
    <t>DECADAL CLIMATE VARIABILITY; EL-NINO-LIKE; NORTH PACIFIC; ENSO; MODULATION; TELECONNECTION; PRECIPITATION; MONSOON; AGE</t>
  </si>
  <si>
    <t>Using an assemblage of four ice cores collected around the Pacific basin, one of the first basinwide histories of Pacific climate variability has been created. This ice core-derived index of the interdecadal Pacific oscillation (IPO) incorporates ice core records from South America, the Himalayas, the Antarctic Peninsula, and northwestern North America. The reconstructed IPO is annually resolved and dates to 1450 CE. The IPO index compares well with observations during the instrumental period and with paleo-proxy assimilated datasets throughout the entire record, which indicates a robust and temporally stationary IPO signal for the last similar to 550 years. Paleoclimate reconstructions from the tropical Pacific region vary greatly during the Little Ice Age (LIA), although the reconstructed IPO index in this study suggests that the LIA was primarily defined by a weak, negative IPO phase and hence more La Nina-like conditions. Although the mean state of the tropical Pacific Ocean during the LIA remains uncertain, the reconstructed IPO reveals some interesting dynamical relationships with the intertropical convergence zone (ITCZ). In the current warm period, a positive (negative) IPO coincides with an expansion (contraction) of the seasonal latitudinal range of the ITCZ. This relationship is not stationary, however, and is virtually absent throughout the LIA, suggesting that external forcing, such as that from volcanoes and/or reduced solar irradiance, could be driving either the ITCZ shifts or the climate dominating the ice core sites used in the IPO reconstruction.</t>
  </si>
  <si>
    <t>[Porter, Stacy E.; Mosley-Thompson, Ellen; Thompson, Lonnie G.; Wilson, Aaron B.] Ohio State Univ, Byrd Polar &amp; Climate Res Ctr, Columbus, OH 43210 USA; [Mosley-Thompson, Ellen] Ohio State Univ, Dept Geog, Columbus, OH 43210 USA; [Thompson, Lonnie G.] Ohio State Univ, Sch Earth Sci, Columbus, OH 43210 USA; [Wilson, Aaron B.] Ohio State Univ, Ohio State Univ Extens, Coll Food Agr &amp; Environm Sci, Columbus, OH 43210 USA</t>
  </si>
  <si>
    <t>University System of Ohio; Ohio State University; University System of Ohio; Ohio State University; University System of Ohio; Ohio State University; University System of Ohio; Ohio State University</t>
  </si>
  <si>
    <t>Porter, SE (corresponding author), Ohio State Univ, Byrd Polar &amp; Climate Res Ctr, Columbus, OH 43210 USA.</t>
  </si>
  <si>
    <t>porter.573@osu.edu</t>
  </si>
  <si>
    <t>Porter, Stacy/0000-0002-9585-1523</t>
  </si>
  <si>
    <t>[NSF-CLD-1744067]</t>
  </si>
  <si>
    <t>We thank three anonymous reviewers for their insightful suggestions. This project was supported by NSF-CLD-1744067. PHYDA data are from http://doi.org/10.5281/zenodo.1198817.Last Millennium Reanalysis data are from the World Paleoclimatology Database from NCEI (https://www.ncdc.noaa.gov/paleo-search/study/27850).NCEP-NCAR reanalysis, GPCP, and PDSI were provided by NOAA/OAR/ESRLPhysical Sciences Laboratory in Boulder, Colorado (https://www.psl.noaa.gov).This is Byrd Polar and Climate Research Center contribution 1595.</t>
  </si>
  <si>
    <t>AMER METEOROLOGICAL SOC</t>
  </si>
  <si>
    <t>BOSTON</t>
  </si>
  <si>
    <t>45 BEACON ST, BOSTON, MA 02108-3693 USA</t>
  </si>
  <si>
    <t>0894-8755</t>
  </si>
  <si>
    <t>1520-0442</t>
  </si>
  <si>
    <t>J CLIMATE</t>
  </si>
  <si>
    <t>J. Clim.</t>
  </si>
  <si>
    <t>MAY</t>
  </si>
  <si>
    <t>10.1175/JCLI-D-20-0455.1</t>
  </si>
  <si>
    <t>Meteorology &amp; Atmospheric Sciences</t>
  </si>
  <si>
    <t>RT0IV</t>
  </si>
  <si>
    <t>WOS:000644153200007</t>
  </si>
  <si>
    <t>Jing, XW; Huang, XL; Chen, XH; Wu, DL; Pilewskie, P; Coddington, O; Richard, E</t>
  </si>
  <si>
    <t>Jing, Xianwen; Huang, Xianglei; Chen, Xiuhong; Wu, Dong L.; Pilewskie, Peter; Coddington, Odele; Richard, Erik</t>
  </si>
  <si>
    <t>Direct Influence of Solar Spectral Irradiance on the High-Latitude Surface Climate</t>
  </si>
  <si>
    <t>Atmosphere; Climate change; Climate sensitivity; Radiation budgets; Shortwave radiation; Climate models; Energy budget; balance; Sea ice</t>
  </si>
  <si>
    <t>ICE; VARIABILITY; ALBEDO; CYCLE; AMPLIFICATION; TEMPERATURE; EVOLUTION; TRENDS; WATER</t>
  </si>
  <si>
    <t>Not only total solar irradiance (TSI) but also spectral solar irradiance (SSI) matter for our climate. Different surfaces can have different reflectivity for the visible (VIS) and near-infrared (NIR). The recent NASA Total and Spectral Solar Irradiance Sensor (TSIS-1) mission has provided more accurate SSI observations than before. The TSI observed by TSIS-1 differs from the counterpart used by climate models by no more than 1 W m(-2). However, the SSI difference in a given VIS (e.g., 0.44-0.63 mu m) and NIR (e.g., 0.78-1.24 mu m) band can be as large as 4 W m(-2) with opposite signs. Using the NCAR CESM2, we study to what extent such different VIS and NIR SSI partitions can affect the simulated climate. Two sets of simulations with identical TSI are carried out, one with SSI partitioning as observed by the TSIS-1 mission and the other with what has been used in the current climate models. Due to different VIS-NIR spectral reflectance contrasts between icy (or snowy) surfaces and open water, the simulation with more SSI in the VIS has less solar absorption by the high-latitude surfaces, ending up with colder polar surface temperature and larger sea ice coverage. The difference is more prominent over the Antarctic than over the Arctic. Our results suggest that, even for the identical TSI, the surface albedo feedback can be triggered by different SSI partition between the VIS and NIR. The results underscore the importance of continuously monitoring SSI and the use of correct SSI in climate simulations.</t>
  </si>
  <si>
    <t>[Jing, Xianwen; Huang, Xianglei; Chen, Xiuhong] Univ Michigan, Dept Climate &amp; Space Sci &amp; Engn, Ann Arbor, MI 48109 USA; [Wu, Dong L.] NASA, Goddard Space Flight Ctr, Greenbelt, MD USA; [Pilewskie, Peter; Coddington, Odele; Richard, Erik] Univ Colorado, Lab Atmospher &amp; Space Phys, Boulder, CO 80309 USA</t>
  </si>
  <si>
    <t>University of Michigan System; University of Michigan; National Aeronautics &amp; Space Administration (NASA); NASA Goddard Space Flight Center; University of Colorado System; University of Colorado Boulder</t>
  </si>
  <si>
    <t>Jing, XW (corresponding author), Univ Michigan, Dept Climate &amp; Space Sci &amp; Engn, Ann Arbor, MI 48109 USA.</t>
  </si>
  <si>
    <t>xianwen@umich.edu</t>
  </si>
  <si>
    <t>Jing, Xianwen/K-3868-2019; Coddington, Odele M/F-6342-2012; Huang, Xianglei/E-6273-2018; Huang, Xianglei/G-6127-2011</t>
  </si>
  <si>
    <t>Jing, Xianwen/0000-0003-0698-4971; Coddington, Odele M/0000-0002-4338-7028; Huang, Xianglei/0000-0002-7129-614X</t>
  </si>
  <si>
    <t>NASA [80NSSC19K1098]; National Science Foundation</t>
  </si>
  <si>
    <t>NASA(National Aeronautics &amp; Space Administration (NASA)); National Science Foundation(National Science Foundation (NSF))</t>
  </si>
  <si>
    <t>The authors are thankful to two anonymous reviewers and Prof. Stephen Warren for their insightful and constructive comments, which improved the clarity of the presentation. Particularly we want to thank Prof. Warren for pointing out the ubiquitous existence of snow cover on the sea ice. The TSIS-1 SSI and TSI datasets are available from the TSIS website (https://lasp.colorado.edu/home/tsis/data/).The SSI data used by the climate modelers can be found at https://svn-ccsm-inputdata.cgd.ucar.edu/trunk/inputdata/atm/cam/solar/.The study was supported by NASA Grant 80NSSC19K1098 awarded to the University of Michigan. We would like to acknowledge high-performance computing support from Cheyenne (doi:10.5065/D6RX99HX) provided by NCAR's Computational and Information Systems Laboratory, sponsored by the National Science Foundation.</t>
  </si>
  <si>
    <t>10.1175/JCLI-D-20-0743.1</t>
  </si>
  <si>
    <t>Bronze</t>
  </si>
  <si>
    <t>WOS:000644153200024</t>
  </si>
  <si>
    <t>Fox, JM; McPhie, J; Carey, RJ; Jourdan, F; Miggins, DP</t>
  </si>
  <si>
    <t>Fox, Jodi M.; McPhie, Jocelyn; Carey, Rebecca J.; Jourdan, Fred; Miggins, Daniel P.</t>
  </si>
  <si>
    <t>Construction of an intraplate island volcano: The volcanic history of Heard Island</t>
  </si>
  <si>
    <t>BULLETIN OF VOLCANOLOGY</t>
  </si>
  <si>
    <t>Heard Island; Kerguelen; Intraplate; Volcanic island; Basalt; Geochronology</t>
  </si>
  <si>
    <t>CENTRAL KERGUELEN PLATEAU; INDIAN-OCEAN; KILAUEA VOLCANO; LAVA; GROWTH; FLOWS; EVOLUTION; RIFT</t>
  </si>
  <si>
    <t>Heard Island is a subantarctic volcanic island in the southern Indian Ocean and includes Australia's only active volcano, Big Ben (2813 m high, 18 km diameter). The most recent eruption of lava at Big Ben occurred in November 2020. Heard Island is the southernmost subaerial exposure of the Kerguelen Plateau, a mainly submerged large igneous province formed as a result of the activity of the Kerguelen plume over the last 130 Myrs. Using published and unpublished data and reports, modern satellite images, and private and public rock collections, we produced a new geological map of Heard Island supplemented by new 40Ar/39Ar isotopic ages. The volcanoes on Heard Island have been constructed on a similar to 300-m-thick platform of 10-5-Myr-old submarine volcaniclastic rocks known as the Drygalski Formation, now exposed above sea level. The Drygalski Formation is underlain by the Oligocene Laurens Peninsula Limestones. Exposed Big Ben lavas are dominated by basanite, basalt, and trachybasalt compositions. Two Big Ben lavas were dated at 11.1 +/- 1.1 ka and 23.9 +/- 2.1 ka, expanding the range of ages previously reported for nonhistorical lavas from Big Ben (356 +/- 51-33 +/- 52 ka). Sector collapse occurred on Big Ben prior to the formation of the current eruptive centre, Mawson Peak (likely after 23 +/- 16 ka). Laurens Peninsula lies to the west of Big Ben and consists of trachyte and basanite lavas and domes. Laurens Peninsula lavas have ages in the range 5.1 +/- 3.5 to 76.6 +/- 5.5 ka. Young basaltic cones are located around the coast of Heard Island and range in age from 1.9 +/- 3.8 to 13.3 +/- 4.1 ka. Heard Island is a relatively small volcanic edifice with a low average magma discharge rate (similar to 0.0002 km(3)/yr) when compared with other intraplate basaltic volcanic islands.</t>
  </si>
  <si>
    <t>[Fox, Jodi M.] Univ Tasmania, Inst Marine &amp; Antarctic Studies, Hobart, Tas, Australia; [Fox, Jodi M.; McPhie, Jocelyn; Carey, Rebecca J.] Univ Tasmania, Sch Nat Sci, Hobart, Tas, Australia; [Jourdan, Fred] Curtin Univ, Western Australian Argon Isotope Facil, Perth, WA, Australia; [Miggins, Daniel P.] Oregon State Univ, OSU Argon Geochronol Lab, Corvallis, OR 97331 USA</t>
  </si>
  <si>
    <t>University of Tasmania; University of Tasmania; Curtin University; Oregon State University</t>
  </si>
  <si>
    <t>Fox, JM (corresponding author), Univ Tasmania, Inst Marine &amp; Antarctic Studies, Hobart, Tas, Australia.;Fox, JM (corresponding author), Univ Tasmania, Sch Nat Sci, Hobart, Tas, Australia.</t>
  </si>
  <si>
    <t>Jodi.Fox@utas.edu.au</t>
  </si>
  <si>
    <t>McPhie, Jocelyn/AFK-3399-2022; Carey, Rebecca J/A-5381-2013; McPhie, Jocelyn/AAG-2101-2022</t>
  </si>
  <si>
    <t>McPhie, Jocelyn/0000-0001-9147-8592; Jourdan, Fred/0000-0001-5626-4521; Fox, Jodi/0000-0003-2493-6623</t>
  </si>
  <si>
    <t>Australian Antarctic Division - Australian Antarctic Science Program [4316]; Australian Government Research Training Program Scholarship</t>
  </si>
  <si>
    <t>Australian Antarctic Division - Australian Antarctic Science Program; Australian Government Research Training Program Scholarship(Australian GovernmentDepartment of Industry, Innovation and Science)</t>
  </si>
  <si>
    <t>This research was partly funded by the Australian Antarctic Division - Australian Antarctic Science Program Grant 4316 (JF, JM, and RC). JF was supported by an Australian Government Research Training Program Scholarship.</t>
  </si>
  <si>
    <t>SPRINGER</t>
  </si>
  <si>
    <t>NEW YORK</t>
  </si>
  <si>
    <t>ONE NEW YORK PLAZA, SUITE 4600, NEW YORK, NY, UNITED STATES</t>
  </si>
  <si>
    <t>0258-8900</t>
  </si>
  <si>
    <t>1432-0819</t>
  </si>
  <si>
    <t>B VOLCANOL</t>
  </si>
  <si>
    <t>Bull. Volcanol.</t>
  </si>
  <si>
    <t>10.1007/s00445-021-01452-5</t>
  </si>
  <si>
    <t>RU0MR</t>
  </si>
  <si>
    <t>WOS:000644846800001</t>
  </si>
  <si>
    <t>La Sorte, FA; Johnston, A; Ault, TR</t>
  </si>
  <si>
    <t>La Sorte, Frank A.; Johnston, Alison; Ault, Toby R.</t>
  </si>
  <si>
    <t>Global trends in the frequency and duration of temperature extremes</t>
  </si>
  <si>
    <t>CLIMATIC CHANGE</t>
  </si>
  <si>
    <t>Cold-air outbreaks; Climate change; Climate extremes; Detrended temperature; Heat waves; Temperature extremes</t>
  </si>
  <si>
    <t>EMPIRICAL MODE DECOMPOSITION; MARINE HEATWAVES; UNITED-STATES; HEAT WAVES; BETA REGRESSION; EVENTS; COLD; MORTALITY; CLIMATES; COMMUNITIES</t>
  </si>
  <si>
    <t>Anthropogenic climate change has affected the frequency and duration of extreme climate events, including extreme heat events (EHE) and extreme cold events (ECE). How the frequency and duration of both EHE and ECE have changed over time within both terrestrial and marine environments globally has not been fully explored. Here, we use detrended daily estimates of minimum and maximum temperature from the ERA5 reanalysis over a 70-year period (1950-2019) to estimate the daily occurrence of EHE and ECE across the globe. We measure the frequency and duration of EHE and ECE by season across years and estimate how these measures have changed over time. Frequency and duration for both EHE and ECE presented similar patterns characterized by low spatial heterogeneity and strong seasonal variation. High EHE frequency and duration occurred within the Antarctic during the austral summer and winter and within the Arctic Ocean during the boreal winter. High ECE frequency and duration occurred within the Nearctic and Palearctic during the boreal winter and the Arctic Ocean during the boreal summer. The trend analysis presented pronounced differences between frequency and duration, high spatial heterogeneity, especially within terrestrial environments, and strong seasonal variation. Positive EHE trends, primarily in duration within marine environments, occurred during the boreal summer within the mid-latitudes of the Northern Hemisphere and during the austral summer within the mid-latitudes of the Southern Hemisphere. The eastern tropical Pacific contained positive EHE and ECE trends, primary in duration during the boreal winter. Our findings emphasize the many near-term challenges that extreme temperature events are likely to pose for human and natural systems within terrestrial and marine environments, and the need to advance our understanding of the developing long-term implications of these changing dynamics as climate change progresses.</t>
  </si>
  <si>
    <t>[La Sorte, Frank A.; Johnston, Alison] Cornell Univ, Cornell Lab Ornithol, Ithaca, NY 14850 USA; [Ault, Toby R.] Cornell Univ, Dept Earth &amp; Atmospher Sci, Ithaca, NY 14853 USA</t>
  </si>
  <si>
    <t>Cornell University; Cornell University</t>
  </si>
  <si>
    <t>La Sorte, FA (corresponding author), Cornell Univ, Cornell Lab Ornithol, Ithaca, NY 14850 USA.</t>
  </si>
  <si>
    <t>fal42@cornell.edu</t>
  </si>
  <si>
    <t>La Sorte, Frank A/A-2849-2009; Johnston, Alison/N-4820-2016</t>
  </si>
  <si>
    <t>Johnston, Alison/0000-0001-8221-013X</t>
  </si>
  <si>
    <t>Wolf Creek Charitable Foundation; National Science Foundation [DBI-1939187, DEB-2017817]</t>
  </si>
  <si>
    <t>Wolf Creek Charitable Foundation; National Science Foundation(National Science Foundation (NSF))</t>
  </si>
  <si>
    <t>This research was supported by The Wolf Creek Charitable Foundation and the National Science Foundation (DBI-1939187; DEB-2017817).</t>
  </si>
  <si>
    <t>DORDRECHT</t>
  </si>
  <si>
    <t>VAN GODEWIJCKSTRAAT 30, 3311 GZ DORDRECHT, NETHERLANDS</t>
  </si>
  <si>
    <t>0165-0009</t>
  </si>
  <si>
    <t>1573-1480</t>
  </si>
  <si>
    <t>Clim. Change</t>
  </si>
  <si>
    <t>1-2</t>
  </si>
  <si>
    <t>10.1007/s10584-021-03094-0</t>
  </si>
  <si>
    <t>Environmental Sciences; Meteorology &amp; Atmospheric Sciences</t>
  </si>
  <si>
    <t>Environmental Sciences &amp; Ecology; Meteorology &amp; Atmospheric Sciences</t>
  </si>
  <si>
    <t>RX7JG</t>
  </si>
  <si>
    <t>WOS:000647395300001</t>
  </si>
  <si>
    <t>Pusz, W; Urbaniak, J</t>
  </si>
  <si>
    <t>Pusz, Wojciech; Urbaniak, Jacek</t>
  </si>
  <si>
    <t>Airborne fungi in Longyearbyen area (Svalbard, Norway) - case study</t>
  </si>
  <si>
    <t>ENVIRONMENTAL MONITORING AND ASSESSMENT</t>
  </si>
  <si>
    <t>Airborne fungi; Svalbard; Arctic; Aeromycology; Mycology</t>
  </si>
  <si>
    <t>KARKONOSZE; SPORES</t>
  </si>
  <si>
    <t>Studies on the presence of atmospheric fungi in both Arctic and Antarctic polar areas are rare, and many of them were carried out briefly. Currently, when climate change is a fact, polar areas may be subject to various changes and fluctuations, negatively affecting sensitive polar ecosystems. The paper presents the results of tests on presence of fungi in the air over 30 years after the last investigations at the Svalbard Archipelago. A total of fifteen taxa of fungi were isolated in area of Longyearbyen, the majority of which were saprotrophic fungi of the genus Cladosporium that are associated with dead organic matter. Therefore, the presence of this taxon may be a good bioindicator of changes occurring in the Arctic environment, indirectly indicating the melting of glaciers and exposing increasingly larger areas inhabited by microorganisms, including fungi, which increase in number in the air. Additionally, the number of tourists visiting Longyearbyen is increasing, which may significantly affect the number and type of fungi in the air.</t>
  </si>
  <si>
    <t>[Pusz, Wojciech] Wroclaw Univ Environm &amp; Life Sci, Div Plant Pathol &amp; Mycol, Dept Plant Protect, Grunwaldzki Sq 24a, PL-50363 Wroclaw, Poland; [Urbaniak, Jacek] Wroclaw Univ Environm &amp; Life Sci, Dept Bot &amp; Plant Ecol, Grunwaldzki Sq 24a, PL-50363 Wroclaw, Poland</t>
  </si>
  <si>
    <t>Wroclaw University of Environmental &amp; Life Sciences; Wroclaw University of Environmental &amp; Life Sciences</t>
  </si>
  <si>
    <t>Pusz, W (corresponding author), Wroclaw Univ Environm &amp; Life Sci, Div Plant Pathol &amp; Mycol, Dept Plant Protect, Grunwaldzki Sq 24a, PL-50363 Wroclaw, Poland.</t>
  </si>
  <si>
    <t>wojciech.pusz@upwr.edu.pl</t>
  </si>
  <si>
    <t>Urbaniak, Jacek/AAP-8816-2020; Pusz, Wojciech/S-7650-2016</t>
  </si>
  <si>
    <t>Urbaniak, Jacek/0000-0002-1300-0873; Pusz, Wojciech/0000-0003-1531-2739</t>
  </si>
  <si>
    <t>Minister of Science and Higher Education Strategy of Excellence-University of Research [0019/SDU/2018/18]</t>
  </si>
  <si>
    <t>Minister of Science and Higher Education Strategy of Excellence-University of Research</t>
  </si>
  <si>
    <t>The project is financed under the programme of the Minister of Science and Higher Education Strategy of Excellence-University of Research in 2018-2019 project number 0019/SDU/2018/18 in the amount of PLN 700 000.</t>
  </si>
  <si>
    <t>0167-6369</t>
  </si>
  <si>
    <t>1573-2959</t>
  </si>
  <si>
    <t>ENVIRON MONIT ASSESS</t>
  </si>
  <si>
    <t>Environ. Monit. Assess.</t>
  </si>
  <si>
    <t>10.1007/s10661-021-09090-2</t>
  </si>
  <si>
    <t>Environmental Sciences</t>
  </si>
  <si>
    <t>Environmental Sciences &amp; Ecology</t>
  </si>
  <si>
    <t>RS9HG</t>
  </si>
  <si>
    <t>hybrid, Green Published</t>
  </si>
  <si>
    <t>WOS:000644081300003</t>
  </si>
  <si>
    <t>Kong, J; Shan, LL; Zhou, C; Yao, YB; An, JC; Wang, ZM</t>
  </si>
  <si>
    <t>Kong, Jian; Shan, Lulu; Zhou, Chen; Yao, Yibin; An, Jiachun; Wang, Zemin</t>
  </si>
  <si>
    <t>An Improved Computerized Ionospheric Tomography Model Fusing 3-D Multisource Ionospheric Data Enabled Quantifying the Evolution of Magnetic Storm</t>
  </si>
  <si>
    <t>IEEE TRANSACTIONS ON GEOSCIENCE AND REMOTE SENSING</t>
  </si>
  <si>
    <t>Computerized ionospheric tomography (CIT); ionospheric disturbances; magnetic sstorm; multi-source data fusion; prompt penetration electric field (PPEF)</t>
  </si>
  <si>
    <t>ELECTRON-DENSITY; RESOLUTION; ALGORITHM; TOPSIDE; GNSS</t>
  </si>
  <si>
    <t>Global NavigationGlobal Navigation Satellite System (GNSS) ionospheric tomography is a typical ill-posed problem. Joint inversion with external observation data is one of the effective ways to mitigate the problem. In this article, by fusing 3-D multisource ionospheric data, and improving the stochastic model, an improved GNSS tomographic algorithm MFCIT [computerized ionospheric tomography (CIT) using mapping function] is presented. The accuracy of the algorithm is validated by selected data under different geomagnetic and solar conditions acquired in Europe. The results show that the estimated, statistically significant uncertainty for each of the layers is about 0.50-3.0TECU, with the largest absolute error within 6.0TECU. The advantage of the MFCIT is that it is based on the Kalman filter, which enables efficient near real-time 3-D monitoring of ionosphere. The temporal resolution can reach similar to 1 min level. Here, we apply the ionospheric tomography inversion to the magnetic storm on January 7, 2015, in the European region, and quantified the evolution of the storm. The results show that the difference of the core region between the MFCIT and CODE GIM is less than 1TECU. More importantly, during the initial phase of the storm, when the ionospheric disturbance is not evident in the single layer CODE GIM model, the MFCIT shows obvious positive disturbances in the upper ionosphere, although there is no disturbance in the F2 layer. The MFCIT further tracks the evolution of the magnetic storm that the ionospheric disturbance expands from the upper to the lower ionosphere layers, and at UT12:00, the disturbance continues to spread to the F2 layer.</t>
  </si>
  <si>
    <t>[Kong, Jian; An, Jiachun; Wang, Zemin] Wuhan Univ, Chinese Antarctic Ctr Surveying &amp; Mapping, Wuhan 430079, Peoples R China; [Shan, Lulu] Wuhan Univ, Sch Geodesy &amp; Geomat, Wuhan 430079, Peoples R China; [Zhou, Chen] Wuhan Univ, Sch Elect Informat, Dept Space Phys, Wuhan 430072, Peoples R China; [Yao, Yibin] Wuhan Univ, Minist Educ, Sch Geodesy &amp; Geomat, Key Lab Geospace Environm &amp; Geodesy, Wuhan 430079, Peoples R China; [Yao, Yibin] Collaborat Innovat Ctr Geospatial Technol, Wuhan 430079, Peoples R China</t>
  </si>
  <si>
    <t>Wuhan University; Wuhan University; Wuhan University; Wuhan University</t>
  </si>
  <si>
    <t>Yao, YB (corresponding author), Wuhan Univ, Minist Educ, Sch Geodesy &amp; Geomat, Key Lab Geospace Environm &amp; Geodesy, Wuhan 430079, Peoples R China.</t>
  </si>
  <si>
    <t>jkong@whu.edu.cn; llshan@whu.edu.cn; chenzhou@whu.edu.cn; ybyao@whu.edu.cn; jcan@whu.edu.cn; zmwang@whu.edu.cn</t>
  </si>
  <si>
    <t>; Yao, Yibin/B-1395-2013</t>
  </si>
  <si>
    <t>An, Jiachun/0000-0002-3106-0714; Shan, Lulu/0000-0002-8772-4233; Yao, Yibin/0000-0002-7723-4601</t>
  </si>
  <si>
    <t>National Natural Fund of China [41604002, 41874033]; Fundamental Research Funds for the Central Universities [2042019kf0212]; Open Research Fund of the State Key Laboratory of Information Engineering in Surveying, Mapping and Remote Sensing, Wuhan University; State Key Laboratory of Geo-Information Engineering [SKLGIE2018-M-1-2]; NERC [BIGF010001] Funding Source: UKRI</t>
  </si>
  <si>
    <t>National Natural Fund of China; Fundamental Research Funds for the Central Universities(Fundamental Research Funds for the Central Universities); Open Research Fund of the State Key Laboratory of Information Engineering in Surveying, Mapping and Remote Sensing, Wuhan University; State Key Laboratory of Geo-Information Engineering; NERC(UK Research &amp; Innovation (UKRI)Natural Environment Research Council (NERC))</t>
  </si>
  <si>
    <t>This work was supported in part by the National Natural Fund of China under Grant 41604002 and Grant 41874033, in part by the Fundamental Research Funds for the Central Universities under Grant 2042019kf0212, in part by the Open Research Fund of the State Key Laboratory of Information Engineering in Surveying, Mapping and Remote Sensing, Wuhan University, and in part by the State Key Laboratory of Geo-Information Engineering under Grant SKLGIE2018-M-1-2.</t>
  </si>
  <si>
    <t>IEEE-INST ELECTRICAL ELECTRONICS ENGINEERS INC</t>
  </si>
  <si>
    <t>PISCATAWAY</t>
  </si>
  <si>
    <t>445 HOES LANE, PISCATAWAY, NJ 08855-4141 USA</t>
  </si>
  <si>
    <t>0196-2892</t>
  </si>
  <si>
    <t>1558-0644</t>
  </si>
  <si>
    <t>IEEE T GEOSCI REMOTE</t>
  </si>
  <si>
    <t>IEEE Trans. Geosci. Remote Sensing</t>
  </si>
  <si>
    <t>10.1109/TGRS.2020.3022949</t>
  </si>
  <si>
    <t>Geochemistry &amp; Geophysics; Engineering, Electrical &amp; Electronic; Remote Sensing; Imaging Science &amp; Photographic Technology</t>
  </si>
  <si>
    <t>Geochemistry &amp; Geophysics; Engineering; Remote Sensing; Imaging Science &amp; Photographic Technology</t>
  </si>
  <si>
    <t>RQ0FT</t>
  </si>
  <si>
    <t>WOS:000642096400008</t>
  </si>
  <si>
    <t>Papa, M; Mattioli, V; Avbelj, J; Marzano, FS</t>
  </si>
  <si>
    <t>Papa, Mario; Mattioli, Vinia; Avbelj, Janja; Marzano, Frank Silvio</t>
  </si>
  <si>
    <t>Assessing the Spaceborne 183.31-GHz Radiometric Channel Geolocation Using High-Altitude Lakes, Ice Shelves, and SAR Imagery</t>
  </si>
  <si>
    <t>Image geolocation error; synthetic aperture radar (SAR) imagery; spaceborne millimeter-wave radiometers; surface landmarks</t>
  </si>
  <si>
    <t>MICROWAVE RADIATIVE-TRANSFER; CLOUDS; CONSISTENT; RETRIEVAL; ACCURACY; CRYSTALS; MISSION</t>
  </si>
  <si>
    <t>The goal of this work is to perform the geolocation error assessment of the channel imagery at 183.31 GHz of the Special Sensor Microwave Imager/Sounder (SSMIS). The frequency around 183.31 GHz still represents the highest channel frequency of current spaceborne microwave and millimeter-wave radiometers. The latter will be extended to frequencies up to 664 GHz, as in the case of EUMETSAT Ice Cloud Imager (ICI). This use of submillimeter observations unfortunately prevents a straightforward geolocation error assessment using landmarkbased techniques. We used SSMIS data at 183.31 GHz as a submillimeter proxy to identify the most suitable targets for geolocation error validation in very dry atmospheric conditions, as suggested by radiative transfer modeling. Using a yearly SSMIS data set, three candidates' landmark targets are selected: 1) highaltitude lakes and high-latitude bays using a coastline reference database and 2) Antarctic ice shelves using coastlines derived from Sentinel-1 Synthetic Aperture Radar (SAR) imagery. Data processing is carried out by using spatial cross correlation methods in the spatial frequency domain and performing a numerical sensitivity analysis to contour displacement. Cloud masking, based on a fuzzy-logic approach, is applied to automatically selected clear-air days. The results show that the average geolocation error is about 6.2 km for mountainous lakes and sea bays and 5.4 km for ice shelves, with a standard deviation of about 2.7 and 2.0 km, respectively. The results are in line with SSMIS previous estimates, whereas annual clear-air days are about 10% for mountainous lakes and sea bays and 18% for ice shelves.</t>
  </si>
  <si>
    <t>[Papa, Mario; Marzano, Frank Silvio] Sapienza Univ Roma, Dipartimento Ingn Informaz Elettron &amp; Telecomunic, I-00184 Rome, Italy; [Papa, Mario; Marzano, Frank Silvio] Univ Aquila, Ctr Excellence CETEMPS, I-67100 Laquila, Italy; [Mattioli, Vinia; Avbelj, Janja] European Org Exploitat Meteorol Satellites EUMETS, D-64295 Darmstadt, Germany</t>
  </si>
  <si>
    <t>Sapienza University Rome; University of L'Aquila; European Organisation for the Exploitation of Meteorological Satellites</t>
  </si>
  <si>
    <t>Papa, M (corresponding author), Sapienza Univ Roma, Dipartimento Ingn Informaz Elettron &amp; Telecomunic, I-00184 Rome, Italy.</t>
  </si>
  <si>
    <t>mario.papa@uniroma1.it; vinia.mattioli@eumetsat.int; janja.avbelj@eumetsat.int; frank.marzano@uniroma1.it</t>
  </si>
  <si>
    <t>Mattioli, Vinia/T-6529-2019</t>
  </si>
  <si>
    <t>Mattioli, Vinia/0000-0002-5050-494X; PAPA, Mario/0000-0002-9135-2452</t>
  </si>
  <si>
    <t>Sapienza University of Rome, Italy; European Organisation for the Exploitation of Meteorological Satellites (EUMETSAT) through the project Geolocation Assessment/validation Methods for EPS-SG ICI and MWI (GAMES) [EUM/C0/19/4600002297/VM]</t>
  </si>
  <si>
    <t>Sapienza University of Rome, Italy; European Organisation for the Exploitation of Meteorological Satellites (EUMETSAT) through the project Geolocation Assessment/validation Methods for EPS-SG ICI and MWI (GAMES)</t>
  </si>
  <si>
    <t>This work was supported in part by the Sapienza University of Rome, Italy, and in part by the European Organisation for the Exploitation of Meteorological Satellites (EUMETSAT) through the project Geolocation Assessment/validation Methods for EPS-SG ICI and MWI (GAMES) under Contract EUM/C0/19/4600002297/VM.</t>
  </si>
  <si>
    <t>10.1109/TGRS.2020.3024677</t>
  </si>
  <si>
    <t>WOS:000642096400031</t>
  </si>
  <si>
    <t>Thomson, ER; Spiegel, MP; Althuizen, IHJ; Bass, P; Chen, SL; Chmurzynski, A; Halbritter, AH; Henn, JJ; Jónsdóttir, IS; Klanderud, K; Li, YQ; Maitner, BS; Michaletz, ST; Niittynen, P; Roos, RE; Telford, RJ; Enquist, BJ; Vandvik, V; Macias-Fauria, M; Malhi, Y</t>
  </si>
  <si>
    <t>Thomson, Eleanor R.; Spiegel, Marcus P.; Althuizen, Inge H. J.; Bass, Polly; Chen, Shuli; Chmurzynski, Adam; Halbritter, Aud H.; Henn, Jonathan J.; Jonsdottir, Ingibjorg S.; Klanderud, Kari; Li, Yaoqi; Maitner, Brian S.; Michaletz, Sean T.; Niittynen, Pekka; Roos, Ruben E.; Telford, Richard J.; Enquist, Brian J.; Vandvik, Vigdis; Macias-Fauria, Marc; Malhi, Yadvinder</t>
  </si>
  <si>
    <t>Multiscale mapping of plant functional groups and plant traits in the High Arctic using field spectroscopy, UAV imagery and Sentinel-2A data</t>
  </si>
  <si>
    <t>ENVIRONMENTAL RESEARCH LETTERS</t>
  </si>
  <si>
    <t>Svalbard; functional trait; tundra; moss; shrubs; remote sensing; bird cliff</t>
  </si>
  <si>
    <t>TUNDRA VEGETATION COMMUNITIES; ANTARCTIC MOSS; SATELLITE DATA; IMAGING SPECTROSCOPY; TROPICAL FORESTS; SHRUB EXPANSION; BURN SEVERITY; LEAF; BOREAL; ALASKA</t>
  </si>
  <si>
    <t>The Arctic is warming twice as fast as the rest of the planet, leading to rapid changes in species composition and plant functional trait variation. Landscape-level maps of vegetation composition and trait distributions are required to expand spatially-limited plot studies, overcome sampling biases associated with the most accessible research areas, and create baselines from which to monitor environmental change. Unmanned aerial vehicles (UAVs) have emerged as a low-cost method to generate high-resolution imagery and bridge the gap between fine-scale field studies and lower resolution satellite analyses. Here we used field spectroscopy data (400-2500 nm) and UAV multispectral imagery to test spectral methods of species identification and plant water and chemistry retrieval near Longyearbyen, Svalbard. Using the field spectroscopy data and Random Forest analysis, we were able to distinguish eight common High Arctic plant tundra species with 74% accuracy. Using partial least squares regression (PLSR), we were able to predict corresponding water, nitrogen, phosphorus and C:N values (r (2) = 0.61-0.88, RMSEmean = 12%-64%). We developed analogous models using UAV imagery (five bands: Blue, Green, Red, Red Edge and Near-Infrared) and scaled up the results across a 450 m long nutrient gradient located underneath a seabird colony. At the UAV level, we were able to map three plant functional groups (mosses, graminoids and dwarf shrubs) at 72% accuracy and generate maps of plant chemistry. Our maps show a clear marine-derived fertility gradient, mediated by geomorphology. We used the UAV results to explore two methods of upscaling plant water content to the wider landscape using Sentinel-2A imagery. Our results are pertinent for high resolution, low-cost mapping of the Arctic.</t>
  </si>
  <si>
    <t>[Thomson, Eleanor R.; Spiegel, Marcus P.; Macias-Fauria, Marc; Malhi, Yadvinder] Univ Oxford, Sch Geog &amp; Environm, Oxford, England; [Althuizen, Inge H. J.; Halbritter, Aud H.; Telford, Richard J.; Vandvik, Vigdis] Univ Bergen, Dept Biol Sci, Bergen, Norway; [Bass, Polly] Univ Bergen, Ctr Climate Res, Bergen, Norway; [Chen, Shuli; Chmurzynski, Adam; Li, Yaoqi; Maitner, Brian S.; Enquist, Brian J.] Univ Alaska Anchorage, Matanuska Susitna Coll, Anchorage, AK USA; [Henn, Jonathan J.] Univ Arizona, Dept Ecol &amp; Evolutionary Biol, Tucson, AZ USA; [Jonsdottir, Ingibjorg S.] Univ Wisconsin, Dept Integrat Biol, Madison, WI USA; [Klanderud, Kari; Roos, Ruben E.] Univ Iceland, Fac Life &amp; Environm Sci, Reykjavik, Iceland; [Klanderud, Kari; Roos, Ruben E.] Norwegian Univ Life Sci, Fac Environm Sci &amp; Nat Resource Management, As, Norway; [Li, Yaoqi] Peking Univ, Inst Ecol, Minist Educ, Coll Urban &amp; Environm Sci, Beijing, Peoples R China; [Li, Yaoqi] Peking Univ, Coll Urban &amp; Environm Sci, Key Lab Earth Surface Proc, Minist Educ, Beijing, Peoples R China; [Michaletz, Sean T.] Univ British Columbia, Dept Bot, Vancouver, BC, Canada; [Michaletz, Sean T.] Univ British Columbia, Biodivers Res Ctr, Vancouver, BC, Canada; [Niittynen, Pekka] Univ Helsinki, Dept Geosci &amp; Geog, Helsinki, Finland; [Jonsdottir, Ingibjorg S.] Univ Ctr Svalbard, Arctic Biol, Longyearbyen, Norway</t>
  </si>
  <si>
    <t>University of Oxford; University of Bergen; University of Bergen; University of Alaska System; University of Alaska Anchorage; University of Arizona; University of Wisconsin System; University of Wisconsin Madison; University of Iceland; Norwegian University of Life Sciences; Peking University; Peking University; University of British Columbia; University of British Columbia; University of Helsinki; University Centre Svalbard (UNIS)</t>
  </si>
  <si>
    <t>Thomson, ER (corresponding author), Univ Oxford, Sch Geog &amp; Environm, Oxford, England.</t>
  </si>
  <si>
    <t>eleanor.thomson@oriel.ox.ac.uk</t>
  </si>
  <si>
    <t>Michaletz, Sean/AAO-8175-2021; Vandvik, Vigdis/C-1924-2008; Jonsdottir, Ingibjorg/L-8952-2015; Niittynen, Pekka/AFJ-8164-2022; Li, Yaoqi/IAP-1515-2023; Enquist, Brian J/B-6436-2008; Althuizen, Inge/AAO-6294-2021; Telford, Richard/AAD-2249-2019; Spiegel, Marcus/KCJ-6845-2024</t>
  </si>
  <si>
    <t>Michaletz, Sean/0000-0003-2158-6525; Vandvik, Vigdis/0000-0003-4651-4798; Jonsdottir, Ingibjorg/0000-0003-3804-7077; Niittynen, Pekka/0000-0002-7290-029X; Li, Yaoqi/0000-0001-6540-395X; Enquist, Brian J/0000-0002-6124-7096; Althuizen, Inge/0000-0003-3485-9609; Telford, Richard/0000-0001-9826-3076; Spiegel, Marcus/0000-0001-5879-5465; Maitner, Brian/0000-0002-2118-9880; Thomson, Eleanor/0000-0003-1670-8970; Henn, Jonathan/0000-0003-1551-9238; , Kari/0000-0003-1049-7025</t>
  </si>
  <si>
    <t>Norwegian Research Council INTPART Grant [274831]; SIU-foundation [UTF2013/10074, HNP-2015/10037]; Research Council of Norway Arctic Field Grant [282611, RiS: 10935]; NERC DTP award [NE/L002612/1]; Jackson Foundation; NERC IRF [NE/L011859/1]; NERC [NE/L011859/1] Funding Source: UKRI</t>
  </si>
  <si>
    <t>Norwegian Research Council INTPART Grant(Research Council of Norway); SIU-foundation; Research Council of Norway Arctic Field Grant(Research Council of Norway); NERC DTP award; Jackson Foundation; NERC IRF(UK Research &amp; Innovation (UKRI)Natural Environment Research Council (NERC)); NERC(UK Research &amp; Innovation (UKRI)Natural Environment Research Council (NERC))</t>
  </si>
  <si>
    <t>The data collection was funded by a Norwegian Research Council INTPART Grant (Project Number: 274831), two SIU-foundation projects (UTF2013/10074 and HNP-2015/10037) and a Research Council of Norway Arctic Field Grant (Project Number: 282611, RiS: 10935). E R T is funded by NERC DTP award (NE/L002612/1). Y M is supported by the Jackson Foundation. M M-F was supported by a NERC IRF (NE/L011859/1).</t>
  </si>
  <si>
    <t>IOP Publishing Ltd</t>
  </si>
  <si>
    <t>BRISTOL</t>
  </si>
  <si>
    <t>TEMPLE CIRCUS, TEMPLE WAY, BRISTOL BS1 6BE, ENGLAND</t>
  </si>
  <si>
    <t>1748-9326</t>
  </si>
  <si>
    <t>ENVIRON RES LETT</t>
  </si>
  <si>
    <t>Environ. Res. Lett.</t>
  </si>
  <si>
    <t>10.1088/1748-9326/abf464</t>
  </si>
  <si>
    <t>RQ1UC</t>
  </si>
  <si>
    <t>gold, Green Published</t>
  </si>
  <si>
    <t>WOS:000642202900001</t>
  </si>
  <si>
    <t>Zhuang, YP; Jin, HY; Cai, WJ; Li, HL; Jin, MB; Qi, D; Chen, JF</t>
  </si>
  <si>
    <t>Zhuang, Yanpei; Jin, Haiyan; Cai, Wei-Jun; Li, Hongliang; Jin, Meibing; Qi, Di; Chen, Jianfang</t>
  </si>
  <si>
    <t>Freshening leads to a three-decade trend of declining nutrients in the western Arctic Ocean</t>
  </si>
  <si>
    <t>Arctic Ocean; oligotrophication; stronger stratification; sea-ice loss; climate change</t>
  </si>
  <si>
    <t>SPATIAL-PATTERNS; PHYTOPLANKTON; ICE; DRIVEN; GYRE</t>
  </si>
  <si>
    <t>Rapid warming and sea-ice loss in the Arctic Ocean are among the most profound climatic changes to have occurred in recent decades on Earth. Arctic Ocean biological production appears that it may be increasing as a result, but the consequences for nutrient concentrations are unknown. We have assembled a collection of historical field data showing that average concentrations of the macronutrients nitrate and phosphate have decreased by 79% and 29%, respectively, in surface waters of the western Arctic Ocean basin over the past three decades. The field observations and results from numerical ocean simulations suggest that this long-term trend toward more oligotrophic (nutrient-poor) conditions is driven primarily by the compound effects of sea-ice loss: a reduced resupply of nutrients from subsurface waters (due to fresh water addition and stronger upper-ocean stratification) coincident with increased biological consumption of nutrients (due to the greater availability of light needed for photosynthesis).</t>
  </si>
  <si>
    <t>[Zhuang, Yanpei; Jin, Haiyan; Li, Hongliang; Chen, Jianfang] Minist Nat Resources, Inst Oceanog 2, Key Lab Marine Ecosyst Dynam, Hangzhou 310012, Peoples R China; [Zhuang, Yanpei; Jin, Haiyan] Southern Marine Sci &amp; Engn Guangdong Lab Zhuhai, Zhuhai 519000, Peoples R China; [Jin, Haiyan; Chen, Jianfang] Minist Nat Resources, Inst Oceanog 2, State Key Lab Satellite Ocean Environm Dynam, Hangzhou 310012, Peoples R China; [Cai, Wei-Jun] Univ Delaware, Sch Marine Sci &amp; Policy, Lewes, DE 19958 USA; [Jin, Meibing] Univ Alaska Fairbanks, Int Arctic Res Ctr, Fairbanks, AK 99775 USA; [Qi, Di] Minist Nat Resources, Inst Oceanog 3, Xiamen 361005, Peoples R China</t>
  </si>
  <si>
    <t>Ministry of Natural Resources of the People's Republic of China; Southern Marine Science &amp; Engineering Guangdong Laboratory; Southern Marine Science &amp; Engineering Guangdong Laboratory (Zhuhai); Ministry of Natural Resources of the People's Republic of China; University of Delaware; University of Alaska System; University of Alaska Fairbanks; Ministry of Natural Resources of the People's Republic of China; Third Institute of Oceanography, Ministry of Natural Resources</t>
  </si>
  <si>
    <t>Jin, HY; Chen, JF (corresponding author), Minist Nat Resources, Inst Oceanog 2, Key Lab Marine Ecosyst Dynam, Hangzhou 310012, Peoples R China.;Jin, HY (corresponding author), Southern Marine Sci &amp; Engn Guangdong Lab Zhuhai, Zhuhai 519000, Peoples R China.;Jin, HY; Chen, JF (corresponding author), Minist Nat Resources, Inst Oceanog 2, State Key Lab Satellite Ocean Environm Dynam, Hangzhou 310012, Peoples R China.</t>
  </si>
  <si>
    <t>jinhaiyan@sio.org.cn; jfchen@sio.org.cn</t>
  </si>
  <si>
    <t>CHEN, AN/KFT-3370-2024; Jiang, Cheng/JHU-0179-2023; Zhang, Han/JMR-0670-2023</t>
  </si>
  <si>
    <t>Cai, Wei-Jun/0000-0003-3606-8325; Zhuang, Yanpei/0000-0002-1409-5640</t>
  </si>
  <si>
    <t>National Natural Science Foundation of China [41941013, 41776205, 41976226, 41806222]; Scientific Research Fund of the Second Institute of Oceanography, MNR [QNYC2003]; National Key Research and Development Program of China [2019YFE0120900, 2019YFE0114800, 2019YFC1408201]; NSF [ARC0909330, PLR-1304337]</t>
  </si>
  <si>
    <t>National Natural Science Foundation of China(National Natural Science Foundation of China (NSFC)); Scientific Research Fund of the Second Institute of Oceanography, MNR; National Key Research and Development Program of China; NSF(National Science Foundation (NSF))</t>
  </si>
  <si>
    <t>We thank the World Ocean Database (www.nodc.noaa.gov/cgi-bin/OC5/WOD), the Carbon Dioxide Information Analysis Center (http://cdiac.ornl.gov/oceans/datmet.html), the Marine Network for Integrated Data Access (http://manida.awi.de/), and the Chinese National Arctic and Antarctic Data Center (www.chinare.org.cn:8000/en/index/) for their provision of the data, M Gosselin, S Lee and J Kang for sharing the primary production data, Y Bai, Y Li and J Ren for discussion, T Clayton for English editing. This work was supported by the National Natural Science Foundation of China (Grants 41941013, 41776205, 41976226, and 41806222); Scientific Research Fund of the Second Institute of Oceanography, MNR (Grant QNYC2003); National Key Research and Development Program of China (2019YFE0120900, 2019YFE0114800, and 2019YFC1408201). Cai acknowledges the support of his work by NSF ARC0909330 and PLR-1304337.</t>
  </si>
  <si>
    <t>10.1088/1748-9326/abf58b</t>
  </si>
  <si>
    <t>RX5PG</t>
  </si>
  <si>
    <t>gold</t>
  </si>
  <si>
    <t>WOS:000647275100001</t>
  </si>
  <si>
    <t>Marquart, R; Bogaers, A; Skatulla, S; Alberello, A; Toffoli, A; Schwarz, C; Vichi, M</t>
  </si>
  <si>
    <t>Marquart, Rutger; Bogaers, Alfred; Skatulla, Sebastian; Alberello, Alberto; Toffoli, Alessandro; Schwarz, Carina; Vichi, Marcello</t>
  </si>
  <si>
    <t>A Computational Fluid Dynamics Model for the Small-Scale Dynamics of Wave, Ice Floe and Interstitial Grease Ice Interaction</t>
  </si>
  <si>
    <t>FLUIDS</t>
  </si>
  <si>
    <t>sea ice dynamics; wave-ice interaction; marginal ice zone; sea ice rheology; pancake ice; grease ice</t>
  </si>
  <si>
    <t>SEA-ICE; SIZE DISTRIBUTION; ZONE; COLLISIONS</t>
  </si>
  <si>
    <t>The marginal ice zone is a highly dynamical region where sea ice and ocean waves interact. Large-scale sea ice models only compute domain-averaged responses. As the majority of the marginal ice zone consists of mobile ice floes surrounded by grease ice, finer-scale modelling is needed to resolve variations of its mechanical properties, wave-induced pressure gradients and drag forces acting on the ice floes. A novel computational fluid dynamics approach is presented that considers the heterogeneous sea ice material composition and accounts for the wave-ice interaction dynamics. Results show, after comparing three realistic sea ice layouts with similar concentration and floe diameter, that the discrepancy between the domain-averaged temporal stress and strain rate evolutions increases for decreasing wave period. Furthermore, strain rate and viscosity are mostly affected by the variability of ice floe shape and diameter.</t>
  </si>
  <si>
    <t>[Marquart, Rutger; Skatulla, Sebastian] Univ Cape Town, Dept Civil Engn, ZA-7700 Cape Town, South Africa; [Marquart, Rutger; Skatulla, Sebastian; Vichi, Marcello] Univ Cape Town, Marine &amp; Antarctic Res Ctr Innovat &amp; Sustainabil, ZA-7700 Cape Town, South Africa; [Bogaers, Alfred] Ex Mente Technol, ZA-0081 Pretoria, South Africa; [Bogaers, Alfred] Univ Witwatersrand, Sch Comp Sci &amp; Appl Math, ZA-2000 Johannesburg, South Africa; [Alberello, Alberto] Univ Tokyo, Grad Sch Frontier Sci, Tokyo 1138654, Japan; [Toffoli, Alessandro] Univ Melbourne, Dept Infrastruct Engn, Parkville, Vic 3010, Australia; [Schwarz, Carina] Univ Duisburg Essen, Inst Mech, D-47057 Duisburg, Germany; [Vichi, Marcello] Univ Cape Town, Dept Oceanog, ZA-7700 Cape Town, South Africa</t>
  </si>
  <si>
    <t>University of Cape Town; University of Cape Town; University of Witwatersrand; University of Tokyo; University of Melbourne; University of Duisburg Essen; University of Cape Town</t>
  </si>
  <si>
    <t>Marquart, R; Skatulla, S (corresponding author), Univ Cape Town, Dept Civil Engn, ZA-7700 Cape Town, South Africa.;Marquart, R; Skatulla, S (corresponding author), Univ Cape Town, Marine &amp; Antarctic Res Ctr Innovat &amp; Sustainabil, ZA-7700 Cape Town, South Africa.;Alberello, A (corresponding author), Univ Tokyo, Grad Sch Frontier Sci, Tokyo 1138654, Japan.</t>
  </si>
  <si>
    <t>mrqrut001@myuct.ac.za; alfredbogaers@gmail.com; sebastian.skatulla@uct.ac.za; alberto.alberello@outlook.com; toffoli.alessandro@gmail.com; carina.schwarz@uni-due.de; marcello.vichi@uct.ac.za</t>
  </si>
  <si>
    <t>Skatulla, Sebastian/AAU-9706-2020; Vichi, Marcello/GLR-9823-2022</t>
  </si>
  <si>
    <t>Vichi, Marcello/0000-0002-0686-9634; Bogaers, Alfred/0000-0001-6228-3155; Toffoli, Alessandro/0000-0003-3112-6856; Schwarz, Carina/0000-0001-7964-1908; Ncube, Mbongeni/0000-0003-0625-8451; Skatulla, Sebastian/0000-0003-1061-3356</t>
  </si>
  <si>
    <t>National Research Foundation of South Africa [104839, 105858, 118745]; South African National Antarctic Programme; ACE Foundation-Ferring Pharmaceuticals; Australian Antarctic Science Program [4434]; Japanese Society for the Promotion of Science [PE19055]</t>
  </si>
  <si>
    <t>National Research Foundation of South Africa(National Research Foundation - South Africa); South African National Antarctic Programme; ACE Foundation-Ferring Pharmaceuticals; Australian Antarctic Science Program; Japanese Society for the Promotion of Science(Ministry of Education, Culture, Sports, Science and Technology, Japan (MEXT)Japan Society for the Promotion of Science)</t>
  </si>
  <si>
    <t>This research has been funded by the National Research Foundation of South Africa (Grant Nos. 104839, 105858 and 118745). Opinions expressed and conclusions arrived at are those of the author and are not necessarily to be attributed to the NRF. R.M., S.S. and M.V. acknowledge support from the South African National Antarctic Programme. A.A. and A.T. acknowledge support from the ACE Foundation-Ferring Pharmaceuticals and the Australian Antarctic Science Program (project 4434). AA is supported by the Japanese Society for the Promotion of Science (PE19055).</t>
  </si>
  <si>
    <t>MDPI</t>
  </si>
  <si>
    <t>BASEL</t>
  </si>
  <si>
    <t>ST ALBAN-ANLAGE 66, CH-4052 BASEL, SWITZERLAND</t>
  </si>
  <si>
    <t>2311-5521</t>
  </si>
  <si>
    <t>Fluids</t>
  </si>
  <si>
    <t>10.3390/fluids6050176</t>
  </si>
  <si>
    <t>Mechanics; Physics, Fluids &amp; Plasmas</t>
  </si>
  <si>
    <t>Emerging Sources Citation Index (ESCI)</t>
  </si>
  <si>
    <t>Mechanics; Physics</t>
  </si>
  <si>
    <t>SH1DZ</t>
  </si>
  <si>
    <t>Green Published, Green Submitted, Green Accepted, gold</t>
  </si>
  <si>
    <t>WOS:000653877700001</t>
  </si>
  <si>
    <t>Pauthenet, E; Sallée, JB; Schmidtko, S; Nerini, D</t>
  </si>
  <si>
    <t>Pauthenet, Etienne; Sallee, Jean-Baptiste; Schmidtko, Sunke; Nerini, David</t>
  </si>
  <si>
    <t>Seasonal Variation of the Antarctic Slope Front Occurrence and Position Estimated from an Interpolated Hydrographic Climatology</t>
  </si>
  <si>
    <t>JOURNAL OF PHYSICAL OCEANOGRAPHY</t>
  </si>
  <si>
    <t>Antarctica; Southern Ocean; Fronts; In situ oceanic observations; Interpolation schemes; Principal components analysis</t>
  </si>
  <si>
    <t>SHEET MASS-LOSS; SEA-LEVEL RISE; BOTTOM WATER; CONTINENTAL-SHELF; AMUNDSEN SEA; ICE SHELVES; GLOBAL HEAT; OCEAN; VARIABILITY; DRIVEN</t>
  </si>
  <si>
    <t>The Antarctic Slope Front (ASF) is a fundamental feature of the subpolar Southern Ocean that is still poorly observed. In this study we build a statistical climatology of the temperature and salinity fields of the upper 380 m of the Antarctic margin. We use a comprehensive compilation of observational datasets including the profiles gathered by instrumented marine mammals. The mapping method consists first of a decomposition in vertical modes of the combined temperature and salinity profiles. Then the resulting principal components are optimally interpolated on a regular grid and the monthly climatological profiles are reconstructed, providing a physically plausible representation of the ocean. The ASF is located with a contour method and a gradient method applied on the temperature field, two complementary approaches that provide a complete view of the ASF structure. The front extends from the Amundsen Sea to the eastern Weddell Sea and closely tracks the continental shelf break. It is associated with a sharp temperature gradient that is stronger in winter and weaker in summer. The emergence of the front in the Amundsen and Bellingshausen sectors appears to be seasonally variable (slightly more westward in winter than in summer). Investigation of the density gradients across the shelf break indicates a winter slowdown of the baroclinic component of the Antarctic Slope Current at the near surface, in contrast with the seasonal variability of the temperature gradient.</t>
  </si>
  <si>
    <t>[Pauthenet, Etienne; Sallee, Jean-Baptiste] Sorbonne Univ, UPMC Univ Paris 06, LOCEAN IPSL, UMR 7159, Paris, France; [Schmidtko, Sunke] GEOMAR Helmholtz Ctr Ocean Res Kiel, Kiel, Germany; [Nerini, David] Aix Marseille Univ, Univ Toulon, Mediterranean Inst Oceanog, CNRS INSU,IRD,UM 110, Marseille, France</t>
  </si>
  <si>
    <t>Museum National d'Histoire Naturelle (MNHN); Sorbonne Universite; Centre National de la Recherche Scientifique (CNRS); CNRS - National Institute for Earth Sciences &amp; Astronomy (INSU); Helmholtz Association; GEOMAR Helmholtz Center for Ocean Research Kiel; Institut de Recherche pour le Developpement (IRD); Aix-Marseille Universite; Centre National de la Recherche Scientifique (CNRS); CNRS - National Institute for Earth Sciences &amp; Astronomy (INSU)</t>
  </si>
  <si>
    <t>Pauthenet, E (corresponding author), Sorbonne Univ, UPMC Univ Paris 06, LOCEAN IPSL, UMR 7159, Paris, France.</t>
  </si>
  <si>
    <t>etienne.pauthenet@locean-ipsl.upmc.fr</t>
  </si>
  <si>
    <t>Schmidtko, Sunke/AAV-7178-2021; SALLEE, Jean baptiste/HDO-5355-2022</t>
  </si>
  <si>
    <t>Pauthenet, Etienne/0000-0002-0531-3810</t>
  </si>
  <si>
    <t>European Research Council (ERC) under the European Union [637770]; European Research Council (ERC) [637770] Funding Source: European Research Council (ERC)</t>
  </si>
  <si>
    <t>European Research Council (ERC) under the European Union(European Research Council (ERC)); European Research Council (ERC)(European Research Council (ERC)Spanish Government)</t>
  </si>
  <si>
    <t>We thank Tore Hattermann and an anonymous reviewer for their pertinent comments that greatly improved the quality of the paper. Author Pauthenet received funding from the European Research Council (ERC) under the European Union's Horizon 2020 research and innovation program (Grant Agreement 637770).</t>
  </si>
  <si>
    <t>45 BEACON ST, BOSTON, MA 02108-3693, UNITED STATES</t>
  </si>
  <si>
    <t>0022-3670</t>
  </si>
  <si>
    <t>1520-0485</t>
  </si>
  <si>
    <t>J PHYS OCEANOGR</t>
  </si>
  <si>
    <t>J. Phys. Oceanogr.</t>
  </si>
  <si>
    <t>10.1175/JPO-D-20-0186.1</t>
  </si>
  <si>
    <t>Oceanography</t>
  </si>
  <si>
    <t>SJ4NL</t>
  </si>
  <si>
    <t>Green Accepted, Green Submitted, Bronze</t>
  </si>
  <si>
    <t>WOS:000655510400011</t>
  </si>
  <si>
    <t>Kim, W; Liu, R; Woo, S; Kang, KB; Park, H; Yu, YH; Ha, HH; Oh, SY; Yang, JH; Kim, H; Yun, SH; Hur, JS</t>
  </si>
  <si>
    <t>Kim, Wonyong; Liu, Rundong; Woo, Sunmin; Kang, Kyo Bin; Park, Hyun; Yu, Young Hyun; Ha, Hyung-Ho; Oh, Seung-Yoon; Yang, Ji Ho; Kim, Hangun; Yun, Sung-Hwan; Hur, Jae-Seoun</t>
  </si>
  <si>
    <t>Linking a Gene Cluster to Atranorin, a Major Cortical Substance of Lichens, through Genetic Dereplication and Heterologous Expression</t>
  </si>
  <si>
    <t>MBIO</t>
  </si>
  <si>
    <t>Cladonia; lichen; atranorin; polyketides; secondary metabolism</t>
  </si>
  <si>
    <t>POLYKETIDE SYNTHASE GENES; MULTIPLE SEQUENCE ALIGNMENT; ORSELLINIC ACID; SECONDARY METABOLISM; BIOSYNTHESIS; IDENTIFICATION; DIVERSITY; EVOLUTION; RADIATION; TOOL</t>
  </si>
  <si>
    <t>The depside and depsidone series compounds of polyketide origin accumulate in the cortical or medullary layers of lichen thalli. Despite the taxonomic and ecological significance of lichen chemistry and its pharmaceutical potentials, there has been no single piece of genetic evidence linking biosynthetic genes to lichen substances. Thus, we systematically analyzed lichen polyketide synthases (PKSs) for categorization and identifica-tion of the biosynthetic gene cluster (BGC) involved in depside/depsidone production. Our in-depth analysis of the interspecies PKS diversity in the genus Cladonia and a related Antarctic lichen, Stereocaulon alpinum, identified 45 BGC families, linking lichen PKSs to 15 previously characterized PKSs in nonlichenized fungi. Among these, we identified highly syntenic BGCs found exclusively in lichens producing atranorin (a depside). Heterologous expression of the putative atranorin PKS gene (coined atr1) yielded 4-O-demethylbarbatic acid, found in many lichens as a precursor compound, indicating an intermolecular cross linking activity of Atr1 for depside formation. Subsequent introductions of tailoring enzymes into the heterologous host yielded atranorin, one of the most common cortical substances of macrolichens. Phylogenetic analysis of fungal PKS revealed that the Atr1 is in a novel PKS clade that included two conserved lichen-specific PKS families likely involved in biosynthesis of depsides and depsidones. Here, we provide a comprehensive catalog of PKS families of the genus Cladonia and functionally characterize a biosynthetic gene cluster from lichens, establishing a cornerstone for studying the genetics and chemical evolution of diverse lichen substances. IMPORTANCE Lichens play significant roles in ecosystem function and comprise about 20% of all known fungi. Polyketide-derived natural products accumulate in the cortical and medullary layers of lichen thalli, some of which play key roles in protection from biotic and abiotic stresses (e.g., herbivore attacks and UV irradiation). To date, however, no single lichen product has been linked to respective biosynthetic genes with genetic evidence. Here, we identified a gene cluster family responsible for biosynthesis of atranorin, a cortical substance found in diverse lichen species, by categorizing lichen polyketide synthase and reconstructing the atranorin biosynthetic pathway in a heterologous host. This study will help elucidate lichen secondary metabolism, harnessing the lichen's chemical diversity, hitherto obscured due to limited genetic information on lichens.</t>
  </si>
  <si>
    <t>[Kim, Wonyong; Liu, Rundong; Yang, Ji Ho; Hur, Jae-Seoun] Sunchon Natl Univ, Korean Lichen Res Inst, Sunchon, South Korea; [Woo, Sunmin; Kang, Kyo Bin] Sookmyung Womens Univ, Coll Pharm, Res Inst Pharmaceut Sci, Seoul, South Korea; [Park, Hyun] Korea Univ, Coll Life Sci &amp; Biotechnol, Div Biotechnol, Seoul, South Korea; [Yu, Young Hyun; Ha, Hyung-Ho; Kim, Hangun] Sunchon Natl Univ, Coll Pharm, Sunchon, South Korea; [Yu, Young Hyun; Ha, Hyung-Ho; Kim, Hangun] Sunchon Natl Univ, Res Inst Life &amp; Pharmaceut Sci, Sunchon, South Korea; [Oh, Seung-Yoon] Changwon Natl Univ, Dept Biol &amp; Chem, Chang Won, South Korea; [Yun, Sung-Hwan] Soonchunhyang Univ, Dept Med Sci, Asan, South Korea</t>
  </si>
  <si>
    <t>Sunchon National University; Sookmyung Women's University; Korea University; Sunchon National University; Sunchon National University; Changwon National University; Soonchunhyang University</t>
  </si>
  <si>
    <t>Kim, W; Hur, JS (corresponding author), Sunchon Natl Univ, Korean Lichen Res Inst, Sunchon, South Korea.</t>
  </si>
  <si>
    <t>wykim@scnu.ac.kr; jshur1@scnu.ac.kr</t>
  </si>
  <si>
    <t>Bin Kang, Kyo/AAQ-9809-2020; Kim, Wonyong/AAC-3347-2019; Oh, Seung-Yoon/H-4958-2018</t>
  </si>
  <si>
    <t>Kim, Wonyong/0000-0002-9094-8908; Oh, Seung-Yoon/0000-0002-9745-1849; Woo, Sunmin/0000-0001-7561-2333; Kang, Kyo Bin/0000-0003-3290-1017</t>
  </si>
  <si>
    <t>Ministry of Science, ICT, and Future Planning [2018H1D3A1A01074888]; Korean National Research Resource Center Program - National Research Foundation of Korea (NRF) [2017M3A9B8069471]; Korea Institute of Planning and Evaluation for Technology in Food; Agriculture and Forestry through the Agricultural Microbiome RAMP;D Program - Ministry of Agriculture, Food and Rural Affairs [918010044SB010]; NRF grant - Ministry of Science, ICT, and Future Planning [2020R1C1C1004046]</t>
  </si>
  <si>
    <t>Ministry of Science, ICT, and Future Planning; Korean National Research Resource Center Program - National Research Foundation of Korea (NRF); Korea Institute of Planning and Evaluation for Technology in Food; Agriculture and Forestry through the Agricultural Microbiome RAMP;D Program - Ministry of Agriculture, Food and Rural Affairs; NRF grant - Ministry of Science, ICT, and Future Planning</t>
  </si>
  <si>
    <t>We thank Jung-Ae Ryu and Seol-Hwa Jang for technical support in mycobiont isolation and culture. This work was supported by the Korea Research Fellowship Program funded by the Ministry of Science, ICT, and Future Planning (2018H1D3A1A01074888) and by The Korean National Research Resource Center Program (2017M3A9B8069471) , through the National Research Foundation of Korea (NRF) . The genome of Parmelia cf. squarrosa was sequenced with support by the Korea Institute of Planning and Evaluation for Technology in Food, Agriculture and Forestry through the Agricultural Microbiome R&amp;D Program funded by the Ministry of Agriculture, Food and Rural Affairs (918010044SB010) . S.W. and K.B.K. were supported by an NRF grant funded by the Ministry of Science, ICT, and Future Planning (2020R1C1C1004046) .</t>
  </si>
  <si>
    <t>AMER SOC MICROBIOLOGY</t>
  </si>
  <si>
    <t>WASHINGTON</t>
  </si>
  <si>
    <t>1752 N ST NW, WASHINGTON, DC 20036-2904 USA</t>
  </si>
  <si>
    <t>2150-7511</t>
  </si>
  <si>
    <t>mBio</t>
  </si>
  <si>
    <t>e01111-21</t>
  </si>
  <si>
    <t>10.1128/mBio.01111-21</t>
  </si>
  <si>
    <t>Microbiology</t>
  </si>
  <si>
    <t>UM6SL</t>
  </si>
  <si>
    <t>Green Published</t>
  </si>
  <si>
    <t>WOS:000693460300009</t>
  </si>
  <si>
    <t>Lipatov, MA; Volkov, VA; May, RI</t>
  </si>
  <si>
    <t>Lipatov, M. A.; Volkov, V. A.; May, R. I.</t>
  </si>
  <si>
    <t>Linear Trends in Sea Ice Drift Fields in the Arctic Ocean</t>
  </si>
  <si>
    <t>OCEANOLOGY</t>
  </si>
  <si>
    <t>ice drift; vector trend; Arctic Ocean</t>
  </si>
  <si>
    <t>SATELLITE; VARIABILITY</t>
  </si>
  <si>
    <t>Using the example of analysis of 40-year series of vector fields of ice drift in the Arctic Ocean, the features of calculating the parameters of the linear trend of vector processes are considered. The decomposition of acceleration vectors into orthogonal and collinear components relative to the mean vector makes it possible to estimate an increase or decrease in the average velocity and regularity of change in the angular velocity of direction of the mean vector. The results of the analysis confirm the increase in the velocity modulus in the field of the average drift vector in most of the Arctic Ocean at the same time, seasonal and regional features of the angular velocity variation in the field mean vector drift. It is noted that in the winter season, the linear trend explains more than half the variance in annual drift variability in the Fram Strait, on the southern periphery of the anticyclonic gyre in the Beaufort Sea, in the Kara Sea, and in the Baffin Sea.</t>
  </si>
  <si>
    <t>[Lipatov, M. A.; May, R. I.] St Petersburg State Univ, St Petersburg, Russia; [Volkov, V. A.] Nansen Int Environm &amp; Remote Sensing Ctr, St Petersburg, Russia; [May, R. I.] Arctic &amp; Antarctic Res Inst, St Petersburg, Russia</t>
  </si>
  <si>
    <t>Saint Petersburg State University; Nansen Environmental &amp; Remote Sensing Center (NERSC); Arctic &amp; Antarctic Research Institute</t>
  </si>
  <si>
    <t>Lipatov, MA (corresponding author), St Petersburg State Univ, St Petersburg, Russia.</t>
  </si>
  <si>
    <t>m.a.lipatovv@gmail.com</t>
  </si>
  <si>
    <t>May, Ruslan I./J-5316-2013</t>
  </si>
  <si>
    <t>May, Ruslan I./0000-0002-5602-1391</t>
  </si>
  <si>
    <t>PLEIADES PUBLISHING INC</t>
  </si>
  <si>
    <t>PLEIADES HOUSE, 7 W 54 ST, NEW YORK, NY, UNITED STATES</t>
  </si>
  <si>
    <t>0001-4370</t>
  </si>
  <si>
    <t>1531-8508</t>
  </si>
  <si>
    <t>OCEANOLOGY+</t>
  </si>
  <si>
    <t>Oceanology</t>
  </si>
  <si>
    <t>10.1134/S0001437021030073</t>
  </si>
  <si>
    <t>TK5AD</t>
  </si>
  <si>
    <t>WOS:000674170200001</t>
  </si>
  <si>
    <t>Ren, ST; Miles, ES; Jia, L; Menenti, M; Kneib, M; Buri, P; McCarthy, MJ; Shaw, TE; Yang, W; Pellicciotti, F</t>
  </si>
  <si>
    <t>Ren, Shaoting; Miles, Evan S.; Jia, Li; Menenti, Massimo; Kneib, Marin; Buri, Pascal; McCarthy, Michael J.; Shaw, Thomas E.; Yang, Wei; Pellicciotti, Francesca</t>
  </si>
  <si>
    <t>Anisotropy Parameterization Development and Evaluation for Glacier Surface Albedo Retrieval from Satellite Observations</t>
  </si>
  <si>
    <t>REMOTE SENSING</t>
  </si>
  <si>
    <t>glacier surface albedo; anisotropy correction; albedo retrieval; remote sensing</t>
  </si>
  <si>
    <t>SNOW BIDIRECTIONAL REFLECTANCE; REMOTE-SENSING DATA; TM BANDS 2; MASS-BALANCE; OPTICAL-PROPERTIES; TIBETAN PLATEAU; MODIS DATA; ICE; BRDF; AIRBORNE</t>
  </si>
  <si>
    <t>Glacier albedo determines the net shortwave radiation absorbed at the glacier surface and plays a crucial role in glacier energy and mass balance. Remote sensing techniques are efficient means to retrieve glacier surface albedo over large and inaccessible areas and to study its variability. However, corrections of anisotropic reflectance of glacier surface have been established for specific shortwave bands only, such as Landsat 5 Thematic Mapper (L5/TM) band 2 and band 4, which is a major limitation of current retrievals of glacier broadband albedo. In this study, we calibrated and evaluated four anisotropy correction models for glacier snow and ice, applicable to visible, near-infrared and shortwave-infrared wavelengths using airborne datasets of Bidirectional Reflectance Distribution Function (BRDF). We then tested the ability of the best-performing anisotropy correction model, referred to from here on as the 'updated model', to retrieve albedo from L5/TM, Landsat 8 Operational Land Imager (L8/OLI) and Moderate Resolution Imaging Spectroradiometer (MODIS) imagery, and evaluated these results with field measurements collected on eight glaciers around the world. Our results show that the updated model: (1) can accurately estimate anisotropic factors of reflectance for snow and ice surfaces; (2) generally performs better than prior approaches for L8/OLI albedo retrieval but is not appropriate for L5/TM; (3) generally retrieves MODIS albedo better than the MODIS standard albedo product (MCD43A3) in both absolute values and glacier albedo temporal evolution, i.e., exhibiting both fewer gaps and better agreement with field observations. As the updated model enables anisotropy correction of a maximum of 10 multispectral bands and is implemented in Google Earth Engine (GEE), it is promising for observing and analyzing glacier albedo at large spatial scales.</t>
  </si>
  <si>
    <t>[Ren, Shaoting; Jia, Li; Menenti, Massimo] Chinese Acad Sci, Aerosp Informat Res Inst, State Key Lab Remote Sensing Sci, Beijing 100101, Peoples R China; [Ren, Shaoting] Univ Chinese Acad Sci, Beijing 100049, Peoples R China; [Ren, Shaoting; Miles, Evan S.; Kneib, Marin; Buri, Pascal; McCarthy, Michael J.; Shaw, Thomas E.; Pellicciotti, Francesca] Swiss Fed Inst Forest Snow &amp; Landscape Res WSL, CH-8903 Birmensdorf, Switzerland; [Menenti, Massimo] Delft Univ Technol, Fac Civil Engn &amp; Earth Sci, NL-2628 Delft, Netherlands; [Kneib, Marin] Swiss Fed Inst Technol, Inst Environm Engn, CH-8093 Zurich, Switzerland; [McCarthy, Michael J.] NERC, British Antarctic Survey, Cambridge CB3 0ET, England; [Yang, Wei] Chinese Acad Sci, Inst Tibetan Plateau Res, Beijing 100101, Peoples R China; [Pellicciotti, Francesca] Northumbria Univ, Dept Geog, Newcastle Upon Tyne NE1 8QD, Tyne &amp; Wear, England</t>
  </si>
  <si>
    <t>Chinese Academy of Sciences; Aerospace Information Research Institute, CAS; Chinese Academy of Sciences; University of Chinese Academy of Sciences, CAS; Swiss Federal Institutes of Technology Domain; Swiss Federal Institute for Forest, Snow &amp; Landscape Research; Delft University of Technology; Swiss Federal Institutes of Technology Domain; ETH Zurich; UK Research &amp; Innovation (UKRI); Natural Environment Research Council (NERC); NERC British Antarctic Survey; Chinese Academy of Sciences; Institute of Tibetan Plateau Research, CAS; Northumbria University</t>
  </si>
  <si>
    <t>Jia, L (corresponding author), Chinese Acad Sci, Aerosp Informat Res Inst, State Key Lab Remote Sensing Sci, Beijing 100101, Peoples R China.</t>
  </si>
  <si>
    <t>renst@radi.ac.cn; evan.miles@wsl.ch; jiali@aircas.ac.cn; m.menenti@radi.ac.cn; marin.kneib@wsl.ch; pascal.buri@wsl.ch; michael.mccarthy@wsl.ch; thomas.shaw@amtc.cl; yangww@itpcas.ac.cn; francesca.pellicciotti@wsl.ch</t>
  </si>
  <si>
    <t>Miles, Evan/J-1286-2019; Li, Jiaxi/HTS-3430-2023; Jia, li/GPW-8015-2022; li, jia/GVT-7587-2022; Buri, Pascal/IAP-7572-2023; Buri, Pascal/GNP-4094-2022; Kneib, Marin/AHC-6623-2022</t>
  </si>
  <si>
    <t>Miles, Evan/0000-0001-5446-8571; Li, Jiaxi/0000-0002-8197-8590; Buri, Pascal/0000-0003-3890-2109; Kneib, Marin/0000-0002-2420-0475; Jia, Li/0000-0002-3108-8645; McCarthy, Michael/0000-0002-4138-0578; Menenti, Massimo/0000-0001-9176-4556</t>
  </si>
  <si>
    <t>Second Tibetan Plateau Scientific Expedition and Research Program (STEP) [2019QZKK0103]; National Natural Science Foundation of China project [91737205]; Strategic Priority Research Program of the Chinese Academy of Sciences [XDA19070102]; Chinese Academy of Sciences President's International Fellowship Initiative [2020VTA0001]; MOST High Level Foreign Expert program [GL20200161002]; European Research Council (ERC) under the European Union [772751]; Dragon 5 project [32439]; European Research Council (ERC) [772751] Funding Source: European Research Council (ERC)</t>
  </si>
  <si>
    <t>Second Tibetan Plateau Scientific Expedition and Research Program (STEP); National Natural Science Foundation of China project(National Natural Science Foundation of China (NSFC)); Strategic Priority Research Program of the Chinese Academy of Sciences(Chinese Academy of Sciences); Chinese Academy of Sciences President's International Fellowship Initiative; MOST High Level Foreign Expert program; European Research Council (ERC) under the European Union(European Research Council (ERC)); Dragon 5 project; European Research Council (ERC)(European Research Council (ERC)Spanish Government)</t>
  </si>
  <si>
    <t>This research was funded by the Second Tibetan Plateau Scientific Expedition and Research Program (STEP) (grant no. 2019QZKK0103); the National Natural Science Foundation of China project (grant no. 91737205); the Strategic Priority Research Program of the Chinese Academy of Sciences (grant no. XDA19070102); the Chinese Academy of Sciences President's International Fellowship Initiative (grant no. 2020VTA0001); the MOST High Level Foreign Expert program (grant no. GL20200161002); the European Research Council (ERC) under the European Union's Horizon 2020 research and innovation programme (grant no. 772751) and the Dragon 5 project (grant no. 32439).</t>
  </si>
  <si>
    <t>2072-4292</t>
  </si>
  <si>
    <t>REMOTE SENS-BASEL</t>
  </si>
  <si>
    <t>Remote Sens.</t>
  </si>
  <si>
    <t>10.3390/rs13091714</t>
  </si>
  <si>
    <t>Environmental Sciences; Geosciences, Multidisciplinary; Remote Sensing; Imaging Science &amp; Photographic Technology</t>
  </si>
  <si>
    <t>Environmental Sciences &amp; Ecology; Geology; Remote Sensing; Imaging Science &amp; Photographic Technology</t>
  </si>
  <si>
    <t>SC5XC</t>
  </si>
  <si>
    <t>Green Accepted, Green Published, gold</t>
  </si>
  <si>
    <t>WOS:000650742600001</t>
  </si>
  <si>
    <t>Alekseev, NL; Kamenev, IA; Mikhalskyd, EV; Larionov, AN; Kapitonov, IN; Bogomolov, ES; Egorov, MS</t>
  </si>
  <si>
    <t>Alekseev, N. L.; Kamenev, I. A.; Mikhalskyd, E., V; Larionov, A. N.; Kapitonov, I. N.; Bogomolov, E. S.; Egorov, M. S.</t>
  </si>
  <si>
    <t>Multistage Evolution of Proterozoic Crust of East Antarctica by the Example of the Filla Terrane (Rauer Islands): New Geological and Isotope Data</t>
  </si>
  <si>
    <t>RUSSIAN GEOLOGY AND GEOPHYSICS</t>
  </si>
  <si>
    <t>U-Th-Pb zircon dating (SHRIMP); Sm-Nd studies of the rock-garnet system; Mesoproterozoic</t>
  </si>
  <si>
    <t>PRINCE-CHARLES-MOUNTAINS; U-TH-PB; PRYDZ-BAY; METAPELITIC GRANULITES; METAVOLCANIC ROCKS; LARSEMANN HILLS; FISHER MASSIF; MAFIC DYKES; RADOK LAKE; ZIRCON</t>
  </si>
  <si>
    <t>The paper presents new data on the Rauer Islands, one of the unique objects of the East Antarctic Shield. The interest in this area is triggered by its complex geologic structure, including both Archean and Proterozoic fragments of the Earth's crust, and by its multiphase formation. A detailed scheme of the geologic structure of the area is proposed, new petrologic complexes are revealed, and the stages of tectonomagmatic activity at similar to 1400-1320 Ma and 1150 Ma are reliably dated. This serves as a factual basis for comparison the study area with other regions of East Antarctica. Based on the geological and isotope data obtained, the Meso-Neoproterozoic Filla Terrane in the area of the Rauer Islands is recognized. It is composed of metamorphic and primarily intrusive rocks, whose protoliths formed in the time interval 1400-950 Ma. Three periods of tectonothermal activity have been established in the Filla Terrane: Mid-Mesoproterozoic (1400-1320 Ma), Meso-Neoproterozoic (1150-886 Ma), and early Cambrian (536-504 Ma). The first period is the formation time of Mesoproterozoic crust, and it is time-correlated with the tectonogenesis phase in the adjacent Rayner province. The second period corresponds to the later phase of tectonothermal activity in the Rayner province. In the Filla Terrane, this period can be divided into two intervals, 1150-1100 Ma and 1010-886 Ma. The former interval is treated as intense crustal growth in the course of granitoid and mantle magmatism. The latter interval is a period of tectonothermal processes accompanied by intense deformations, high-temperature metamorphism, and intrusion of porphyritic granitoids. Apparently, the gap between the first and the second intervals is the time of deposition of the sedimentary protolith of paragneisses, which, together with the surrounding rocks, underwent high-temperature metamorphism and deformations at 950-914 Ma. The synchronous evolution of the Archean block and the Filla Terrane began at least within 1100-1000 Ma. The youngest, early Cambrian period of tectonic activity coincides with the development of local low-temperature mylonite zones and the intrusion of synkinematic pegmatite veins. Thus, the tectonothermal evolution of the Filla Terrane includes almost the same main phases of crustal growth and transformation as the Rayner province. This indicates that the Filla Terrane is a fragment of the Rayner province, which accreted to the Archean terrane at least in the late Mesoproterozoic.</t>
  </si>
  <si>
    <t>[Alekseev, N. L.; Larionov, A. N.; Kapitonov, I. N.; Bogomolov, E. S.] AP Karpinsky Russian Geol Res Inst, Srednii Pr 74, St Petersburg 199106, Russia; [Alekseev, N. L.; Bogomolov, E. S.] Russian Acad Sci, Inst Precambrian Geol &amp; Geochronol, Nab Makarova 2, St Petersburg 199034, Russia; [Kamenev, I. A.; Egorov, M. S.] Polar Marine Geosurvey Expedit, Ul Pobedy 24, St Petersburg 198412, Lomonosov, Russia; [Mikhalskyd, E., V] FSBI VNIIOkeangeol, Angliiskii Pr 1, St Petersburg 190121, Russia</t>
  </si>
  <si>
    <t>A.P. Karpinsky Russian Geological Research Institute (VSEGEI); Russian Academy of Sciences; Institute of Precambrian Geology &amp; Geochronology of the Russian Academy of Sciences</t>
  </si>
  <si>
    <t>Alekseev, NL (corresponding author), AP Karpinsky Russian Geol Res Inst, Srednii Pr 74, St Petersburg 199106, Russia.;Alekseev, NL (corresponding author), Russian Acad Sci, Inst Precambrian Geol &amp; Geochronol, Nab Makarova 2, St Petersburg 199034, Russia.</t>
  </si>
  <si>
    <t>inkola.alekseeva@gmail.com</t>
  </si>
  <si>
    <t>Russian Foundation for Basic Research [15-05-02761]</t>
  </si>
  <si>
    <t>Russian Foundation for Basic Research(Russian Foundation for Basic Research (RFBR)Spanish Government)</t>
  </si>
  <si>
    <t>The authors are grateful to professor A.V. Travin and an anonymous reviewer for deep and constructive feedback, which made it possible to improve the quality of the submitted materials and conclusions. This work was partially supported by the Russian Foundation for Basic Research (Grant no. 15-05-02761).</t>
  </si>
  <si>
    <t>GEOSCIENCEWORLD</t>
  </si>
  <si>
    <t>MCLEAN</t>
  </si>
  <si>
    <t>1750 TYSONS BOULEVARD, SUITE 1500, MCLEAN, VA, UNITED STATES</t>
  </si>
  <si>
    <t>1068-7971</t>
  </si>
  <si>
    <t>1878-030X</t>
  </si>
  <si>
    <t>RUSS GEOL GEOPHYS+</t>
  </si>
  <si>
    <t>Russ. Geol. Geophys.</t>
  </si>
  <si>
    <t>10.2113/RGG20194068</t>
  </si>
  <si>
    <t>TI2SF</t>
  </si>
  <si>
    <t>WOS:000672643000004</t>
  </si>
  <si>
    <t>Amélineau, F; Saraux, C; Ropert-Coudert, Y; Kato, A; Hobson, KA; Raymond, B; Zimmer, I; Chiaradia, A</t>
  </si>
  <si>
    <t>Amelineau, Francoise; Saraux, Claire; Ropert-Coudert, Yan; Kato, Akiko; Hobson, Keith A.; Raymond, Ben; Zimmer, Ilka; Chiaradia, Andre</t>
  </si>
  <si>
    <t>Intra- and inter-individual changes in little penguin diving and isotopic composition over the breeding season</t>
  </si>
  <si>
    <t>MARINE BIOLOGY</t>
  </si>
  <si>
    <t>FORAGING BEHAVIOR; EUDYPTULA-MINOR; INDIVIDUAL SPECIALIZATION; SEXUAL SEGREGATION; ADELIE PENGUINS; STABLE-ISOTOPES; MARINE PREDATOR; PARENTAL EFFORT; BODY CONDITION; AVIAN BLOOD</t>
  </si>
  <si>
    <t>Seabirds allocate different amounts of energy to reproduction throughout the breeding season, depending on the trade-off between their own needs and those of their chicks and/or changes in environmental conditions. Provisioning parents therefore modulate their foraging behaviour and diet accordingly. However, for diving seabirds, many studies have extrapolated from individuals monitored over a short period and then assumed the observed patterns were representative of the birds' foraging activity over the entire breeding stage/season. To address this shortcoming, we monitored continuously the diving performance of ten male little penguins from incubation to chick fledging. Simultaneously, isotopic composition was examined using delta N-15 and delta C-13 values from whole blood samples collected every 3 weeks. Birds dived more frequently but performed shallower and shorter dives as the season progressed. The guard period was especially different, with birds spending a consistently smaller proportion of time at the bottom and performing fewer prey pursuits, compared to other periods. Isotopic composition varied less within the season, although there was a slight tendency for delta N-15 values to decrease through time. Finally, isotopic values were highly repeatable within individuals, suggesting that individuals specialized on different prey and in different areas. Diving was less repeatable within individuals but still explained a small but significant part of the variance in blood isotopic values. Our results suggest that it is important to take into account individual variability over the course of the breeding season, as well as timing of bio-logger deployment within a stage when designing bio-logging studies.</t>
  </si>
  <si>
    <t>[Amelineau, Francoise] Ecole Normale Super Lyon, 46 Allee Italie, F-69007 Lyon, France; [Saraux, Claire] Univ Strasbourg, Dept Ecol Physiol &amp; Ethol, IPHC, CNRS,UMR 7178, Strasbourg, France; [Ropert-Coudert, Yan; Kato, Akiko] La Rochelle Univ, Ctr Etud Biol Chize, CNRS, UMR 7372, F-79360 Villiers En Bois, France; [Hobson, Keith A.] Western Univ, Dept Biol, London, ON N6A 5B7, Canada; [Raymond, Ben] Australian Antarctic Div, Dept Agr Water &amp; Environm, Kingston, Tas 7050, Australia; [Raymond, Ben] Univ Tasmania, Inst Marine &amp; Antarctic Studies, Hobart, Tas 7001, Australia; [Zimmer, Ilka] Asters, Conservatoire Espaces Nat Haute Savoie, 38 Rue Annex, F-74700 Sallanches, France; [Chiaradia, Andre] Phillip Isl Nat Pk, Conservat Dept, POB 97, Cowes, Vic 3922, Australia</t>
  </si>
  <si>
    <t>Ecole Normale Superieure de Lyon (ENS de LYON); Centre National de la Recherche Scientifique (CNRS); CNRS - National Institute of Nuclear and Particle Physics (IN2P3); Universites de Strasbourg Etablissements Associes; Universite de Strasbourg; Centre National de la Recherche Scientifique (CNRS); CNRS - Institute of Ecology &amp; Environment (INEE); Western University (University of Western Ontario); Australian Antarctic Division; University of Tasmania</t>
  </si>
  <si>
    <t>Chiaradia, A (corresponding author), Phillip Isl Nat Pk, Conservat Dept, POB 97, Cowes, Vic 3922, Australia.</t>
  </si>
  <si>
    <t>achiaradia@penguins.org.au</t>
  </si>
  <si>
    <t>saraux, claire/AAX-8709-2020; Chiaradia, Andre/AAG-4928-2022; Chiaradia, Andre/AFK-6634-2022</t>
  </si>
  <si>
    <t>saraux, claire/0000-0001-5061-4009; Chiaradia, Andre/0000-0002-6178-4211; Chiaradia, Andre/0000-0002-6178-4211; Amelineau, Francoise/0000-0001-9723-5858; Kato, Akiko/0000-0002-8947-3634; Ropert-Coudert, Yan/0000-0001-6494-5300</t>
  </si>
  <si>
    <t>Japan Science Society; Australian Academy of Science; University of Strasbourg; Penguin Foundation; Japan Society for the Promotion of Science</t>
  </si>
  <si>
    <t>Japan Science Society; Australian Academy of Science; University of Strasbourg; Penguin Foundation; Japan Society for the Promotion of Science(Ministry of Education, Culture, Sports, Science and Technology, Japan (MEXT)Japan Society for the Promotion of Science)</t>
  </si>
  <si>
    <t>The study was financially supported by the Japan Science Society, the Australian Academy of Science, the University of Strasbourg, the Penguin Foundation and the Japan Society for the Promotion of Science.</t>
  </si>
  <si>
    <t>SPRINGER HEIDELBERG</t>
  </si>
  <si>
    <t>HEIDELBERG</t>
  </si>
  <si>
    <t>TIERGARTENSTRASSE 17, D-69121 HEIDELBERG, GERMANY</t>
  </si>
  <si>
    <t>0025-3162</t>
  </si>
  <si>
    <t>1432-1793</t>
  </si>
  <si>
    <t>MAR BIOL</t>
  </si>
  <si>
    <t>Mar. Biol.</t>
  </si>
  <si>
    <t>10.1007/s00227-021-03867-2</t>
  </si>
  <si>
    <t>Marine &amp; Freshwater Biology</t>
  </si>
  <si>
    <t>RJ2BW</t>
  </si>
  <si>
    <t>Green Submitted</t>
  </si>
  <si>
    <t>WOS:000637406400009</t>
  </si>
  <si>
    <t>Zhao, B; Zhang, YY; Lang, SN; Liu, Y; Zhang, F; Tang, CJ; Liu, XJ; Fang, GY; Cui, XB</t>
  </si>
  <si>
    <t>Zhao, Bo; Zhang, Yueyi; Lang, Shinan; Liu, Yan; Zhang, Feng; Tang, Chuanjun; Liu, Xiaojun; Fang, Guangyou; Cui, Xiangbin</t>
  </si>
  <si>
    <t>Shallow-Layers-Detection Ice Sounding Radar for Mapping of Polar Ice Sheets</t>
  </si>
  <si>
    <t>Radar; Ice; Phase locked loops; Antarctica; Sea measurements; Frequency modulation; Chirp; Antarctica; frequency-modulated continuous wave (FMCW); internal reflecting horizons (IRHs); polar ice sounding radar (ISR)</t>
  </si>
  <si>
    <t>SURFACE INTERNAL LAYERS; SNOW THICKNESS; BAND RADAR; WIDE-BAND; SYSTEM</t>
  </si>
  <si>
    <t>The accumulation rate is a key parameter in computing the mass balance of glaciers and ice sheets to estimate sea level rise. A shallow-layers-detection ice sounding radar (SLDISR) is developed to measure the accumulation rate and shape of near-surface internal layers with high resolution. With a transmitting frequency from 500 to 2000 MHz, this frequency-modulated continuous wave (FMCW) radar provides a range resolution of about 16 cm in free space by using a Hanning window and a penetrating depth about 150 m under polar ice. The spectral analysis and coherent integration techniques are used to obtain a high processing gain and to improve the signal-to-noise ratio of the system. A phase-locked loop with wideband yttrium iron garnet (YIG) oscillator is applied to generate a sweeping chirp signal as an input source for the transmitter. A stable, low-frequency reference chirp signal is generated with a direct digital synthesizer (DDS) integrated in field-programmable gate array (FPGA). To reduce the high-speed requirement to the analog-to-digital converter (ADC), dechirp technology is adopted at the RF section of the receiver. The implementation of the digital unit is based on an FPGA chip. The designed radar has been successfully deployed in Antarctica during the 31st Chinese Antarctic Research Expedition (CHINARE 31) and CHINARE 33, mainly over the East Antarctic Ice Sheet (EAIS). The echograms indicate the effectiveness of the radar system on detecting clear internal reflecting horizons (IRHs) over ice sheets.</t>
  </si>
  <si>
    <t>[Zhao, Bo; Zhang, Yueyi; Zhang, Feng; Tang, Chuanjun; Liu, Xiaojun; Fang, Guangyou] Chinese Acad Sci, Key Lab Electromagnet Radiat &amp; Sensing Fcchnol, Beijing 100190, Peoples R China; [Zhao, Bo; Zhang, Yueyi; Zhang, Feng; Tang, Chuanjun; Liu, Xiaojun; Fang, Guangyou] Chinese Acad Sci AIRCAS, Aerosp Informat Res Inst, Beijing 100190, Peoples R China; [Lang, Shinan] Beijing Univ Technol, Fac Informat Technol, Beijing 100124, Peoples R China; [Liu, Yan] Unv Chinese Acad Sci, Sch Comp Sci &amp; Technol, Beijing 100049, Peoples R China; [Cui, Xiangbin] Polar Res Inst China, Shanghai 200136, Peoples R China</t>
  </si>
  <si>
    <t>Chinese Academy of Sciences; Chinese Academy of Sciences; Aerospace Information Research Institute, CAS; Beijing University of Technology; Polar Research Institute of China</t>
  </si>
  <si>
    <t>Lang, SN (corresponding author), Beijing Univ Technol, Fac Informat Technol, Beijing 100124, Peoples R China.</t>
  </si>
  <si>
    <t>bzhao@mail.ie.ac.cn; zhangyueyi19@mails.ucas.ac.cn; langshinan@email.com; yanliu@ucas.ac.cn; zhangfeng1981@126.com; cjtang@mail.ie.ac.cn; lxjdr@mail.ie.ac.cn; gyfang@mail.ie.ac.cn; cuixiangbin@pric.org.cn</t>
  </si>
  <si>
    <t>liu, xq/JDW-2596-2023; bo, zhao/JRY-8300-2023; Sun, Peng/KDO-4243-2024</t>
  </si>
  <si>
    <t>Zhang, Feng/0000-0002-2587-8683; zhao, bo/0000-0003-2563-1039</t>
  </si>
  <si>
    <t>National Natural Science Foundation of China [41776204, 41776186]</t>
  </si>
  <si>
    <t>National Natural Science Foundation of China(National Natural Science Foundation of China (NSFC))</t>
  </si>
  <si>
    <t>This work was supported by the National Natural Science Foundation of China under Grant 41776204 and Grant 41776186.</t>
  </si>
  <si>
    <t>10.1109/TGRS.2021.3074186</t>
  </si>
  <si>
    <t>APR 2021</t>
  </si>
  <si>
    <t>XU0IC</t>
  </si>
  <si>
    <t>WOS:000732753900001</t>
  </si>
  <si>
    <t>Zhang, L; Xu, Y; Zeng, ZF; Li, J; Zhang, D</t>
  </si>
  <si>
    <t>Zhang, Ling; Xu, Yi; Zeng, Zhaofa; Li, Jing; Zhang, Dong</t>
  </si>
  <si>
    <t>Simulation of Martian Near-Surface Structure and Imaging of Future GPR Data From Mars</t>
  </si>
  <si>
    <t>Mars; Radar; Moon; Data models; Radar imaging; NASA; Rocks; Ground-penetrating radar (GPR); Jezero crater; Mars; modeling; Perseverance mission; Tianwen-1 mission; v(z) f-k migration</t>
  </si>
  <si>
    <t>GROUND-PENETRATING RADAR; LUNAR REGOLITH; SUBSURFACE; MODEL; MIGRATION; DEPOSITS; THICKNESS; ROVER</t>
  </si>
  <si>
    <t>Three upcoming Martian missions will deploy a ground-penetrating radar (GPR) to reveal the fine-resolution subsurface structure and dielectric properties of materials beneath the surface. Numerical forward simulations of radar echo using a model of the near-surface structure at the landing site can provide a valuable reference for processing and interpretation of future radar data collected on Mars. In this study, based on the geological information of the Jezero crater, a detailed stratigraphic model of the near-surface structure is derived, which includes several key features, for example, the randomness of the medium, terrain, and cracks. To identify correctly the reflections of subsurface interfaces and fractures from the radar image, a v(z) f-k migration is carried out, the performance of which is evaluated using the GPR data obtained near Antarctic Zhongshan Station since the electrical properties of Antarctic glaciers and Martian materials are to some extent comparable. The results in this work show that compared with common migration algorithm, the v(z) f-k method not only improves the clarity of radar image but also provides the permittivity profiles to infer the composition of the substrate, leading to a better understanding of Martian near-surface geology.</t>
  </si>
  <si>
    <t>[Zhang, Ling; Xu, Yi] Macau Univ Sci &amp; Technol, State Key Lab Lunar &amp; Planetary Sci, Taipa, Macao, Peoples R China; [Zhang, Ling; Zeng, Zhaofa; Li, Jing] Jilin Univ, Coll Geoexplorat Sci &amp; Technol, Changchun 130012, Peoples R China; [Zhang, Dong] Delft Univ Technol, Dept Imaging Phys, NL-2628 CJ Delft, Netherlands</t>
  </si>
  <si>
    <t>Macau University of Science &amp; Technology; Jilin University; Delft University of Technology</t>
  </si>
  <si>
    <t>Xu, Y (corresponding author), Macau Univ Sci &amp; Technol, State Key Lab Lunar &amp; Planetary Sci, Taipa, Macao, Peoples R China.</t>
  </si>
  <si>
    <t>lingzhang@jlu.edu.cn; yixu@must.edu.mo; zengzf@jlu.edu.cn; ljwy1209@163.com; d.zhang-3@tudelft.nl</t>
  </si>
  <si>
    <t>Pre-Research Project on Civil Aerospace Technologies of China National Space [D020101]; Science and Technology Development Fund of Macau [0089/2018/A3]; Postdoctoral Innovation Talent Support Program of China [BX20200148]; China Postdoctoral Science Foundation [2020M681041]; National Natural Science Foundation of China [41874134, 41574109]; Young Elite Scientist Sponsorship Program by the China Association for Science and Technology [2019QNRC001]</t>
  </si>
  <si>
    <t>Pre-Research Project on Civil Aerospace Technologies of China National Space; Science and Technology Development Fund of Macau; Postdoctoral Innovation Talent Support Program of China; China Postdoctoral Science Foundation(China Postdoctoral Science Foundation); National Natural Science Foundation of China(National Natural Science Foundation of China (NSFC)); Young Elite Scientist Sponsorship Program by the China Association for Science and Technology</t>
  </si>
  <si>
    <t>This work was supported in part by the Pre-Research Project on Civil Aerospace Technologies of China National Space Administration under Grant D020101, in part by the Science and Technology Development Fund of Macau under Grant 0089/2018/A3, in part by the Postdoctoral Innovation Talent Support Program of China under Grant BX20200148, in part by the China Postdoctoral Science Foundation Funded Project under Grant 2020M681041, in part by the National Natural Science Foundation of China under Grant 41874134 and Grant 41574109, and in part by the Young Elite Scientist Sponsorship Program by the China Association for Science and Technology under Grant 2019QNRC001. (Corresponding author: Yi Xu.)</t>
  </si>
  <si>
    <t>10.1109/TGRS.2021.3074029</t>
  </si>
  <si>
    <t>WOS:000732794900001</t>
  </si>
  <si>
    <t>Burfeid-Castellanos, AM; Martín-Martín, RP; Kloster, M; Angulo-Preckler, C; Avila, C; Beszteri, B</t>
  </si>
  <si>
    <t>Burfeid-Castellanos, Andrea M.; Martin-Martin, Rafael P.; Kloster, Michael; Angulo-Preckler, Carlos; Avila, Conxita; Beszteri, Bank</t>
  </si>
  <si>
    <t>Epiphytic diatom community structure and richness is determined by macroalgal host and location in the South Shetland Islands (Antarctica)</t>
  </si>
  <si>
    <t>PLOS ONE</t>
  </si>
  <si>
    <t>KING GEORGE ISLAND; DECEPTION-ISLAND; CLIMATE-CHANGE; MARINE DIATOM; SP-NOV; VOLCANO; SEA; BACILLARIOPHYCEAE; GROWTH; BAY</t>
  </si>
  <si>
    <t>The marine waters around the South Shetland Islands are paramount in the primary production of this Antarctic ecosystem. With the increasing effects of climate change and the annual retreat of the ice shelf, the importance of macroalgae and their diatom epiphytes in primary production also increases. The relationships and interactions between these organisms have scarcely been studied in Antarctica, and even less in the volcanic ecosystem of Deception Island, which can be seen as a natural proxy of climate change in Antarctica because of its vulcanism, and the open marine system of Livingston Island. In this study we investigated the composition of the diatom communities in the context of their macroalgal hosts and different environmental factors. We used a non-acidic method for diatom digestion, followed by slidescanning and diatom identification by manual annotation through a web-browser-based image annotation platform. Epiphytic diatom species richness was higher on Deception Island as a whole, whereas individual macroalgal specimens harboured richer diatom assemblages on Livingston Island. We hypothesize this a possible result of a higher diversity of ecological niches in the unique volcanic environment of Deception Island. Overall, our study revealed higher species richness and diversity than previous studies of macroalgae-inhabiting diatoms in Antarctica, which could however be the result of the different preparation methodologies used in the different studies, rather than an indication of a higher species richness on Deception Island and Livingston Island than other Antarctic localities.</t>
  </si>
  <si>
    <t>[Burfeid-Castellanos, Andrea M.; Kloster, Michael; Beszteri, Bank] Univ Duisburg Essen, Phycol, Essen, Germany; [Martin-Martin, Rafael P.] Univ Barcelona UB, Fac Pharm &amp; Food Sci, Lab Bot, Barcelona, Spain; [Angulo-Preckler, Carlos] Arctic Univ Norway, UiT, Norwegian Coll Fishery Sci, Tromso, Norway; [Avila, Conxita] Univ Barcelona, Fac Biol, Dept Evolutionary Biol Ecol &amp; Environm Sci, Barcelona, Spain; [Avila, Conxita] Univ Barcelona, Inst Biodivers Res IrBIO, Barcelona, Spain</t>
  </si>
  <si>
    <t>University of Duisburg Essen; University of Barcelona; UiT The Arctic University of Tromso; University of Barcelona; University of Barcelona</t>
  </si>
  <si>
    <t>Burfeid-Castellanos, AM (corresponding author), Univ Duisburg Essen, Phycol, Essen, Germany.</t>
  </si>
  <si>
    <t>andrea.burfeid-castellanos@uni-due.de</t>
  </si>
  <si>
    <t>Beszteri, Bank/D-1961-2010; Angulo_Preckler, Carlos/A-6456-2011; Avila, Conxita/B-9466-2008</t>
  </si>
  <si>
    <t>Beszteri, Bank/0000-0002-6852-1588; Angulo_Preckler, Carlos/0000-0001-9028-274X; Burfeid-Castellanos, Andrea/0000-0002-8556-3157; Martin-Martin, Rafael P./0000-0002-6650-6771; Avila, Conxita/0000-0002-5489-8376</t>
  </si>
  <si>
    <t>Spanish Government [CTM2013-42667/ANT, CTM2016-78901]; Deutscher Akademischer Austauschdienst (DAAD) [57442045, 91673491]; Open Access Publication Fund of the University Duisburg-Essen</t>
  </si>
  <si>
    <t>Spanish Government(Spanish Government); Deutscher Akademischer Austauschdienst (DAAD)(Deutscher Akademischer Austausch Dienst (DAAD)); Open Access Publication Fund of the University Duisburg-Essen</t>
  </si>
  <si>
    <t>Samples were collected in the frame of the DISTANTCOM (Diversity and Structure of benthic Antarctic communities, CTM2013-42667/ANT) and BLUEBIO (Bioactive marine natural products in our environmentally changing planet, CTM2016-78901) grants funded by the Spanish Government (CA). The Deutscher Akademischer Austauschdienst (DAAD) funded ABC with a shortterm grant (57442045, grant number 91673491). We also acknowledge support by the Open Access Publication Fund of the University Duisburg-Essen.</t>
  </si>
  <si>
    <t>PUBLIC LIBRARY SCIENCE</t>
  </si>
  <si>
    <t>SAN FRANCISCO</t>
  </si>
  <si>
    <t>1160 BATTERY STREET, STE 100, SAN FRANCISCO, CA 94111 USA</t>
  </si>
  <si>
    <t>1932-6203</t>
  </si>
  <si>
    <t>PLoS One</t>
  </si>
  <si>
    <t>APR 30</t>
  </si>
  <si>
    <t>e0250629</t>
  </si>
  <si>
    <t>10.1371/journal.pone.0250629</t>
  </si>
  <si>
    <t>Multidisciplinary Sciences</t>
  </si>
  <si>
    <t>Science &amp; Technology - Other Topics</t>
  </si>
  <si>
    <t>SW6EM</t>
  </si>
  <si>
    <t>Green Published, gold</t>
  </si>
  <si>
    <t>WOS:000664607000020</t>
  </si>
  <si>
    <t>Castro, MF; Neves, JCL; Francelino, MR; Schaefer, CEGR; Oliveira, TS</t>
  </si>
  <si>
    <t>Castro, Marllon F.; Neves, Julio C. L.; Francelino, Marcio R.; Schaefer, Carlos Ernesto G. R.; Oliveira, Teogenes S.</t>
  </si>
  <si>
    <t>Seabirds enrich Antarctic soil with trace metals in organic fractions</t>
  </si>
  <si>
    <t>SCIENCE OF THE TOTAL ENVIRONMENT</t>
  </si>
  <si>
    <t>Ornithogenic soils; Heavy metals; Ground contamination; Organic matter; Trophic chain</t>
  </si>
  <si>
    <t>KING GEORGE ISLAND; SOUTH-SHETLAND ISLANDS; ROSS SEA REGION; WEDDELL SEA; ORNITHOGENIC SEDIMENTS; ELEMENT CONTAMINATION; MARITIME ANTARCTICA; FILDES PENINSULA; HOPE BAY; MATTER</t>
  </si>
  <si>
    <t>Coastal areas of Antarctica are subjected to anthropic contamination from around the world by trace metals biotransported and accumulated by seabird excrements. To explore this hypothesis, this study investigated the influence of seabirds on the contents of trace metals in soil organic fractions from Antarctica under different climatic conditions and from different parent materials. For this, soil profiles from the Maritime Antarctica region were selected based on the criteria of ornithogenesis, parent material, and climate. The contents of C, N, and selected metals (Ba, Co, Cr, Cu, Fe, Mn, Ni, Pb, Sr, and Zn) were analysed in the organic matter associated with minerals (MAOM), the particulate fraction (POM), and in the total soil (MAOM + POM). The ornithogenic soils presented the highest amounts of C and N in the soil, MAOM, and POM as compared to nonornithogenic soils. Seabird activity resulted in an enrichment of Pb, Zn, and Cu. Among these biotransported metals, Cu and Zn seem to originate from natural biogenic processes in marine food chains, unlike Pb, which seems to come from anthropogenic sources. The soils developed from igneous rocks presented higher amounts of Ba, Co, Cu, Fe, Mn, and Sr in the soil, MAOM, and POM than soils from sedimentary rocks. The climate had no clear effect on most metals. Hence, seabirds enrich soils, MAOM, and POM with Cu, Zn, and Pb, whereas the amounts of Ba, Co, Cr, Fe, Mn, Ni, and Sr are mainly lithogenic, associated with the parent material. Monitoring biotransported trace metals in ornithogenic soils is of great importance, since they can create environmental toxicity to terrestrial plants and animals and can influence the food chain in the coastal areas of Antarctica. (c) 2021 Elsevier B.V. All rights reserved.</t>
  </si>
  <si>
    <t>[Castro, Marllon F.; Neves, Julio C. L.; Francelino, Marcio R.; Schaefer, Carlos Ernesto G. R.; Oliveira, Teogenes S.] Univ Fed Vicosa, Soil Dept, Vicosa, MG, Brazil</t>
  </si>
  <si>
    <t>Universidade Federal de Vicosa</t>
  </si>
  <si>
    <t>Castro, MF (corresponding author), Univ Fed Vicosa, Soil Dept, Vicosa, MG, Brazil.</t>
  </si>
  <si>
    <t>marllon.castro@ufv.br; marcio.francelino@ufv.br; carlos.schaefer@ufv.br; teo@ufv.br</t>
  </si>
  <si>
    <t>Francelino, Marcio Rocha/AAS-4224-2020; Neves, Julio/ABE-1893-2020; Schaefer, Carlos Ernesto/AAY-4977-2020</t>
  </si>
  <si>
    <t>Francelino, Marcio Rocha/0000-0001-8837-1372; Neves, Julio/0000-0001-8356-5100; Castro, Marllon/0000-0002-0851-6007</t>
  </si>
  <si>
    <t>Coordenacao de Aperfeicoamento de Pessoal de Nivel SuperiorBrasil (CAPES) [001]; Brazilian National Research and Technology Council (CNPq)</t>
  </si>
  <si>
    <t>Coordenacao de Aperfeicoamento de Pessoal de Nivel SuperiorBrasil (CAPES)(Coordenacao de Aperfeicoamento de Pessoal de Nivel Superior (CAPES)); Brazilian National Research and Technology Council (CNPq)(Conselho Nacional de Desenvolvimento Cientifico e Tecnologico (CNPQ)Fundacao de Apoio a Pesquisa do Distrito Federal (FAPDF))</t>
  </si>
  <si>
    <t>This study was financed in part by the Coordenacao de Aperfeicoamento de Pessoal de Nivel SuperiorBrasil (CAPES) Finance Code 001 and Brazilian National Research and Technology Council (CNPq) . This study has contribution of Brazilian Navy and Institute of Science and Technology of the CryosphereTERRANTAR group (PERMACLIMA Project) . We also thank the DSc. Jose Ferreira, Jessica Neves and DSc Mayara Daher for their assistance in making graphs, maps and selecting soil samples, respectively.</t>
  </si>
  <si>
    <t>ELSEVIER</t>
  </si>
  <si>
    <t>AMSTERDAM</t>
  </si>
  <si>
    <t>RADARWEG 29, 1043 NX AMSTERDAM, NETHERLANDS</t>
  </si>
  <si>
    <t>0048-9697</t>
  </si>
  <si>
    <t>1879-1026</t>
  </si>
  <si>
    <t>SCI TOTAL ENVIRON</t>
  </si>
  <si>
    <t>Sci. Total Environ.</t>
  </si>
  <si>
    <t>SEP 1</t>
  </si>
  <si>
    <t>10.1016/j.scitotenv.2021.147271</t>
  </si>
  <si>
    <t>SV4NW</t>
  </si>
  <si>
    <t>WOS:000663799000004</t>
  </si>
  <si>
    <t>Huang, LX; Kang, JF; Wan, MX; Fang, L; Zhang, CY; Zeng, ZL</t>
  </si>
  <si>
    <t>Huang, Liexing; Kang, Junfeng; Wan, Mengxue; Fang, Lei; Zhang, Chunyan; Zeng, Zhaoliang</t>
  </si>
  <si>
    <t>Solar Radiation Prediction Using Different Machine Learning Algorithms and Implications for Extreme Climate Events</t>
  </si>
  <si>
    <t>FRONTIERS IN EARTH SCIENCE</t>
  </si>
  <si>
    <t>solar radiation prediction; meteorological factors; machine learning; stacking model; climate extremes model comparison</t>
  </si>
  <si>
    <t>ARTIFICIAL NEURAL-NETWORKS; SUPPORT VECTOR MACHINE; GEOGRAPHIC-VARIATION; VARIABLE SELECTION; CANCER MORTALITY; UNITED-STATES; MODEL; CLASSIFICATION; PERFORMANCE; IRRADIANCE</t>
  </si>
  <si>
    <t>Solar radiation is the Earth's primary source of energy and has an important role in the surface radiation balance, hydrological cycles, vegetation photosynthesis, and weather and climate extremes. The accurate prediction of solar radiation is therefore very important in both the solar industry and climate research. We constructed 12 machine learning models to predict and compare daily and monthly values of solar radiation and a stacking model using the best of these algorithms were developed to predict solar radiation. The results show that meteorological factors (such as sunshine duration, land surface temperature, and visibility) are crucial in the machine learning models. Trend analysis between extreme land surface temperatures and the amount of solar radiation showed the importance of solar radiation in compound extreme climate events. The gradient boosting regression tree (GBRT), extreme gradient lifting (XGBoost), Gaussian process regression (GPR), and random forest models performed better (poor) prediction capabilities of daily and monthly solar radiation. The stacking model, which included the GBRT, XGBoost, GPR, and random forest models, performed better than the single models in the prediction of daily solar radiation but showed no advantage over the XGBoost model in the prediction of the monthly solar radiation. We conclude that the stacking model and the XGBoost model are the best models to predict solar radiation.</t>
  </si>
  <si>
    <t>[Huang, Liexing] Ganzhou Natl Terr Spactial Invest &amp; Planning, Ganzhou, Peoples R China; [Huang, Liexing; Kang, Junfeng] Jiangxi Univ Sci &amp; Technol, Sch Civil &amp; Surveying &amp; Mapping, Ganzhou, Peoples R China; [Zeng, Zhaoliang] Wuhan Univ, Chinese Antarctic Ctr Surveying &amp; Mapping, Wuhan, Peoples R China; [Kang, Junfeng] Univ Connecticut, Dept Geog, Storrs, CT 06269 USA; [Wan, Mengxue] Chinese Res Inst Environm Sci, State Key Lab Environm Criteria &amp; Risk Assessment, Beijing, Peoples R China; [Wan, Mengxue] Natl Joint Res Ctr Yangtze River Conservat, Beijing, Peoples R China; [Fang, Lei] Fudan Univ, Dept Environm Sci &amp; Engn, Shanghai, Peoples R China; [Zhang, Chunyan] Chongqing Wanzhou Dist Planning &amp; Design Inst, Chongqing, Peoples R China</t>
  </si>
  <si>
    <t>Jiangxi University of Science &amp; Technology; Wuhan University; University of Connecticut; Chinese Research Academy of Environmental Sciences; Fudan University</t>
  </si>
  <si>
    <t>Kang, JF (corresponding author), Jiangxi Univ Sci &amp; Technol, Sch Civil &amp; Surveying &amp; Mapping, Ganzhou, Peoples R China.;Zeng, ZL (corresponding author), Wuhan Univ, Chinese Antarctic Ctr Surveying &amp; Mapping, Wuhan, Peoples R China.;Kang, JF (corresponding author), Univ Connecticut, Dept Geog, Storrs, CT 06269 USA.</t>
  </si>
  <si>
    <t>junfeng.kang@jxust.edu.cn; zhaoliang.zeng@whu.edu.cn</t>
  </si>
  <si>
    <t>Fang, Lei/ABG-1462-2021; Zeng, Zhaoliang/AAV-8359-2021</t>
  </si>
  <si>
    <t>Zeng, Zhaoliang/0000-0002-9108-8575; Kang, Junfeng/0000-0002-9887-4632; FANG, Lei/0000-0001-8902-1817</t>
  </si>
  <si>
    <t>National Key Research and Development Program of China [2016YFC0803105]; National Natural Science Foundation of China [41301423]; China Postdoctoral Science Foundation [2018M641926]; National Fund for Study Abroad [201808360065]; Jiangxi Provincial Department of Education Science and Technology Research Projects [GJJ150661]</t>
  </si>
  <si>
    <t>National Key Research and Development Program of China; National Natural Science Foundation of China(National Natural Science Foundation of China (NSFC)); China Postdoctoral Science Foundation(China Postdoctoral Science Foundation); National Fund for Study Abroad; Jiangxi Provincial Department of Education Science and Technology Research Projects</t>
  </si>
  <si>
    <t>This work was supported by the National Key Research and Development Program of China (Grant No. 2016YFC0803105), National Natural Science Foundation of China (Grant No. 41301423), China Postdoctoral Science Foundation (Grant No. 2018M641926), Projects supported by the National Fund for Study Abroad (Grant No. 201808360065), and Jiangxi Provincial Department of Education Science and Technology Research Projects (Grant No. GJJ150661).</t>
  </si>
  <si>
    <t>FRONTIERS MEDIA SA</t>
  </si>
  <si>
    <t>LAUSANNE</t>
  </si>
  <si>
    <t>AVENUE DU TRIBUNAL FEDERAL 34, LAUSANNE, CH-1015, SWITZERLAND</t>
  </si>
  <si>
    <t>2296-6463</t>
  </si>
  <si>
    <t>FRONT EARTH SC-SWITZ</t>
  </si>
  <si>
    <t>Front. Earth Sci.</t>
  </si>
  <si>
    <t>10.3389/feart.2021.596860</t>
  </si>
  <si>
    <t>SB8FE</t>
  </si>
  <si>
    <t>WOS:000650222000001</t>
  </si>
  <si>
    <t>Wienecke, B</t>
  </si>
  <si>
    <t>Wienecke, Barbara</t>
  </si>
  <si>
    <t>Emperor penguins and the First German South Polar Expedition, 1901-1903: The elusive colony in Posadowsky Bay</t>
  </si>
  <si>
    <t>POLAR RECORD</t>
  </si>
  <si>
    <t>First German South Polar Expedition; Emperor penguins; Antarctic history</t>
  </si>
  <si>
    <t>Members of the First German South Polar Expedition (1901-1903) encountered emperor penguins (Aptenodytes forsteri) near their wintering station in the sea ice of Posadowsky Bay, East Antarctica. The penguins appeared to be generally less of scientific interest, but more of a useful resource. Despite the presence of chicks, the men were uncertain about the existence of a breeding colony, and did not record the position of the penguin aggregation they encountered. In later years, only a few sightings confirmed the existence of a colony, and the last ground visit took place in 1960. Based on satellite imagery, a colony appears to exist even now. This paper examines what impact the expedition may have had on this colony, and whether it still exists.</t>
  </si>
  <si>
    <t>[Wienecke, Barbara] Australian Antarctic Div, Dept Agr Water &amp; Environm, 203 Channel Highway, Kingston, Tas 7050, Australia</t>
  </si>
  <si>
    <t>Australian Antarctic Division</t>
  </si>
  <si>
    <t>Wienecke, B (corresponding author), Australian Antarctic Div, Dept Agr Water &amp; Environm, 203 Channel Highway, Kingston, Tas 7050, Australia.</t>
  </si>
  <si>
    <t>Barbara.Wienecke@aad.gov.au</t>
  </si>
  <si>
    <t>AAD Project [4564]; Australian Antarctic Division</t>
  </si>
  <si>
    <t>AAD Project; Australian Antarctic Division</t>
  </si>
  <si>
    <t>This work is part of AAD Project 4564 and was supported by the Australian Antarctic Division. The manuscript was prepared by the author alone. The ethical standards of publishing were adhered to.</t>
  </si>
  <si>
    <t>CAMBRIDGE UNIV PRESS</t>
  </si>
  <si>
    <t>32 AVENUE OF THE AMERICAS, NEW YORK, NY 10013-2473 USA</t>
  </si>
  <si>
    <t>0032-2474</t>
  </si>
  <si>
    <t>1475-3057</t>
  </si>
  <si>
    <t>POLAR REC</t>
  </si>
  <si>
    <t>POLAR REC.</t>
  </si>
  <si>
    <t>e15</t>
  </si>
  <si>
    <t>10.1017/S0032247421000115</t>
  </si>
  <si>
    <t>Ecology; Environmental Sciences</t>
  </si>
  <si>
    <t>RU9FR</t>
  </si>
  <si>
    <t>WOS:000645445900001</t>
  </si>
  <si>
    <t>Zhang, MM; Marandino, CA; Yan, JP; Lin, Q; Park, K; Xu, GJ</t>
  </si>
  <si>
    <t>Zhang, Miming; Marandino, Christa A.; Yan, Jinpei; Lin, Qi; Park, Keyhong; Xu, Guojie</t>
  </si>
  <si>
    <t>DMS sea-to-air fluxes and their influence on sulfate aerosols over the Southern Ocean, south-east Indian Ocean and north-west Pacific Ocean</t>
  </si>
  <si>
    <t>ENVIRONMENTAL CHEMISTRY</t>
  </si>
  <si>
    <t>dimethyl sulfide; DMS; sulfate aerosol; DMS sea-to-air fluxes; the Southern Ocean; Indian Ocean; Pacific Ocean; relationships</t>
  </si>
  <si>
    <t>DIMETHYL SULFIDE; ATMOSPHERIC DIMETHYLSULFIDE; BOUNDARY-LAYER; GAS-EXCHANGE; SALT SULFATE; ARCTIC-OCEAN; METHANESULFONATE; SULFUR; PHYTOPLANKTON; DISTRIBUTIONS</t>
  </si>
  <si>
    <t>Environmental context The ocean-produced dimethyl sulfide (DMS) molecule is thought to affect cloud formation and the solar radiation budget at the Earth's surface, hence playing an important role in regulating climate. In this study, we calculated the DMS sea-to-air flux across the Southern Ocean, south-east Indian Ocean and north-west Pacific Ocean, and analysed the influence of DMS fluxes on sulfate aerosols. These results improved our understanding of the effects of DMS emissions on sulfate compounds in the atmosphere over the global ocean. Oceanic dimethyl sulfide (DMS) is the most abundant biogenic sulfur compound emitted into the atmosphere and could indirectly regulate the global climate by impacting end product sulfate aerosols. DMS emissions and their influence on sulfate aerosols, i.e. methanesulfonic acid (MSA) and non-sea-salt sulfate (nss-SO42-), were investigated over the Atlantic Ocean and Indian Ocean sectors of the Southern Ocean (SO), the south-east Indian Ocean, and the north-west Pacific Ocean from February to April 2014 during the 30th Chinese National Antarctic Research Expedition. We found a strong large-scale DMS source in the marginal sea ice zone from 34 degrees W to 14 degrees E of the SO (south of 60 degrees S), in which the mean flux was 49.0 +/- 65.6 mu mol m(-2) d(-1) (0.6-308.3 mu mol m(-2) d(-1), n = 424). We also found a second large-scale DMS source in the South Subtropical Front (similar to 40 degrees S, up to 50.8 mu mol m(-2) d(-1)). An inconsistency between concentrations of atmospheric sulfate compounds and DMS emissions along the cruise track was observed. The horizontal advection of air masses was likely the main reason for this discrepancy. Finally, the biological exposure calculation results also indicated that it is very difficult to observe a straightforward relationship between oceanic biomass and atmospheric MSA.</t>
  </si>
  <si>
    <t>[Zhang, Miming; Yan, Jinpei; Lin, Qi] Minist Nat Resource, Inst Oceanog 3, Key Lab Global Change &amp; Marine Atmospher Chem, Xiamen 361005, Fujian, Peoples R China; [Marandino, Christa A.] GEOMAR Helmholtz Ctr Ocean Res, Forschungsbereich Marine Biogeochem, Dusternbrooker Weg 20, D-24105 Kiel, Germany; [Park, Keyhong] Korea Polar Res Inst, Div Polar Ocean Sci, Incheon 21990, South Korea; [Xu, Guojie] Nanjing Univ Informat Sci &amp; Technol, Key Lab Aerosol Cloud Precipitat China Meteorol A, Collaborat Innovat Ctr Forecast &amp; Evaluat Meteoro, Nanjing 210044, Peoples R China</t>
  </si>
  <si>
    <t>Third Institute of Oceanography, Ministry of Natural Resources; Helmholtz Association; GEOMAR Helmholtz Center for Ocean Research Kiel; Korea Polar Research Institute (KOPRI); Nanjing University of Information Science &amp; Technology</t>
  </si>
  <si>
    <t>Zhang, MM (corresponding author), Minist Nat Resource, Inst Oceanog 3, Key Lab Global Change &amp; Marine Atmospher Chem, Xiamen 361005, Fujian, Peoples R China.</t>
  </si>
  <si>
    <t>zhangmiming@tio.org.cn</t>
  </si>
  <si>
    <t>Marandino, Christa/HLX-5973-2023</t>
  </si>
  <si>
    <t>Marandino, Christa/0000-0001-9947-4377; Zhang, Miming/0000-0001-5848-3672</t>
  </si>
  <si>
    <t>National Natural Science Foundation of China (NSFC) [4207060283, 41911540471]; Scientific Research Foundation of the Third Institute of Oceanography, at the Ministry of Natural Resources [2019009, 2019008, 2018014]; international cooperation program by the National Research Foundation of Korea [NRF-2019K2A9A2A06025329]; International Organizations and Conference and Bilateral Cooperation of Maritime Affairs, Ministry of Science and Technology; Key Research and Development Programs [2018YFC1406703]; International Organizations and Conference and Bilateral Cooperation of Maritime Affairs; Chinese Projects for Investigations and Assessments of the Arctic and Antarctic (CHINARE2017-2020); China Scholarship Council; Korean Polar Research Institute [PE21110]</t>
  </si>
  <si>
    <t>National Natural Science Foundation of China (NSFC)(National Natural Science Foundation of China (NSFC)); Scientific Research Foundation of the Third Institute of Oceanography, at the Ministry of Natural Resources; international cooperation program by the National Research Foundation of Korea(National Research Foundation of Korea); International Organizations and Conference and Bilateral Cooperation of Maritime Affairs, Ministry of Science and Technology; Key Research and Development Programs; International Organizations and Conference and Bilateral Cooperation of Maritime Affairs; Chinese Projects for Investigations and Assessments of the Arctic and Antarctic (CHINARE2017-2020); China Scholarship Council(China Scholarship Council); Korean Polar Research Institute</t>
  </si>
  <si>
    <t>This work was supported by the National Natural Science Foundation of China (NSFC) (4207060283, 41911540471), the Scientific Research Foundation of the Third Institute of Oceanography, at the Ministry of Natural Resources (under contracts no. 2019009, 2019008, 2018014), the international cooperation program managed by the National Research Foundation of Korea (NRF-2019K2A9A2A06025329), funding from the International Organizations and Conference and Bilateral Cooperation of Maritime Affairs, Ministry of Science and Technology and Key Research and Development Programs No. 2018YFC1406703, the International Organizations and Conference and Bilateral Cooperation of Maritime Affairs, the Chinese Projects for Investigations and Assessments of the Arctic and Antarctic (CHINARE2017-2020), the fund of China Scholarship Council and the Korean Polar Research Institute (Grant PE21110).</t>
  </si>
  <si>
    <t>CSIRO PUBLISHING</t>
  </si>
  <si>
    <t>CLAYTON</t>
  </si>
  <si>
    <t>UNIPARK, BLDG 1, LEVEL 1, 195 WELLINGTON RD, LOCKED BAG 10, CLAYTON, VIC 3168, AUSTRALIA</t>
  </si>
  <si>
    <t>1448-2517</t>
  </si>
  <si>
    <t>1449-8979</t>
  </si>
  <si>
    <t>ENVIRON CHEM</t>
  </si>
  <si>
    <t>Environ. Chem.</t>
  </si>
  <si>
    <t>10.1071/EN21003</t>
  </si>
  <si>
    <t>Chemistry, Analytical; Environmental Sciences</t>
  </si>
  <si>
    <t>Chemistry; Environmental Sciences &amp; Ecology</t>
  </si>
  <si>
    <t>WV5HJ</t>
  </si>
  <si>
    <t>Green Accepted</t>
  </si>
  <si>
    <t>WOS:000645604700001</t>
  </si>
  <si>
    <t>Park, SH; Lee, CW; Bae, DW; Do, H; Jeong, CS; Hwang, J; Cha, SS; Lee, JH</t>
  </si>
  <si>
    <t>Park, Sun-Ha; Lee, Chang Woo; Bae, Da-Woon; Do, Hackwon; Jeong, Chang-Sook; Hwang, Jisub; Cha, Sun-Shin; Lee, Jun Hyuck</t>
  </si>
  <si>
    <t>Structural basis of the cooperative activation of type II citrate synthase (HyCS) from Hymenobacter sp. PAMC 26554</t>
  </si>
  <si>
    <t>INTERNATIONAL JOURNAL OF BIOLOGICAL MACROMOLECULES</t>
  </si>
  <si>
    <t>Crystal structure; Citrate synthase; Hymenobacter sp; PAMC 26554; Domain movement; X-ray crystallography</t>
  </si>
  <si>
    <t>NADH BINDING-SITE</t>
  </si>
  <si>
    <t>Citrate synthase (CS) catalyzes the formation of citrate and coenzyme A from acetyl-CoA and oxaloacetate. CS exists in two forms: type I and type II. We determined the citrate-bound crystal structure of type II CS from the Hymenobacter sp. PAMC 26554 bacterium (HyCS; isolated from Antarctic lichen). Citrate molecules bound to a cleft between the large and small domains of HyCS. Structural comparison of HyCS with other type II CSs revealed that type II CSs have a highly conserved flexible hinge region (residues G264-P265 in HyCS), enabling correct positioning of active site residues. Notably, the catalytic His266 residue of HyCS interacted with Trp262 in the inactive (unliganded open) state of other type II CSs, whereas the His266 residue moved to the active site via a small-domain swing motion, interacting with the bound citrate in the closed conformation of HyCS. However, type I CSs lack this tryptophan residue and face-to-edge interactions. Thus, type II CSs might have a unique domain-motion control mechanism enabling a tight allosteric regulation. An activity assay using a W262A mutant showed a Hill coefficient of 2.4; thus, the interaction between Trp262 and His266 was closely related to the positive cooperative ligand binding of type II CS. (c) 2021 Published by Elsevier B.V.</t>
  </si>
  <si>
    <t>[Park, Sun-Ha; Lee, Chang Woo; Do, Hackwon; Jeong, Chang-Sook; Hwang, Jisub; Lee, Jun Hyuck] Korea Polar Res Inst, Res Unit Cryogen Novel Mat, Incheon 21990, South Korea; [Bae, Da-Woon; Cha, Sun-Shin] Ewha Womans Univ, Dept Chem &amp; Nanosci, Seoul 03760, South Korea; [Lee, Chang Woo; Jeong, Chang-Sook; Hwang, Jisub; Lee, Jun Hyuck] Univ Sci &amp; Technol, Dept Polar Sci, Incheon 21990, South Korea; [Park, Sun-Ha] Infrastruct Project Org Global Industrializat Vac, Publ CDMO Microbial Based Vaccine, Hwasun 58141, South Korea</t>
  </si>
  <si>
    <t>Korea Polar Research Institute (KOPRI); Ewha Womans University</t>
  </si>
  <si>
    <t>Lee, JH (corresponding author), Korea Polar Res Inst, Res Unit Cryogen Novel Mat, Incheon 21990, South Korea.;Cha, SS (corresponding author), Ewha Womans Univ, Dept Chem &amp; Nanosci, Seoul 03760, South Korea.</t>
  </si>
  <si>
    <t>chajung@ewha.ac.kr; junhyucklee@kopri.re.kr</t>
  </si>
  <si>
    <t>Shin, Sun/B-7370-2009</t>
  </si>
  <si>
    <t>Cha, Sun-Shin/0000-0002-0913-8706; Hwang, Jisub/0000-0002-9835-5912</t>
  </si>
  <si>
    <t>Ministry of Oceans and Fisheries, Korea [15250103, PM21030]; National Research Foundation of Korea Grant from the Korean Government (MSIT; the Ministry of Science and ICT) [NRF-2017M1A5A10135 68, KOPRI-PN20082]</t>
  </si>
  <si>
    <t>Ministry of Oceans and Fisheries, Korea; National Research Foundation of Korea Grant from the Korean Government (MSIT; the Ministry of Science and ICT)(National Research Foundation of KoreaMinistry of Science &amp; ICT (MSIT), Republic of Korea)</t>
  </si>
  <si>
    <t>We thank the staff at the Xray core facility of the Korea Basic Science Institute (Ochang, Korea) and BL-5C of the Pohang Accelerator Laboratory (Pohang, Korea) for their assistance with data collection. This research was a part of the project titled Development of potential antibiotic compounds using polar organism resources (15250103, KOPRI Grant PM21030)  funded by the Ministry of Oceans and Fisheries, Korea. This research was also supported by a National Research Foundation of Korea Grant from the Korean Government (MSIT; the Ministry of Science and ICT) (NRF-2017M1A5A10135 68) (KOPRI-PN2008 2) (Title: Application study on the Arctic coldactive enzyme degrading organic carbon compounds) .</t>
  </si>
  <si>
    <t>0141-8130</t>
  </si>
  <si>
    <t>1879-0003</t>
  </si>
  <si>
    <t>INT J BIOL MACROMOL</t>
  </si>
  <si>
    <t>Int. J. Biol. Macromol.</t>
  </si>
  <si>
    <t>JUL 31</t>
  </si>
  <si>
    <t>10.1016/j.ijbiomac.2021.04.141</t>
  </si>
  <si>
    <t>Biochemistry &amp; Molecular Biology; Chemistry, Applied; Polymer Science</t>
  </si>
  <si>
    <t>Biochemistry &amp; Molecular Biology; Chemistry; Polymer Science</t>
  </si>
  <si>
    <t>TM8YK</t>
  </si>
  <si>
    <t>WOS:000675832400007</t>
  </si>
  <si>
    <t>Rapizo, H; Godoi, VA; Perez, J; Durrant, T; Guedes, R</t>
  </si>
  <si>
    <t>Rapizo, H.; Godoi, V. A.; Perez, J.; Durrant, T.; Guedes, R.</t>
  </si>
  <si>
    <t>Analysis of the New Zealand's Taranaki regional wave climate using high-resolution modelling</t>
  </si>
  <si>
    <t>REGIONAL STUDIES IN MARINE SCIENCE</t>
  </si>
  <si>
    <t>Wave climate; New Zealand's Taranaki region; Storm waves; High-resolution wave hindcast; El Nino; Antarctic oscillation</t>
  </si>
  <si>
    <t>NINO-SOUTHERN OSCILLATION; EXTRATROPICAL CYCLONE BEHAVIOR; EL-NINO; GLOBAL TRENDS; ANNULAR MODES; WIND-WAVES; VARIABILITY; HINDCAST; REANALYSIS; PATTERNS</t>
  </si>
  <si>
    <t>Understanding the regional wave climate is essential for engineering applications. The last two decades have not been included in assessments of the wave climate of New Zealand's Taranaki region, where the country exploits offshore oil and gas. To make up for this lack of assessment, we carried out a high-resolution long-term (1979-2018) wave hindcast and examined several aspects of the climate in the region. The hindcast data validation against buoy and satellite data showed good agreement and suitability for wave climate analysis. Seasonal wave distributions reveal a bi-modal pattern, composed of (1) more energetic and long period (13-15 s) westerly-southwesterly swells; and (2) shorter-period (similar to 8 s) southwesterly wind-seas. These signatures result from the region's high exposure to swells generated by persistent strong winds blowing over long fetches in the Southern Ocean, and to local storm-associated wind-seas, respectively. The largest waves are found offshore, with mean H-s value reaching 2.83 m, 90th percentile 4.3 m, 99th percentile 6.1 m, and maximum 10.8 m. Storm wave monthly climatologies show that storm peaks are largest in the austral autumn, especially in May, while the number of events is the largest in July. Trends in H-s statistics reveal an increase over the past 40 years, with higher rates at higher percentiles. Storm peaks have also increased, by up to 8 cm/decade, whereas the number of storm events has decreased. In agreement with previous work, we found relationships between H-s and climate patterns. Waves get larger in Taranaki waters during El Nino events, as a result of stronger southwesterly winds, and during negative Antarctic Oscillation phases, as westerly winds displace northward. (C) 2021 Elsevier B.V. All rights reserved.</t>
  </si>
  <si>
    <t>[Rapizo, H.; Perez, J.] MetOcean Solut, 5 Wainui Rd, Raglan 3225, New Zealand; [Godoi, V. A.] Univ Fed Maranhao, Marine Sci Inst ICMar, Av Portugueses 1966, BR-65080805 Sao Luis, Maranhao, Brazil; [Durrant, T.; Guedes, R.] Oceanum Ltd, Raglan, New Zealand</t>
  </si>
  <si>
    <t>Universidade Federal do Maranhao</t>
  </si>
  <si>
    <t>Rapizo, H (corresponding author), MetOcean Solut, 5 Wainui Rd, Raglan 3225, New Zealand.</t>
  </si>
  <si>
    <t>h.rapizo@metocean.co.nz</t>
  </si>
  <si>
    <t>Godoi, Victor Azevedo/AAH-1242-2019; Perez, Jorge/P-5841-2015</t>
  </si>
  <si>
    <t>Godoi, Victor Azevedo/0000-0001-7951-3017; Perez, Jorge/0000-0003-3875-3748; Guedes, Rafael/0000-0002-1726-1739</t>
  </si>
  <si>
    <t>2352-4855</t>
  </si>
  <si>
    <t>REG STUD MAR SCI</t>
  </si>
  <si>
    <t>Reg. Stud. Mar. Sci.</t>
  </si>
  <si>
    <t>JUN</t>
  </si>
  <si>
    <t>10.1016/j.rsma.2021.101806</t>
  </si>
  <si>
    <t>Ecology; Marine &amp; Freshwater Biology</t>
  </si>
  <si>
    <t>Environmental Sciences &amp; Ecology; Marine &amp; Freshwater Biology</t>
  </si>
  <si>
    <t>TE6TE</t>
  </si>
  <si>
    <t>hybrid</t>
  </si>
  <si>
    <t>WOS:000670142200006</t>
  </si>
  <si>
    <t>Abakumov, E; Nizamutdinov, T; Yaneva, R; Zhiyanski, M</t>
  </si>
  <si>
    <t>Abakumov, Evgeny; Nizamutdinov, Timur; Yaneva, Rossitsa; Zhiyanski, Miglena</t>
  </si>
  <si>
    <t>Polycyclic Aromatic Hydrocarbons and Potentially Toxic Elements in Soils of the Vicinity of the Bulgarian Antarctic Station St. Kliment Ohridski (Antarctic Peninsula)</t>
  </si>
  <si>
    <t>FRONTIERS IN ENVIRONMENTAL SCIENCE</t>
  </si>
  <si>
    <t>livingston island; isomer ratios; trace metals; pollution assessment; geoaccumulation index; sources</t>
  </si>
  <si>
    <t>KING GEORGE ISLAND; HEAVY-METAL CONTAMINATION; FILDES PENINSULA; SEDIMENT CORES; ADMIRALTY BAY; PAH SOURCE; IMPACTS; RATIOS; FATE; ATMOSPHERE</t>
  </si>
  <si>
    <t>The investigation conducted was dialed to quantitative and qualitative evaluation of 15 priority polycyclic aromatic hydrocarbons (PAHs) and Potentially Toxic Elements (Cu, Pb, Zn, Cd, Ni, and Cr) is soils and cryoconites on St. Kliment Ohridski Antarctic station territory and its vicinities. Estimation of benzo(a)pyrene (BaP)-equivalents, PAHs and different PAHs isomer pair ratios were used for identification of general toxicity, nature and origin of individual PAHs and their groups. Total concentrations of PAHs in BaP-equivalents showed, that Sigma(15)PAH of all selected points was higher than the threshold concentration (20 mu g x kg(-1)-Russian environmental legislation) for benzo(a) pyrene. Different PAHs isomer ratios showed the natural (petrogenic) source of PAHs at all soils examples (except Cryosol Toxic Transportic). The maximum content among potentially toxic elements was recorded for Zn (75.7mg x kg(-)1 at L26), the minimum for Cd (0.201 mg x kg(-1) at L1A). Average concentrations of potentially toxic elements are generally lower compared to the results of previous studies. Application of I-geo index, characterizes the majority of the studied soils as unpolluted or practically unpolluted. Data obtained indicates that there is no current critical anthropogenic load on the environmental components of the landscapes investigated.</t>
  </si>
  <si>
    <t>[Abakumov, Evgeny; Nizamutdinov, Timur] St Petersburg State Univ, Biol Fac, Dept Appl Ecol, St Petersburg, Russia; [Yaneva, Rossitsa; Zhiyanski, Miglena] Bulgarian Acad Sci, Forest Res Inst, Sofia, Bulgaria</t>
  </si>
  <si>
    <t>Saint Petersburg State University; Bulgarian Academy of Sciences; Forest Research Institute, Bulgaria</t>
  </si>
  <si>
    <t>Abakumov, E (corresponding author), St Petersburg State Univ, Biol Fac, Dept Appl Ecol, St Petersburg, Russia.</t>
  </si>
  <si>
    <t>e_abakumov@mail.ru</t>
  </si>
  <si>
    <t>Abakumov, e_abakumov@mail.ru/ADJ-1297-2022; Nizamutdinov, Timur/AAA-9686-2021; Abakumov, Evgeny/AAO-8580-2020</t>
  </si>
  <si>
    <t>Abakumov, e_abakumov@mail.ru/0000-0002-5248-9018; Nizamutdinov, Timur/0000-0003-2600-5494; Abakumov, Evgeny/0000-0002-5248-9018</t>
  </si>
  <si>
    <t>Russian Foundation for Basic Research [18-04-00900, 19-54-18003, 19-05-50107]</t>
  </si>
  <si>
    <t>This work was supported by Russian Foundation for Basic Research, Projects No 18-04-00900, 19-54-18003 and 19-05-50107.</t>
  </si>
  <si>
    <t>2296-665X</t>
  </si>
  <si>
    <t>FRONT ENV SCI-SWITZ</t>
  </si>
  <si>
    <t>Front. Environ. Sci.</t>
  </si>
  <si>
    <t>APR 29</t>
  </si>
  <si>
    <t>10.3389/fenvs.2021.656271</t>
  </si>
  <si>
    <t>SB1TE</t>
  </si>
  <si>
    <t>WOS:000649783600001</t>
  </si>
  <si>
    <t>Saba, GK; Bockus, AB; Shaw, CT; Seibel, BA</t>
  </si>
  <si>
    <t>Saba, Grace K.; Bockus, Abigail B.; Shaw, C. Tracy; Seibel, Brad A.</t>
  </si>
  <si>
    <t>Combined effects of ocean acidification and elevated temperature on feeding, growth, and physiological processes of Antarctic krill Euphausia superba</t>
  </si>
  <si>
    <t>MARINE ECOLOGY PROGRESS SERIES</t>
  </si>
  <si>
    <t>Antarctic krill; Ocean acidification; Ocean warming; Feeding; Growth; Physiology; Metabolism; Survival</t>
  </si>
  <si>
    <t>SOUTHERN-OCEAN; THYSANOESSA-INERMIS; CO2 CONCENTRATIONS; MARINE ORGANISMS; PACIFIC KRILL; SEA-WATER; RATES; PHYTOPLANKTON; PCO(2); SEAWATER</t>
  </si>
  <si>
    <t>Antarctic krill Euphausia superba is a key species in the Southern Ocean, where its habitat is projected to undergo continued warming and increases in pCO(2). Experiments during 2 summer field seasons at Palmer Station, Antarctica, investigated the independent and interactive effects of elevated temperature and pCO(2) (decreased pH) on feeding, growth, acid-base physiology, metabolic rate, and survival of adult Antarctic krill. Ingestion and clearance rates of chlorophyll were depressed under low pH (7.7) compared to ambient pH (8.1) after a 48 h acclimation period, but this difference disappeared after a 21 d acclimation. Growth rates were negligible and frequently negative, but were significantly more negative at high (3 degrees C, -0.03 mm d(-1)) compared to ambient temperature (0 degrees C, -0.01 mm d(-1)) with no effect of pH. Modest elevations in tissue total CO2 and tissue pH were apparent at low pH but were short-lived. Metabolic rate increased with temperature but was suppressed at low pH in smaller but not larger krill. Although effects of elevated temperature and/or decreased pH were mostly sublethal, mortality was higher at high temperature/low pH (58%) compared to ambient temperature/pH or ambient temperature/low pH (&gt; 90%). This study identified 3 dominant patterns: (1) shorter-term effects were primarily pH-dependent; (2) krill compensated for lower pH relatively quickly; and (3) longer-term effects on krill growth and survival were strongly driven by temperature with little to no pH effect.</t>
  </si>
  <si>
    <t>[Saba, Grace K.] Rutgers State Univ, Ctr Ocean Observing Leadership, Dept Marine &amp; Coastal Sci, New Brunswick, NJ 08901 USA; [Bockus, Abigail B.] Louisiana Univ Marine Consortium, Chauvin, LA 70344 USA; [Shaw, C. Tracy; Seibel, Brad A.] Univ S Florida, Coll Marine Sci, St Petersburg, FL 33701 USA</t>
  </si>
  <si>
    <t>Rutgers University System; Rutgers University New Brunswick; State University System of Florida; University of South Florida</t>
  </si>
  <si>
    <t>Saba, GK (corresponding author), Rutgers State Univ, Ctr Ocean Observing Leadership, Dept Marine &amp; Coastal Sci, New Brunswick, NJ 08901 USA.</t>
  </si>
  <si>
    <t>saba@marine.rutgers.edu</t>
  </si>
  <si>
    <t>National Science Foundation's Office of Polar Programs [OPP-1246293, OPP-1246349, OPP-1641198]</t>
  </si>
  <si>
    <t>National Science Foundation's Office of Polar Programs(National Science Foundation (NSF))</t>
  </si>
  <si>
    <t>We thank Rutgers University undergraduate alumni Ryan Fantasia and Monisha Sugla for their assistance in the field. We thank Deborah Steinberg, Joseph Cope, Kate Ruck, and the crew of the ARSV `Laurence M. Gould' for collection of Antarctic krill for these experiments during our field seasons at Palmer Station. We thank the Palmer Station staff for their support during each field season. We thank Nicole Waite and Lori Garzio for their assistance on figure preparation and statistical analyses on some components of the data. This project was funded by the National Science Foundation's Office of Polar Programs (OPP-1246293, OPP-1246349, OPP-1641198).</t>
  </si>
  <si>
    <t>INTER-RESEARCH</t>
  </si>
  <si>
    <t>OLDENDORF LUHE</t>
  </si>
  <si>
    <t>NORDBUNTE 23, D-21385 OLDENDORF LUHE, GERMANY</t>
  </si>
  <si>
    <t>0171-8630</t>
  </si>
  <si>
    <t>1616-1599</t>
  </si>
  <si>
    <t>MAR ECOL PROG SER</t>
  </si>
  <si>
    <t>Mar. Ecol.-Prog. Ser.</t>
  </si>
  <si>
    <t>10.3354/meps13715</t>
  </si>
  <si>
    <t>Ecology; Marine &amp; Freshwater Biology; Oceanography</t>
  </si>
  <si>
    <t>Environmental Sciences &amp; Ecology; Marine &amp; Freshwater Biology; Oceanography</t>
  </si>
  <si>
    <t>SA4VQ</t>
  </si>
  <si>
    <t>WOS:000649299900001</t>
  </si>
  <si>
    <t>Colominas-Ciuró, R; Bedellotti, M; D'Amico, VL; Carabajal, E; Benzal, J; Vidal, V; Motas, M; Santos, M; Coria, N; Barbosa, A</t>
  </si>
  <si>
    <t>Colominas-Ciuro, Roger; Bedellotti, Marcelo; D'Amico, Veronica L.; Carabajal, Eliana; Benzal, Jesus; Vidal, Virginia; Motas, Miguel; Santos, Mercedes; Coria, Nestor; Barbosa, Andres</t>
  </si>
  <si>
    <t>Diet, antioxidants and oxidative status in pygoscelid penguins</t>
  </si>
  <si>
    <t>Diet; Dietary antioxidants; Oxidative stress; Penguins; Stable Isotope Analyses in R; SIAR</t>
  </si>
  <si>
    <t>STABLE-ISOTOPE RATIOS; FREE-RADICAL THEORY; CHINSTRAP PENGUINS; ADELIE PENGUINS; REPRODUCTIVE SUCCESS; TEMPORAL VARIATION; VITAMIN-A; STRESS; CAROTENOIDS; KRILL</t>
  </si>
  <si>
    <t>Ecologically similar marine species inhabiting the same areas compete for food resources. Such competition is reduced by resource-partitioning strategies that may affect physiology. For instance, diet and feeding strategies may affect the antioxidant defences or the production of reactive oxygen species. Oxidative stress is defined as the imbalance between pro-oxidants and antioxidant defences. If such an imbalance favours the former, this can lead to oxidative damage, and oxidative stress increases. However, to our knowledge, how free-ranging animals adjust their oxidative status in relation to their foraging habitats, diet and dietary antioxidants has not yet been studied. Penguins are an interesting biological model for such a comparison because their diet, based on krill, fish and/or cephalopods, presents strong variation in dietary antioxidant content. We therefore examined trophic level (delta N-15), foraging habitat (delta C-13), dietary antioxidants (retinol, alpha-tocopherol and astaxanthin) and oxidative status (plasma non-enzymatic antioxidant capacity and oxidative damage) in pygoscelid penguins (chinstrap Pygoscelis antarcticus, gentoo P. papua and Adelie P. adeliae) breeding in Antarctica. We found interspecific differences in all variables analysed except alpha-tocopherol. Gentoo penguins exploited more cephalopods and fish in coastal and benthic habitats, Adelies showed an intermediate position, whereas chinstraps foraged more on krill and fish in pelagic waters. Dietary antioxidant levels showed specific patterns resulting in relationships with prey items. However, we did not find any clear relationships between dietary antioxidants and species-specific antioxidant capacity, suggesting the importance of endogenously produced antioxidants. Oxidative status appeared to be differently related to foraging strategy and antioxidant capacity in each species.</t>
  </si>
  <si>
    <t>[Colominas-Ciuro, Roger; Vidal, Virginia; Barbosa, Andres] Museo Nacl Ciencias Nat MNCN CSIC, Dept Ecol Evolut, Madrid 28006, Spain; [Bedellotti, Marcelo; D'Amico, Veronica L.] Ctr Estudio Sistemas Marinos CESIMAR CONICET, U9120ACD Puerto Madryn, Puerto Madryn, Argentina; [Bedellotti, Marcelo] Univ Chubut, Cat Biol Conservat, U9120OOW Puerto Madryn, Puerto Madryn, Argentina; [Carabajal, Eliana] Inst Biol Organismos Marinos IBIOMAR CONICET, U9120ACD Puerto Madryn, Puerto Madryn, Argentina; [Benzal, Jesus] Esn Expt Zonas Aridas EEZA CSIC, Dept Ecol Func &amp; Evolut, Almeria 04120, Spain; [Motas, Miguel] Univ Murcia, Fac Vet, Area Toxicol, E-30100 Murcia, Spain; [Santos, Mercedes; Coria, Nestor] Inst Antartico Argentino, Dept Biol Predadores Tope, B1650CSP San Martin, San Martin, Argentina</t>
  </si>
  <si>
    <t>Consejo Superior de Investigaciones Cientificas (CSIC); CSIC - Museo Nacional de Ciencias Naturales (MNCN); University of Murcia; Instituto Antartico Argentino</t>
  </si>
  <si>
    <t>Colominas-Ciuró, R (corresponding author), Museo Nacl Ciencias Nat MNCN CSIC, Dept Ecol Evolut, Madrid 28006, Spain.</t>
  </si>
  <si>
    <t>colominasciuro@gmail.com</t>
  </si>
  <si>
    <t>Colominas Ciuró, Roger/HOF-9267-2023; Colominas-Ciuro, Roger/ADL-7809-2022</t>
  </si>
  <si>
    <t>Bertellotti, Marcelo/0000-0002-1834-7788; Colominas-Ciuro, Roger/0000-0001-6312-0702</t>
  </si>
  <si>
    <t>Argentinian Antarctic Institute (IAA); Spanish Ministry of Economy and Competitiveness [CTM2011-24427, CTM2015-64720]; Multiannual Research Projects-CONICET [PIP 112-20110100680]; Spanish Ministry of Economy and Competitiveness FPI [BES2012-059299]; Argentinian Antarctic Base 'Esperanza'; CONICET doctoral fellowship; Argentinian Antarctic Base 'Marambio'</t>
  </si>
  <si>
    <t>Argentinian Antarctic Institute (IAA); Spanish Ministry of Economy and Competitiveness(Spanish Government); Multiannual Research Projects-CONICET; Spanish Ministry of Economy and Competitiveness FPI(Spanish Government); Argentinian Antarctic Base 'Esperanza'; CONICET doctoral fellowship; Argentinian Antarctic Base 'Marambio'</t>
  </si>
  <si>
    <t>We thank the Spanish Antarctic Base 'Gabriel de Castilla', the Spanish polar ship 'Hesperides' and the Marine Technology Unit (CSIC) for their hospitality, transportation and logistic support. We very much appreciated the hospitality and logistic support of the Argentinian Antarctic Institute (IAA) and both Argentinian Antarctic Bases 'Esperanza' and 'Marambio'. Permits for working in the study area and for handling penguins were issued by the Spanish Polar Committee. This study was funded by the Spanish Ministry of Economy and Competitiveness (CTM2011-24427 and CTM2015-64720) and Multiannual Research Projects-CONICET (PIP 112-20110100680). R.C.C. held a Spanish Ministry of Economy and Competitiveness FPI (BES2012-059299), and E.C. had a CONICET doctoral fellowship. This study is a contribution to the PINGUCLIM project. We thank Deborah Fuldauer for reviewing and correcting the English. We thank the editor and 2 anonymous reviewers for their constructive comments, which helped us to improve the manuscript.</t>
  </si>
  <si>
    <t>10.3354/meps13651</t>
  </si>
  <si>
    <t>WOS:000649299900015</t>
  </si>
  <si>
    <t>Reboita, MS; Ambrizzi, T; Crespo, NM; Dutra, LMM; Ferreira, GWD; Rehbein, A; Drumond, A; da Rocha, RP; de Souza, CA</t>
  </si>
  <si>
    <t>Reboita, Michelle Simoes; Ambrizzi, Tercio; Crespo, Natalia Machado; Dutra, Livia Marcia Mosso; Ferreira, Glauber Willian de S.; Rehbein, Amanda; Drumond, Anita; da Rocha, Rosmeri Porfirio; Souza, Christie Andre de</t>
  </si>
  <si>
    <t>Impacts of teleconnection patterns on South America climate</t>
  </si>
  <si>
    <t>ANNALS OF THE NEW YORK ACADEMY OF SCIENCES</t>
  </si>
  <si>
    <t>precipitation; South America; teleconnection patterns; climate indices</t>
  </si>
  <si>
    <t>SEA-SURFACE TEMPERATURE; MADDEN-JULIAN OSCILLATION; ATLANTIC MULTIDECADAL OSCILLATION; PACIFIC DECADAL OSCILLATION; LOW-LEVEL JET; TROPICAL CYCLONE ACTIVITY; OCEAN MODEL DIAGNOSIS; EL-NINO; INDIAN-OCEAN; ANTARCTIC OSCILLATION</t>
  </si>
  <si>
    <t>Oceanic heat sources disturb the atmosphere, which, to come back to its initial state, disperses waves. These waves affect the climate in remote regions, characterizing the teleconnection patterns. In this study, we describe eight teleconnection patterns that affect South America climate: the El Nino-Southern Oscillation (ENSO), the Pacific Decadal Oscillation (PDO), the Atlantic Multidecadal Oscillation (AMO), the Tropical Atlantic Dipole (TAD), the South Atlantic Dipole (SAD), the Southern Annular Mode (SAM), the Madden-Julian Oscillation (MJO), and the Indian Ocean Dipole (IOD). Precipitation and winds at 850-hPa anomalies, considering these teleconnection patterns in ENSO neutral periods, are also presented. Overall, southeastern South America and the north sector of the North and Northeast regions of Brazil are the most affected areas by the teleconnection patterns. In general, there is a precipitation dipole pattern between these regions during each teleconnection pattern.</t>
  </si>
  <si>
    <t>[Reboita, Michelle Simoes; Ferreira, Glauber Willian de S.; Souza, Christie Andre de] Univ Fed Itajuba, Inst Recursos Nat, Av BPS,1303, BR-37500903 Itajuba, MG, Brazil; [Ambrizzi, Tercio; Crespo, Natalia Machado; Dutra, Livia Marcia Mosso; Rehbein, Amanda; da Rocha, Rosmeri Porfirio] Univ Sao Paulo, Inst Astron Geofis &amp; Ciencias Atmosfer, Dept Ciencias Atmosfer, Sao Paulo, SP, Brazil; [Drumond, Anita] Univ Fed Sao Paulo, Inst Ciencias Ambientais Quim &amp; Farmaceut, Diadema, SP, Brazil</t>
  </si>
  <si>
    <t>Universidade Federal de Itajuba; Universidade de Sao Paulo; Universidade Federal de Sao Paulo (UNIFESP)</t>
  </si>
  <si>
    <t>Reboita, MS (corresponding author), Univ Fed Itajuba, Inst Recursos Nat, Av BPS,1303, BR-37500903 Itajuba, MG, Brazil.</t>
  </si>
  <si>
    <t>reboita@unifei.edu.br</t>
  </si>
  <si>
    <t>Drumond, Anita RM/G-5767-2013; Rehbein, Amanda/AAT-2786-2021; Dutra, Lívia Márcia Mosso/D-4345-2017; Machado Crespo, Natália/HJY-2113-2023; Ambrizzi, Tercio/A-4636-2008; da Rocha, Rosmeri P/L-6772-2018</t>
  </si>
  <si>
    <t>Rehbein, Amanda/0000-0002-8714-7931; Dutra, Lívia Márcia Mosso/0000-0002-1349-7138; Machado Crespo, Natália/0000-0002-3585-5100; da Rocha, Rosmeri P/0000-0003-3378-393X; Ferreira, Glauber/0000-0003-1979-7120</t>
  </si>
  <si>
    <t>Conselho Nacional de Desenvolvimento Cientifico e Tecnologico in Brazil (CNPq); Coordenacao de Aperfeicoamento de Pessoal de Nivel Superior (CAPES); PETROBRAS [2017/00671-3]; FAPESP [2016/10557-0]</t>
  </si>
  <si>
    <t>Conselho Nacional de Desenvolvimento Cientifico e Tecnologico in Brazil (CNPq)(Conselho Nacional de Desenvolvimento Cientifico e Tecnologico (CNPQ)); Coordenacao de Aperfeicoamento de Pessoal de Nivel Superior (CAPES)(Coordenacao de Aperfeicoamento de Pessoal de Nivel Superior (CAPES)); PETROBRAS(Fundacao de Amparo a Pesquisa do Amapa (FAPEAP)Petrobras); FAPESP(Fundacao de Amparo a Pesquisa do Estado de Sao Paulo (FAPESP))</t>
  </si>
  <si>
    <t>The authors would like to thank Conselho Nacional de Desenvolvimento Cientifico e Tecnologico in Brazil (CNPq), Coordenacao de Aperfeicoamento de Pessoal de Nivel Superior (CAPES), and PETROBRAS (2017/00671-3) for the financial support. A.R. was also supported by the FAPESP Grants 2016/10557-0.</t>
  </si>
  <si>
    <t>WILEY</t>
  </si>
  <si>
    <t>HOBOKEN</t>
  </si>
  <si>
    <t>111 RIVER ST, HOBOKEN 07030-5774, NJ USA</t>
  </si>
  <si>
    <t>0077-8923</t>
  </si>
  <si>
    <t>1749-6632</t>
  </si>
  <si>
    <t>ANN NY ACAD SCI</t>
  </si>
  <si>
    <t>Ann. N.Y. Acad. Sci.</t>
  </si>
  <si>
    <t>NOV</t>
  </si>
  <si>
    <t>SI</t>
  </si>
  <si>
    <t>10.1111/nyas.14592</t>
  </si>
  <si>
    <t>XC5ZN</t>
  </si>
  <si>
    <t>WOS:000645223800001</t>
  </si>
  <si>
    <t>Kreczmer, K; Dabski, M; Zmarz, A</t>
  </si>
  <si>
    <t>Kreczmer, Kacper; Dabski, Maciej; Zmarz, Anna</t>
  </si>
  <si>
    <t>Terrestrial Signature of a Recently-Tidewater Glacier and Adjacent Periglaciation, Windy Glacier (South Shetland Islands, Antarctic)</t>
  </si>
  <si>
    <t>glacial landforms; periglacial landforms; King George Island; Antarctic; unmanned aerial vehicles; glacial recession; photointerpretation</t>
  </si>
  <si>
    <t>KING-GEORGE ISLAND; CLIMATE-CHANGE; UAV; PENINSULA; POINT; RADAR; WEST</t>
  </si>
  <si>
    <t>Contemporary retreat of glaciers is well visible in the West Antarctic region. The aim of this study is to identify, map and quantify terrestrial glacial and periglacial landforms developed in front of Windy Glacier (Warszawa Icefield, King George Island, South Shetlands), which recently turned from being tidewater to land-terminating, and on near-by Red Hill. The study is based on an orthophoto map and a DEM elaborated with a use of images obtained during a UAV BVLOS photogrammetric survey in 2016, Google Earth Pro images from 2006 and an orthophoto map from 1978/1979. The geomorphological map obtained includes 31 types of landforms and water bodies, grouped into: (1) glacial depositional landforms, (2) fluvial and fluvioglacial landforms, (3) littoral and lacustrine landforms, (4) solifluction landforms, (5) other mass movement landforms, (6) patterned ground, (7) debris flows, landslides and mudflows, (8) water bodies, (9) other (bedrock, boulders, glacial ice, snow patches, and not recognized surface). Most area is occupied by glacial lagoon, fluvial and fluvioglacial landforms, not recognized surfaces and littoral landforms. Between 2006 and 2016 the glacier deposited a well-developed patch of fluted moraine with small drumlins. We recognize the glacial-periglacial transition zone between 41 and 47 m GPS height above which solifluction landforms and sorted patterned ground dominate. Advantages of UAV and BVLOS missions are highlighted and problems with vectorization of landforms are discussed. Distinction between flutes and small drumlins is shown on length-to-elongation and length-to-width diagrams and critical reference to previous geomorphological mappings on King George Island is presented.</t>
  </si>
  <si>
    <t>[Kreczmer, Kacper] Univ Warsaw, Coll Interfac Individual Studies Math &amp; Nat Sci, Warsaw, Poland; [Dabski, Maciej] Univ Warsaw, Fac Geog &amp; Reg Studies, Dept Geomorphol, Warsaw, Poland; [Zmarz, Anna] Univ Warsaw, Fac Geog &amp; Reg Studies, Dept Geoinformat Cartog &amp; Remote Sensing, Warsaw, Poland</t>
  </si>
  <si>
    <t>University of Warsaw; University of Warsaw; University of Warsaw</t>
  </si>
  <si>
    <t>Dabski, M (corresponding author), Univ Warsaw, Fac Geog &amp; Reg Studies, Dept Geomorphol, Warsaw, Poland.</t>
  </si>
  <si>
    <t>mfdabski@uw.edu.pl</t>
  </si>
  <si>
    <t>Zmarz, Anna/T-9548-2018</t>
  </si>
  <si>
    <t>Zmarz, Anna/0000-0001-5846-4017; Dabski, Maciej/0000-0003-1018-9639</t>
  </si>
  <si>
    <t>Norway Grants in the Polish-Norwegian Research Programme [197810]; Polish Ministry of Science and Higher Education [734687, 3934/H2020/2018/2, 379067/PnH/2017]; University of Warsaw within Excellence Initiative -Research University Programme</t>
  </si>
  <si>
    <t>Norway Grants in the Polish-Norwegian Research Programme; Polish Ministry of Science and Higher Education(Ministry of Science and Higher Education, Poland); University of Warsaw within Excellence Initiative -Research University Programme</t>
  </si>
  <si>
    <t>Funding was provided by: (1) Project No 197810, A novel approach to monitoring the impact of climate change on Antarctic ecosystems - MONICA, funded from Norway Grants in the Polish-Norwegian Research Programme operated by the National Centre for Research and Development; (2) Project H2020-MSCA-RISE-2016: innoVation in geOspatiaL and 3D daTA (VOLTA), Reference GA No. 734687. H2020 VOLTA activities are supported by the Polish Ministry of Science and Higher Education in the frame of H2020 co-financed projects No. 3934/H2020/2018/2 and 379067/PnH/2017. Openaccess financed by the University of Warsaw within Excellence Initiative -Research University Programme.</t>
  </si>
  <si>
    <t>10.3389/feart.2021.671985</t>
  </si>
  <si>
    <t>SB1NV</t>
  </si>
  <si>
    <t>WOS:000649769700001</t>
  </si>
  <si>
    <t>Bonsoms, J; Gonzalez, S; Prohom, M; Esteban, P; Salvador-Franch, F; López-Moreno, JI; Oliva, M</t>
  </si>
  <si>
    <t>Bonsoms, Josep; Gonzalez, Sergi; Prohom, Marc; Esteban, Pere; Salvador-Franch, Ferran; Lopez-Moreno, Juan I.; Oliva, Marc</t>
  </si>
  <si>
    <t>Spatio-temporal patterns of snow in the Catalan Pyrenees (NE Iberia)</t>
  </si>
  <si>
    <t>INTERNATIONAL JOURNAL OF CLIMATOLOGY</t>
  </si>
  <si>
    <t>circulation types; climate variability; Pyrenees; snow; teleconnection patterns</t>
  </si>
  <si>
    <t>WESTERN MEDITERRANEAN OSCILLATION; NORTH-ATLANTIC OSCILLATION; ATMOSPHERIC CIRCULATION; SPANISH PYRENEES; AIR-TEMPERATURE; VARIABILITY; PRECIPITATION; CLIMATE; CLASSIFICATION; RAINFALL</t>
  </si>
  <si>
    <t>In a warmer climate, significant variations in the snow regime are expected. Thus, it is crucial to better understand present-day snow cover regime, its duration and thickness, in order to anticipate future changes. This work presents the first characterization of snow patterns in the Catalan Pyrenees based on 11 snow stations located in high elevation areas (&gt;2,000 m). Here, we examine spatio-temporal evolution of the daily snow depth and new snow height (HN) since the earliest 2000s to 2020. In addition, we analyse the different synoptic patterns that cause HN events in the study area as well as the low frequency climate modes on the different stages of the snow season. Our results show evidence that the measured snow amount differs considerably between the western and the eastern Catalan Pyrenees independently of the considered elevation. While the eastern part has an average seasonal cumulative HN of 278 cm, the western sector gets almost twice (433 cm). Nonetheless, the onset of the snow melting does not show substantial differences, being primarily ruled by the elevation in both areas. The longest snow records (Nuria, 1971 m) point to an increase of HN from 1985 to 2020, a trend which is also observed in most stations from 2000 to 2020. Nevertheless, some stations of the N western fringe record negative trends associated with the low frequency variability of the Western Mediterranean Oscillation (WeMO). Results also indicate that the NW Atlantic low-pressure systems are the circulation weather types that provide more abundant HN in the majority of snow stations. The Atlantic advections are more frequent in autumn and winter, while the Mediterranean advections provide more intense and recurrent HN in spring. The atmospheric circulation is basically ruled by the East Atlantic/West Russia and the WeMO teleconnection patterns.</t>
  </si>
  <si>
    <t>[Bonsoms, Josep] Univ Toulouse, Ctr Etud Spatiales Biosphere CESBIO, CNRS, CNES,IRD,UPS, 18 Ave Edouard Belin,Bpi 2801, F-31401 Toulouse 9, France; [Gonzalez, Sergi] Spanish Meteorol Agcy AEMET, Antarctic Grp, Barcelona, Spain; [Prohom, Marc; Esteban, Pere] Meteorol Serv Catalonia, Barcelona, Spain; [Salvador-Franch, Ferran; Oliva, Marc] Univ Barcelona, Dept Geog, Barcelona, Spain; [Lopez-Moreno, Juan I.] Inst Pirenaico Ecol IPE CSIC, Zaragoza, Spain</t>
  </si>
  <si>
    <t>Universite de Toulouse; Universite Toulouse III - Paul Sabatier; Centre National de la Recherche Scientifique (CNRS); Institut de Recherche pour le Developpement (IRD); Agencia Estatal de Meteorologia (AEMET); University of Barcelona; Consejo Superior de Investigaciones Cientificas (CSIC); CSIC - Instituto Pirenaico de Ecologia (IPE)</t>
  </si>
  <si>
    <t>Bonsoms, J (corresponding author), Univ Toulouse, Ctr Etud Spatiales Biosphere CESBIO, CNRS, CNES,IRD,UPS, 18 Ave Edouard Belin,Bpi 2801, F-31401 Toulouse 9, France.</t>
  </si>
  <si>
    <t>josepbonsoms5@gmail.com</t>
  </si>
  <si>
    <t>Gonzalez-Herrero, Sergi/Y-7279-2018; Lopez-Moreno, Ignacio/K-2114-2014; Oliva, Marc/K-5423-2014; Prohom, Marc/L-4664-2014</t>
  </si>
  <si>
    <t>Gonzalez-Herrero, Sergi/0000-0002-2505-2435; Lopez-Moreno, Ignacio/0000-0002-7270-9313; Bonsoms, Josep/0000-0001-8180-9095; Oliva, Marc/0000-0001-6521-6388; Prohom, Marc/0000-0002-4055-4804; Esteban, Pere/0000-0001-5095-1187</t>
  </si>
  <si>
    <t>Ramon y Cajal Research Program [RYC-2015-17597]</t>
  </si>
  <si>
    <t>Ramon y Cajal Research Program(Spanish Government)</t>
  </si>
  <si>
    <t>Ramon y Cajal Research Program, Grant/ Award Number: RYC-2015-17597</t>
  </si>
  <si>
    <t>0899-8418</t>
  </si>
  <si>
    <t>1097-0088</t>
  </si>
  <si>
    <t>INT J CLIMATOL</t>
  </si>
  <si>
    <t>Int. J. Climatol.</t>
  </si>
  <si>
    <t>OCT</t>
  </si>
  <si>
    <t>10.1002/joc.7147</t>
  </si>
  <si>
    <t>UZ9EL</t>
  </si>
  <si>
    <t>WOS:000645458600001</t>
  </si>
  <si>
    <t>Hugonnet, R; McNabb, R; Berthier, E; Menounos, B; Nuth, C; Girod, L; Farinotti, D; Huss, M; Dussaillant, I; Brun, F; Kääb, A</t>
  </si>
  <si>
    <t>Hugonnet, Romain; McNabb, Robert; Berthier, Etienne; Menounos, Brian; Nuth, Christopher; Girod, Luc; Farinotti, Daniel; Huss, Matthias; Dussaillant, Ines; Brun, Fanny; Kaab, Andreas</t>
  </si>
  <si>
    <t>Accelerated global glacier mass loss in the early twenty-first century</t>
  </si>
  <si>
    <t>NATURE</t>
  </si>
  <si>
    <t>SEA-LEVEL RISE; DIGITAL ELEVATION MODELS; COMPLETE INVENTORY; NEPAL HIMALAYA; CLIMATE-CHANGE; VOLUME CHANGE; ICE-SHEET; SURFACE; BALANCE; UNCERTAINTY</t>
  </si>
  <si>
    <t>Glaciers distinct from the Greenland and Antarctic ice sheets are shrinking rapidly, altering regional hydrology(1), raising global sea level(2) and elevating natural hazards(3). Yet, owing to the scarcity of constrained mass loss observations, glacier evolution during the satellite era is known only partially, as a geographic and temporal patchwork(4,5). Here we reveal the accelerated, albeit contrasting, patterns of glacier mass loss during the early twenty-first century. Using largely untapped satellite archives, we chart surface elevation changes at a high spatiotemporal resolution over all of Earth's glaciers. We extensively validate our estimates against independent, high-precision measurements and present a globally complete and consistent estimate of glacier mass change. We show that during 2000-2019, glaciers lost a mass of 267 +/- 16 gigatonnes per year, equivalent to 21 +/- 3 per cent of the observed sea-level rise(6). We identify a mass loss acceleration of 48 +/- 16 gigatonnes per year per decade, explaining 6 to 19 per cent of the observed acceleration of sea-level rise. Particularly, thinning rates of glaciers outside ice sheet peripheries doubled over the past two decades. Glaciers currently lose more mass, and at similar or larger acceleration rates, than the Greenland or Antarctic ice sheets taken separately(7-9). By uncovering the patterns of mass change in many regions, we find contrasting glacier fluctuations that agree with the decadal variability in precipitation and temperature. These include a North Atlantic anomaly of decelerated mass loss, a strongly accelerated loss from northwestern American glaciers, and the apparent end of the Karakoram anomaly of mass gain(10). We anticipate our highly resolved estimates to advance the understanding of drivers that govern the distribution of glacier change, and to extend our capabilities of predicting these changes at all scales. Predictions robustly benchmarked against observations are critically needed to design adaptive policies for the local- and regional-scale management of water resources and cryospheric risks, as well as for the global-scale mitigation of sea-level rise. Analysis of satellite stereo imagery uncovers two decades of mass change for all of Earth's glaciers, revealing accelerated glacier shrinkage and regionally contrasting changes consistent with decadal climate variability.</t>
  </si>
  <si>
    <t>[Hugonnet, Romain; Berthier, Etienne; Dussaillant, Ines] Univ Toulouse, UPS, CNRS, CNES,IRD,LEGOS, Toulouse, France; [Hugonnet, Romain; Farinotti, Daniel; Huss, Matthias] Swiss Fed Inst Technol, Lab Hydraul Hydrol &amp; Glaciol VAW, Zurich, Switzerland; [Hugonnet, Romain; Farinotti, Daniel; Huss, Matthias] Swiss Fed Inst Forest Snow &amp; Landscape Res WSL, Birmensdorf, Switzerland; [McNabb, Robert] Ulster Univ, Sch Geog &amp; Environm Sci, Coleraine, Londonderry, North Ireland; [McNabb, Robert; Nuth, Christopher; Girod, Luc; Kaab, Andreas] Univ Oslo, Dept Geosci, Oslo, Norway; [Menounos, Brian] Univ Northern British Columbia, Geog Earth &amp; Environm Sci, Prince George, BC, Canada; [Menounos, Brian] Hakai Inst, Campbell River, BC, Canada; [Nuth, Christopher] Norwegian Def Res Estab, Kjeller, Norway; [Huss, Matthias] Univ Fribourg, Dept Geosci, Fribourg, Switzerland; [Dussaillant, Ines] Univ Zurich, Dept Geog, Zurich, Switzerland; [Brun, Fanny] Univ Grenoble Alpes, Grenoble INP, CNRS, IGE,IRD, Grenoble, France</t>
  </si>
  <si>
    <t>Universite de Toulouse; Universite Toulouse III - Paul Sabatier; Centre National de la Recherche Scientifique (CNRS); Institut de Recherche pour le Developpement (IRD); Laboratoire d'Etudes en Geophysique et oceanographie spatiales; Swiss Federal Institutes of Technology Domain; ETH Zurich; Swiss Federal Institutes of Technology Domain; Swiss Federal Institute for Forest, Snow &amp; Landscape Research; Ulster University; University of Oslo; University of Northern British Columbia; Hakai Institute; Norwegian Defence Research Establishment; University of Fribourg; University of Zurich; Communaute Universite Grenoble Alpes; Universite Grenoble Alpes (UGA); Institut de Recherche pour le Developpement (IRD); Institut National Polytechnique de Grenoble; Centre National de la Recherche Scientifique (CNRS)</t>
  </si>
  <si>
    <t>Hugonnet, R (corresponding author), Univ Toulouse, UPS, CNRS, CNES,IRD,LEGOS, Toulouse, France.;Hugonnet, R (corresponding author), Swiss Fed Inst Technol, Lab Hydraul Hydrol &amp; Glaciol VAW, Zurich, Switzerland.;Hugonnet, R (corresponding author), Swiss Fed Inst Forest Snow &amp; Landscape Res WSL, Birmensdorf, Switzerland.</t>
  </si>
  <si>
    <t>romain.hugonnet@gmail.com</t>
  </si>
  <si>
    <t>Berthier, Etienne/B-8900-2009; Huss, Matthias/JLL-6340-2023</t>
  </si>
  <si>
    <t>Berthier, Etienne/0000-0001-5978-9155; Girod, Luc/0000-0003-3627-5885; McNabb, Robert/0000-0003-0016-493X; Hugonnet, Romain/0000-0002-0955-1306; Farinotti, Daniel/0000-0003-3417-4570</t>
  </si>
  <si>
    <t>NATURE PORTFOLIO</t>
  </si>
  <si>
    <t>BERLIN</t>
  </si>
  <si>
    <t>HEIDELBERGER PLATZ 3, BERLIN, 14197, GERMANY</t>
  </si>
  <si>
    <t>0028-0836</t>
  </si>
  <si>
    <t>1476-4687</t>
  </si>
  <si>
    <t>Nature</t>
  </si>
  <si>
    <t>+</t>
  </si>
  <si>
    <t>10.1038/s41586-021-03436-z</t>
  </si>
  <si>
    <t>RU8CH</t>
  </si>
  <si>
    <t>Green Submitted, Bronze, Green Accepted</t>
  </si>
  <si>
    <t>Y</t>
  </si>
  <si>
    <t>N</t>
  </si>
  <si>
    <t>WOS:000645368900014</t>
  </si>
  <si>
    <t>Padilha, JA; Carvalho, GO; Espejo, W; Souza, JS; Pizzochero, AC; Cunha, LST; Costa, ES; Pessôa, ARL; Almeida, AP; Torres, JPM; Lepoint, G; Michel, LN; Das, K; Dorneles, PR</t>
  </si>
  <si>
    <t>Padilha, J. A.; Carvalho, G. O.; Espejo, W.; Souza, J. S.; Pizzochero, A. C.; Cunha, L. S. T.; Costa, E. S.; Pessoa, A. R. L.; Almeida, A. P.; Torres, J. P. M.; Lepoint, G.; Michel, L. N.; Das, K.; Dorneles, P. R.</t>
  </si>
  <si>
    <t>Factors that influence trace element levels in blood and feathers of Pygoscelis penguins from South Shetland Islands, Antarctica</t>
  </si>
  <si>
    <t>ENVIRONMENTAL POLLUTION</t>
  </si>
  <si>
    <t>Marine pollution; Heavy metal; Antarctic seabird; Stable isotopes</t>
  </si>
  <si>
    <t>STABLE-ISOTOPES; FORAGING STRATEGIES; CHINSTRAP PENGUINS; MERCURY EXPOSURE; DECEPTION-ISLAND; METAL LEVELS; ADELIE; GENTOO; SEX; PATTERNS</t>
  </si>
  <si>
    <t>Contaminant levels are lower in Antarctica than elsewhere in the world because of its low anthropogenic activities. However, the northern region of the Antarctic Peninsula, is close to South America and experiences the greatest anthropogenic pressure in Antarctica. Here, we investigated, in two Antarctic Peninsula islands, intra and interspecific factors that influence the concentrations of 17 trace elements (TEs) in blood and feathers of three penguin species breeding sympatrically in relation to their trophic ecology assessed via a stable isotopic approach (C, N and S). Geographical location, foraging zone (delta C-13 and delta S-34) and diet influences the interspecific difference, and sex and maturity stage diet influence the intraspecific difference of Pygoscelis penguins. Penguins from Livingston showed higher values (mean, ng. g(-1), dry weight - dw) of Zn (103), Mn (0.3), and Fe (95) than those from King George Island (Zn: 80, Mn: 1.9, and Fe: 11). Gender-related differences were observed, as males showed significantly higher values (mean, ng. g(-1), dw) of Rb (3.4) and delta N-15 in blood of gentoo, and Ca (1344) in Adelie feathers. Chicks of gentoo and Adelie presented higher Zn, Mg, Ca, and Sr and lower C-13 values in blood than adults. The highest concentrations (mean, ng. g(-1), dw) of Cd (0.2) and Cu (26), and the lowest delta N-15 values were found in chinstrap. Geographical, intraspecific (i.e., ontogenetic and gender-related) and interspecific differences in feeding seemed to have influenced TE and stable isotope values in these animals. The TE bioaccumulation by penguins may have also been influenced by natural enrichment in environmental levels of these elements, which seems to be the case for Fe, Zn, and Mn. However, the high level of some of the TEs (Mn, Cd, and Cr) may reflect the increase of local and global human activities. (C) 2021 Elsevier Ltd. All rights reserved.</t>
  </si>
  <si>
    <t>[Padilha, J. A.; Carvalho, G. O.; Pizzochero, A. C.; Cunha, L. S. T.; Pessoa, A. R. L.; Almeida, A. P.; Torres, J. P. M.; Dorneles, P. R.] Fed Univ Rio de Janeiro UFRJ, Biophys Inst, Radioisotope Lab, Rio De Janeiro, Brazil; [Espejo, W.] Univ Concepcion, Fac Ciencias Vet, Dept Anim Sci, POB 537, Chillan, Chile; [Costa, E. S.] Univ Estadual Rio Grande Do Sul, Ambiente &amp; Sustentabilidade, Rua Assis Brasil 842, Sao Francisco De Paula, RS, Brazil; [Lepoint, G.; Michel, L. N.; Das, K.; Dorneles, P. R.] Univ Liege, Lab Oceanol, Freshwater &amp; Ocean Sci Unit Res FOCUS, Liege, Belgium; [Souza, J. S.] Adam Mickiewicz Univ, Dept Analyt Chem, Fac Chem, Ul Uniwersytetu Poznanskiego 8, PL-61614 Poznan, Poland; [Michel, L. N.] IFREMER, Ctr Bretagne, REM EEP, Lab Environm Profond, F-29280 Plouzane, France</t>
  </si>
  <si>
    <t>Universidade Federal do Rio de Janeiro; Universidad de Concepcion; Universidade Estadual do Rio Grande do Sul (UERGS); University of Liege; Adam Mickiewicz University; Ifremer; Universite de Bretagne Occidentale</t>
  </si>
  <si>
    <t>Padilha, JA (corresponding author), Univ Fed Rio de Janeiro UFRJ, Ctr Ciencias Safide CCS, Inst Bias Carlos Chagas Filho IBCCF, Lab Radioisotopos Eduardo Penna Franca LREPF, Ave Carlos Chagas Filho 373, BR-21941902 Rio De Janeiro, RJ, Brazil.</t>
  </si>
  <si>
    <t>janeide.padilha@ufrj.br</t>
  </si>
  <si>
    <t>torres, joao/AAI-8390-2021; de Assis Padilha, Janeide/S-1115-2016; Schmauder T da Cunha, Larissa/GON-8442-2022; Rodrigues de Lira Pessoa, Adriana/HMV-6030-2023; Das, Krishna/KCJ-7467-2024; de Carvalho, Gabriel Oliveira/AAC-4925-2020; Lepoint, Gilles/I-1130-2014</t>
  </si>
  <si>
    <t>torres, joao/0000-0002-2510-1612; de Assis Padilha, Janeide/0000-0002-1901-5822; Schmauder T da Cunha, Larissa/0000-0002-2193-342X; de Carvalho, Gabriel Oliveira/0000-0001-9809-2772; Lepoint, Gilles/0000-0003-4375-0357; Pizzochero, Ana Carolina/0000-0002-2284-6782; Souza-Kasprzyk, Juliana/0000-0003-2307-8006; Espejo, Winfred/0000-0002-3753-2006; de Lira Pessoa, Adriana/0000-0002-0806-5541; Das, Krishna/0000-0003-2689-3348</t>
  </si>
  <si>
    <t>Brazilian National Council for Scientific and Technological Development (CNPq) through CNPq/MCT [557049/2009-1]; Brazilian Foundation for the Coordination and Improvement of Higher Level or Education Personnel (CAPES) [88881.154725/2017-01 88887.154724/2017-00]; Wallonie Bruxelles International (WBI, from Belgium); Rio de Janeiro State Government Research Agency [FAPERJ -E-26/111.505/2010, E -26/210.464/2019 (249593)]; CNPq [08733/2019-3]; Brazilian National Council for Scientific and Technological Development (CNPq) through Universal Call CNPq Project from PRD [432518/2016-9]</t>
  </si>
  <si>
    <t>Brazilian National Council for Scientific and Technological Development (CNPq) through CNPq/MCT(Conselho Nacional de Desenvolvimento Cientifico e Tecnologico (CNPQ)Fundacao de Apoio a Pesquisa do Distrito Federal (FAPDF)); Brazilian Foundation for the Coordination and Improvement of Higher Level or Education Personnel (CAPES); Wallonie Bruxelles International (WBI, from Belgium); Rio de Janeiro State Government Research Agency; CNPq(Conselho Nacional de Desenvolvimento Cientifico e Tecnologico (CNPQ)); Brazilian National Council for Scientific and Technological Development (CNPq) through Universal Call CNPq Project from PRD(Conselho Nacional de Desenvolvimento Cientifico e Tecnologico (CNPQ)Fundacao de Apoio a Pesquisa do Distrito Federal (FAPDF))</t>
  </si>
  <si>
    <t>This work was supported by the Brazilian National Council for Scientific and Technological Development (CNPq) through CNPq/MCT 557049/2009-1, as well as through a Universal Call CNPq Project from PRD (proc. 432518/2016-9). This work was also supported by a scientific cooperation established between the Brazilian Foundation for the Coordination and Improvement of Higher Level or Education Personnel (CAPES - process numbers 88881.154725/2017-01 88887.154724/2017-00) and Wallonie Bruxelles International (WBI, from Belgium), coordinated by PRD and KD, as well as by the Rio de Janeiro State Government Research Agency [FAPERJ -E-26/111.505/2010 and E -26/210.464/2019 (249593)]. We would like to thank the Brazilian Navy, which provided logistical support in Antarctica through the Secretariat of the Interministerial Commission for the Resources of the Sea (SECIRM). GL is a F.R.S.-FNRS research associate, and KD is a Senior F.R.S.-FNRS research associate. PRD has a research grant from CNPq (PQ-2 proc. 08733/2019-3).</t>
  </si>
  <si>
    <t>ELSEVIER SCI LTD</t>
  </si>
  <si>
    <t>OXFORD</t>
  </si>
  <si>
    <t>THE BOULEVARD, LANGFORD LANE, KIDLINGTON, OXFORD OX5 1GB, OXON, ENGLAND</t>
  </si>
  <si>
    <t>0269-7491</t>
  </si>
  <si>
    <t>1873-6424</t>
  </si>
  <si>
    <t>ENVIRON POLLUT</t>
  </si>
  <si>
    <t>Environ. Pollut.</t>
  </si>
  <si>
    <t>10.1016/j.envpol.2021.117209</t>
  </si>
  <si>
    <t>TI1IA</t>
  </si>
  <si>
    <t>Green Published, Green Submitted</t>
  </si>
  <si>
    <t>WOS:000672534900016</t>
  </si>
  <si>
    <t>Fricker, HA; Arndt, P; Brunt, KM; Datta, RT; Fair, Z; Jasinski, MF; Kingslake, J; Magruder, LA; Moussavi, M; Pope, A; Spergel, JJ; Stoll, JD; Wouters, B</t>
  </si>
  <si>
    <t>Fricker, Helen Amanda; Arndt, Philipp; Brunt, Kelly M.; Datta, Rajashree Tri; Fair, Zachary; Jasinski, Michael F.; Kingslake, Jonathan; Magruder, Lori A.; Moussavi, Mahsa; Pope, Allen; Spergel, Julian J.; Stoll, Jeremy D.; Wouters, Bert</t>
  </si>
  <si>
    <t>ICESat-2 Meltwater Depth Estimates: Application to Surface Melt on Amery Ice Shelf, East Antarctica</t>
  </si>
  <si>
    <t>GEOPHYSICAL RESEARCH LETTERS</t>
  </si>
  <si>
    <t>Antarctica; Greenland; ice shelves; ICESat-2; surface melt</t>
  </si>
  <si>
    <t>SUPRAGLACIAL LAKE DEPTH; LANDSAT 8; DRIVEN</t>
  </si>
  <si>
    <t>Surface melting occurs during summer on the Antarctic and Greenland ice sheets, but the volume of stored surface meltwater has been difficult to quantify due to a lack of accurate depth estimates. NASA's ICESat-2 laser altimeter brings a new capability: photons penetrate water and are reflected from both the water and the underlying ice; the difference provides a depth estimate. ICESat-2 sampled Amery Ice Shelf on January 2, 2019 and showed double returns from surface depressions, indicating meltwater. For four melt features, we compared depth estimates from eight algorithms: six based on ICESat-2 and two from coincident Landsat-8 and Sentinel-2 imagery. All algorithms successfully identified surface water at the same locations. Algorithms based on ICESat-2 produced the most accurate depths; the image-based algorithms underestimated depths (by 30%-70%). This implies that ICESat-2 depths can be used to tune image-based algorithms, moving us closer to quantifying stored meltwater volumes across Antarctica and Greenland.</t>
  </si>
  <si>
    <t>[Fricker, Helen Amanda; Arndt, Philipp] Univ Calif San Diego, Scripps Inst Oceanog, Inst Geophys &amp; Planetary Phys, La Jolla, CA 92093 USA; [Brunt, Kelly M.; Datta, Rajashree Tri; Jasinski, Michael F.; Stoll, Jeremy D.] NASA, Cryospher Sci Lab, Goddard Space Flight Ctr, Greenbelt, MD USA; [Brunt, Kelly M.; Datta, Rajashree Tri] Univ Maryland, Earth Syst Sci Interdisciplinary Ctr, College Pk, MD 20742 USA; [Fair, Zachary] Univ Michigan, Dept Climate &amp; Space Sci &amp; Engn, Ann Arbor, MI 48109 USA; [Kingslake, Jonathan; Spergel, Julian J.] Columbia Univ, Dept Earth &amp; Environm Sci, Lamont Doherty Earth Observ, Palisades, NY USA; [Magruder, Lori A.] Univ Texas Austin, Appl Res Labs, Austin, TX 78713 USA; [Magruder, Lori A.] Univ Texas Austin, Dept Aerosp Engn &amp; Engn Mech, Austin, TX 78712 USA; [Moussavi, Mahsa; Pope, Allen] Natl Snow &amp; Ice Data Ctr, Boulder, CO USA; [Moussavi, Mahsa; Pope, Allen] Univ Colorado, Cooperat Inst Res Environm Sci, Boulder, CO 80309 USA; [Wouters, Bert] Univ Utrecht, Inst Marine &amp; Atmospher Res Utrecht IMAU, Utrecht, Netherlands; [Wouters, Bert] Delft Univ Technol, Dept Geosci &amp; Remote Sensing, Delft, Netherlands</t>
  </si>
  <si>
    <t>University of California System; University of California San Diego; Scripps Institution of Oceanography; National Aeronautics &amp; Space Administration (NASA); NASA Goddard Space Flight Center; University System of Maryland; University of Maryland College Park; University of Michigan System; University of Michigan; Columbia University; University of Texas System; University of Texas Austin; University of Texas System; University of Texas Austin; University of Colorado System; University of Colorado Boulder; Utrecht University; Delft University of Technology</t>
  </si>
  <si>
    <t>Fricker, HA (corresponding author), Univ Calif San Diego, Scripps Inst Oceanog, Inst Geophys &amp; Planetary Phys, La Jolla, CA 92093 USA.</t>
  </si>
  <si>
    <t>hafricker@ucsd.edu</t>
  </si>
  <si>
    <t>Moussavi, Mahsa S./B-4051-2016; Arndt, Philipp S./AAG-4254-2021; Magruder, Lori/AAA-1634-2022; Wouters, Bert/A-5301-2017</t>
  </si>
  <si>
    <t>Arndt, Philipp S./0000-0002-4759-5166; Magruder, Lori/0000-0001-7564-1193; Pope, Allen/0000-0001-9699-7500; Fair, Zachary/0000-0002-6047-1723; brunt, kelly/0000-0002-6462-6112; Wouters, Bert/0000-0002-1086-2435; Fricker, Helen Amanda/0000-0002-0921-1432; Datta, Rajashree Tri/0000-0003-2241-0687</t>
  </si>
  <si>
    <t>NASA [NNX15AC80G, 19-EARTH19R-0047, NNX15AC68G]; NASA ICESat-2 Project Science Office; NSF-OPP [1743310]; NSF [1643715]; NWO [016.Vidi.171.063, OCENW.GROOT.2019.091]; Directorate For Geosciences; Office of Polar Programs (OPP) [1743310, 1643715] Funding Source: National Science Foundation; NASA [809420, 809435, NNX15AC68G, NNX15AC80G] Funding Source: Federal RePORTER</t>
  </si>
  <si>
    <t>NASA(National Aeronautics &amp; Space Administration (NASA)); NASA ICESat-2 Project Science Office; NSF-OPP(National Science Foundation (NSF)NSF - Directorate for Geosciences (GEO)); NSF(National Science Foundation (NSF)); NWO(Netherlands Organization for Scientific Research (NWO)); Directorate For Geosciences; Office of Polar Programs (OPP)(National Science Foundation (NSF)NSF - Directorate for Geosciences (GEO)); NASA(National Aeronautics &amp; Space Administration (NASA))</t>
  </si>
  <si>
    <t>The authors would like to thank the 56 people (ICESat-2 researchers, UCSD students, and family/friends) who contributed manual depth estimates using the Python script at https://github.com/fliphilipp/pondpicking.The authors would like to thank our colleagues (on the ICESat-2 Science Team and the broader community) for useful discussions about this paper, especially Susheel Adusumilli, Maya Becker, Ute Herzfeld, Alex Gardner, Laurie Padman, Ben Smith, and Roland Warner. The authors received funding from various sources, as follows: NASA NNX15AC80G (Fricker and Arndt); NASA ICESat-2 Project Science Office (Brunt and Datta); NASA 19-EARTH19R-0047 (Fair and Flanner); NASA (Jasinski and Stoll); NSF-OPP 1743310 (Kingslake and Spergel); NASA NNX15AC68G (Magruder); NSF grant 1643715 (Moussavi and Pope); and NWO grants 016.Vidi.171.063 and OCENW.GROOT.2019.091 (Wouters).</t>
  </si>
  <si>
    <t>AMER GEOPHYSICAL UNION</t>
  </si>
  <si>
    <t>2000 FLORIDA AVE NW, WASHINGTON, DC 20009 USA</t>
  </si>
  <si>
    <t>0094-8276</t>
  </si>
  <si>
    <t>1944-8007</t>
  </si>
  <si>
    <t>GEOPHYS RES LETT</t>
  </si>
  <si>
    <t>Geophys. Res. Lett.</t>
  </si>
  <si>
    <t>APR 28</t>
  </si>
  <si>
    <t>e2020GL090550</t>
  </si>
  <si>
    <t>10.1029/2020GL090550</t>
  </si>
  <si>
    <t>TH8HN</t>
  </si>
  <si>
    <t>Green Published, Bronze</t>
  </si>
  <si>
    <t>WOS:000672324900002</t>
  </si>
  <si>
    <t>Shukla, SK; Crosta, X; Ikehara, M</t>
  </si>
  <si>
    <t>Shukla, Sunil Kumar; Crosta, Xavier; Ikehara, Minoru</t>
  </si>
  <si>
    <t>Sea Surface Temperatures in the Indian Sub-Antarctic Southern Ocean for the Last Four Interglacial Periods</t>
  </si>
  <si>
    <t>ATLANTIC DEEP-WATER; HOLOCENE CLIMATE; HIGH-LATITUDES; ICE-SHEET; HEMISPHERE; RECORD; SECTOR; VARIABILITY; CIRCULATION; INSOLATION</t>
  </si>
  <si>
    <t>Interglacial periods (IG) offer an opportunity to understand natural climate variability and its drivers under potential warmer-than-present conditions. However, sea-surface temperature (SST) records from the Southern Ocean (SO) are limited. The first SST record from the Sub-Antarctic western Indian SO covering the last four IGs suggest warmer conditions during Marine Isotope Stage 5e than 9e, 7e, and Holocene. Each IG presents two (early and late) warm phases interrupted by a cooling, except Holocene that experienced a continuous warming. The early warm phase might be attributable to changes in northern summer insolation with feedbacks from Northern and Southern Hemisphere ice-sheets, global oceanic circulation, and the carbon cycle. Conversely, the late warm phase might be due to changes in Southern Hemisphere summer insolation. Larger millennial-scale SST variability for IGs older than Holocene could be attributed to a less stable thermohaline circulation, which resulted in more variable heat redistribution between the two hemispheres.</t>
  </si>
  <si>
    <t>[Shukla, Sunil Kumar] Birbal Sahni Inst Palaeosci, Lucknow, Uttar Pradesh, India; [Crosta, Xavier] Univ Bordeaux, CNRS, EPHE, Pessac, France; [Ikehara, Minoru] Kochi Univ, Ctr Adv Marine Core Res, Kochi, Japan</t>
  </si>
  <si>
    <t>Department of Science &amp; Technology (India); Birbal Sahni Institute of Palaeobotany (BSIP); Universite de Bordeaux; Universite PSL; Ecole Pratique des Hautes Etudes (EPHE); Centre National de la Recherche Scientifique (CNRS); Kochi University</t>
  </si>
  <si>
    <t>Shukla, SK (corresponding author), Birbal Sahni Inst Palaeosci, Lucknow, Uttar Pradesh, India.</t>
  </si>
  <si>
    <t>sunilk_shukla@bsip.res.in</t>
  </si>
  <si>
    <t>Shukla, Sunil/GLR-0323-2022</t>
  </si>
  <si>
    <t>Ikehara, Minoru/0000-0002-2695-4713; Shukla, Sunil/0000-0002-7517-5564</t>
  </si>
  <si>
    <t>Birbal Sahni Institute of Palaeosciences (BSIP In-house Project) [7.3 - BSIP/RDCC/29/2020-2021]; JSPS KAKENHI [JP19340156, JP23244102, JP17H06318]</t>
  </si>
  <si>
    <t>Birbal Sahni Institute of Palaeosciences (BSIP In-house Project); JSPS KAKENHI(Ministry of Education, Culture, Sports, Science and Technology, Japan (MEXT)Japan Society for the Promotion of ScienceGrants-in-Aid for Scientific Research (KAKENHI))</t>
  </si>
  <si>
    <t>This work was funded by the institutional grant of the Birbal Sahni Institute of Palaeosciences (BSIP In-house Project No. 7.3 - BSIP/RDCC/29/2020-2021) to SKS for which BSIP Director is thanked. This work was also partially supported by SERB-OPDF to SKS visiting Xavier Crosta. Minoru Ikehara acknowledges the JSPS KAKENHI grant (No. JP19340156, JP23244102, JP17H06318). The authors thank chief scientist, Dr. Y. Nogi, NIPR, the captain, crew, and all researchers of Cruise KH10-07 onboard R/V Hakuho-Maru 2010. The authors also thank GRL editor Dr. Kathleen Donohue and four anonymous reviewers for their constructive comments.</t>
  </si>
  <si>
    <t>e2020GL090994</t>
  </si>
  <si>
    <t>10.1029/2020GL090994</t>
  </si>
  <si>
    <t>WOS:000672324900075</t>
  </si>
  <si>
    <t>Vignon, É; Roussel, ML; Gorodetskaya, IV; Genthon, C; Berne, A</t>
  </si>
  <si>
    <t>Vignon, E.; Roussel, M. L.; Gorodetskaya, I. V.; Genthon, C.; Berne, A.</t>
  </si>
  <si>
    <t>Present and Future of Rainfall in Antarctica</t>
  </si>
  <si>
    <t>EARTH SYSTEM MODEL; REGIONAL CLIMATE; ADELIE LAND; PRECIPITATION; CLOUD; REPRESENTATION; CIRCULATION; SIMULATION; PENINSULA; SNOWFALL</t>
  </si>
  <si>
    <t>While most precipitation in Antarctica falls as snow, little is known about liquid precipitation, although it can have ecological and climatic impacts. This study combines meteorological reports at 10 stations with the ERA5 reanalysis to provide a climatological characterization of rainfall occurrence over Antarctica. Along the East Antarctic coast, liquid precipitation occurs 22 days per year at most and coincides with maritime intrusions and blocking anticyclones. Over the north-western Antarctic Peninsula, rainfall occurs more than 50 days per year on average and the recent summer cooling was accompanied by a decrease of -35 annual rainy days per decade between 1998 and 2015 at Faraday-Vernadsky. Projections from seven latest-generation climate models reveal that Antarctic coasts will experience a warming and more frequent and intense rainfall by the end of the century. Rainfall is expected to impact new regions of the continent, increasing their vulnerability to melting by the preconditioning of surface snow.</t>
  </si>
  <si>
    <t>[Vignon, E.; Berne, A.] Ecole Polytech Fed Lausanne, Environm Remote Sensing Lab LTE, Lausanne, Switzerland; [Vignon, E.; Roussel, M. L.; Genthon, C.] Sorbone Univ, CNRS, IPSL, Lab Meteorol Dynam,UMR 8539, Paris, France; [Gorodetskaya, I. V.] Univ Aveiro, Dept Phys, Ctr Environm &amp; Marine Studies CESAM, Aveiro, Portugal</t>
  </si>
  <si>
    <t>Swiss Federal Institutes of Technology Domain; Ecole Polytechnique Federale de Lausanne; Centre National de la Recherche Scientifique (CNRS); CNRS - National Institute for Earth Sciences &amp; Astronomy (INSU); Universite Paris Cite; Sorbonne Universite; Universidade de Aveiro</t>
  </si>
  <si>
    <t>Vignon, É (corresponding author), Ecole Polytech Fed Lausanne, Environm Remote Sensing Lab LTE, Lausanne, Switzerland.;Vignon, É (corresponding author), Sorbone Univ, CNRS, IPSL, Lab Meteorol Dynam,UMR 8539, Paris, France.</t>
  </si>
  <si>
    <t>etienne.vignon@lmd.ipsl.fr</t>
  </si>
  <si>
    <t>Gorodetskaya, Irina/K-1987-2015</t>
  </si>
  <si>
    <t>Gorodetskaya, Irina/0000-0002-2294-7823; Berne, Alexis/0000-0003-4977-1204; Roussel, Marie-Laure/0000-0002-8667-3729; VIGNON, Etienne/0000-0003-3801-9367; Genthon, Christophe/0000-0002-3678-4447</t>
  </si>
  <si>
    <t>FCT/MCTES [UIDP/50017/2020+UIDB/50017/2020, CIRCNA/CAC/0273/2019]; Fundação para a Ciência e a Tecnologia [CIRCNA/CAC/0273/2019] Funding Source: FCT</t>
  </si>
  <si>
    <t>FCT/MCTES(Fundacao para a Ciencia e a Tecnologia (FCT)); Fundação para a Ciência e a Tecnologia(Fundacao para a Ciencia e a Tecnologia (FCT))</t>
  </si>
  <si>
    <t>The authors thank Meteo France, and in particular, Olivier Traulle and Pascal Herrera for providing access to the in situ measurements and observations at Dumont d'Urville. The Japan meteorological agency, the Alfred Wegener Institute, the British Antarctic Survey, the Australian Bureau of Meteorology, the Antarctic Meteorological Research Center (AMRC), Automatic Weather Station (AWS) programs, and the National Antarctic Scientific Center of Ukraine are gratefully acknowledged for maintaining and distributing meteorological observations in Antarctica. Irina Gorodetskaya thanks FCT/MCTES for the financial support to CESAM (UIDP/50017/2020+UIDB/50017/2020) and project ATLACE (CIRCNA/CAC/0273/2019) through national funds. The authors thank two anonymous reviewers for their careful evaluation of the manuscript and thoughtful comments as well as Monika Feldmann for her help with English editing.</t>
  </si>
  <si>
    <t>e2020GL092281</t>
  </si>
  <si>
    <t>10.1029/2020GL092281</t>
  </si>
  <si>
    <t>WOS:000672324900026</t>
  </si>
  <si>
    <t>Waterman, S; Meyer, A; Polzin, KL; Garabato, ACN; Sheen, KL</t>
  </si>
  <si>
    <t>Waterman, S.; Meyer, A.; Polzin, K. L.; Garabato, A. C. Naveira; Sheen, K. L.</t>
  </si>
  <si>
    <t>Antarctic Circumpolar Current Impacts on Internal Wave Life Cycles</t>
  </si>
  <si>
    <t>internal waves; internal wave-driven turbulent mixing; internal wave-mesoscale flow interactions; Southern Ocean</t>
  </si>
  <si>
    <t>LEE WAVE; DISSIPATION; TURBULENCE; PROPAGATION; TOPOGRAPHY; BREAKING; CAPTURE; DRIVEN; ENERGY</t>
  </si>
  <si>
    <t>Major gaps exist in our understanding of the pathways between internal wave generation and breaking in the Southern Ocean, with important implications for the distribution of internal wave-driven mixing, the sensitivity of ocean mixing rates and patterns to changes in the ocean environment, and the necessary ingredients of mixing parameterizations. Here we assess the dominant processes in internal wave evolution by characterizing wave and mesoscale flow scales based on full-depth in situ measurements in a Southern Ocean mixing hot spot and a ray tracing calculation. The exercise highlights the importance of Antarctic Circumpolar Current jets as a dominant influence on internal wave life cycles through advection, the modification of wave characteristics via wave-mean flow interactions, and the set-up of critical layers for both upward- and downward-propagating waves. Our findings suggest that it is important to represent mesoscale flow impacts in parameterizations of internal wave-driven mixing in the Southern Ocean.</t>
  </si>
  <si>
    <t>[Waterman, S.] Univ British Columbia, Dept Earth Ocean &amp; Atmospher Sci, Vancouver, BC, Canada; [Meyer, A.] Univ Tasmania, Inst Marine &amp; Antarctic Studies, Hobart, Tas, Australia; [Meyer, A.] Univ Tasmania, Australian Res Council Ctr Excellence Climate Ext, Hobart, Tas, Australia; [Polzin, K. L.] Woods Hole Oceanog Inst, Woods Hole, MA 02543 USA; [Garabato, A. C. Naveira] Univ Southampton, Natl Oceanog Ctr, Southampton, Hants, England; [Sheen, K. L.] Univ Exeter, Penryn, England</t>
  </si>
  <si>
    <t>University of British Columbia; University of Tasmania; University of Tasmania; Woods Hole Oceanographic Institution; NERC National Oceanography Centre; University of Southampton; University of Exeter</t>
  </si>
  <si>
    <t>Waterman, S (corresponding author), Univ British Columbia, Dept Earth Ocean &amp; Atmospher Sci, Vancouver, BC, Canada.</t>
  </si>
  <si>
    <t>swaterman@eoas.ubc.ca</t>
  </si>
  <si>
    <t>Waterman, Stephanie/AAY-6033-2020</t>
  </si>
  <si>
    <t>Waterman, Stephanie/0000-0001-5797-1092; Meyer, Amelie/0000-0003-0447-795X</t>
  </si>
  <si>
    <t>UK Natural Environmental Research Council (NERC) [NE/G001510/1]; National Science and Engineering Research Council of Canada (NSERC) Discovery Grant Program [NSERC-2020-05799]; ARC Centre of Excellence for Climate Extremes [CE170100023]; Royal Society; Wolfson Foundation; NERC [NE/G001510/1] Funding Source: UKRI</t>
  </si>
  <si>
    <t>UK Natural Environmental Research Council (NERC)(UK Research &amp; Innovation (UKRI)Natural Environment Research Council (NERC)); National Science and Engineering Research Council of Canada (NSERC) Discovery Grant Program(Natural Sciences and Engineering Research Council of Canada (NSERC)); ARC Centre of Excellence for Climate Extremes; Royal Society(Royal Society); Wolfson Foundation; NERC(UK Research &amp; Innovation (UKRI)Natural Environment Research Council (NERC))</t>
  </si>
  <si>
    <t>The authors wish to thank the officers, crew, and scientific compliment aboard the RRS James Cook during cruise JC029. The SOFine project was funded by the UK Natural Environmental Research Council (NERC) (grant NE/G001510/1). S. Waterman is currently supported by the National Science and Engineering Research Council of Canada (NSERC) Discovery Grant Program (NSERC-2020-05799). A. Meyer acknowledges current support from the ARC Centre of Excellence for Climate Extremes (CE170100023) and previous support from the joint CSIRO-University of Tasmania Quantitative Marine Science (QMS) program. A. N. Garabato acknowledges the support of the Royal Society and the Wolfson Foundation.</t>
  </si>
  <si>
    <t>e2020GL089471</t>
  </si>
  <si>
    <t>10.1029/2020GL089471</t>
  </si>
  <si>
    <t>WOS:000672324900004</t>
  </si>
  <si>
    <t>Winski, DA; Osterberg, EC; Kreutz, KJ; Ferris, DG; Cole-Dai, J; Thundercloud, Z; Huang, JY; Alexander, B; Jaeglé, L; Kennedy, JA; Larrick, C; Kahle, EC; Steig, EJ; Jones, TR</t>
  </si>
  <si>
    <t>Winski, Dominic A.; Osterberg, Erich C.; Kreutz, Karl J.; Ferris, David G.; Cole-Dai, Jihong; Thundercloud, Zayta; Huang, Jiayue; Alexander, Becky; Jaegle, Lyatt; Kennedy, Joshua A.; Larrick, Carleigh; Kahle, Emma C.; Steig, Eric J.; Jones, Tyler R.</t>
  </si>
  <si>
    <t>Seasonally Resolved Holocene Sea Ice Variability Inferred From South Pole Ice Core Chemistry</t>
  </si>
  <si>
    <t>Holocene; ice core; paleoclimate; sea ice; seasonality; South Pole</t>
  </si>
  <si>
    <t>NORTH-ATLANTIC CLIMATE; DRONNING MAUD LAND; EPICA DOME C; ATMOSPHERIC CIRCULATION; LAST DEGLACIATION; SALT AEROSOL; SURFACE-TEMPERATURE; ANTARCTIC PENINSULA; ACCUMULATION RATE; GREENLAND ICE</t>
  </si>
  <si>
    <t>Variability in sea ice is a critical climate feedback, yet the seasonal behavior of Southern Hemisphere sea ice and climate across multiple timescales remains unclear. Here, we develop a seasonally resolved Holocene sea salt record using major ion measurements of the South Pole Ice Core (SPC14). We combine the SPC14 data with the GEOS-Chem chemical transport model to demonstrate that the primary sea salt source switches seasonally from open water (summer) to sea ice (winter), with wintertime variations disproportionately responsible for the centennial to millennial scale structure in the record. We interpret increasing SPC14 and circum-Antarctic Holocene sea salt concentrations, particularly between 8 and 10 ka, as reflecting a period of winter sea ice expansion. Between 5 and 6 ka, an anomalous drop in South Atlantic sector sea salt indicates a temporary sea ice reduction that may be coupled with Northern Hemisphere cooling and associated ocean circulation changes.</t>
  </si>
  <si>
    <t>[Winski, Dominic A.; Kreutz, Karl J.] Univ Maine, Climate Change Inst, Orono, ME 04469 USA; [Winski, Dominic A.; Kreutz, Karl J.] Univ Maine, Sch Earth &amp; Climate Sci, Orono, ME 04469 USA; [Winski, Dominic A.; Osterberg, Erich C.; Thundercloud, Zayta] Dartmouth Coll, Dept Earth Sci, Hanover, NH 03755 USA; [Winski, Dominic A.; Cole-Dai, Jihong; Kennedy, Joshua A.; Larrick, Carleigh] South Dakota State Univ, Dept Chem &amp; Biochem, Brookings, SD 57007 USA; [Winski, Dominic A.; Huang, Jiayue; Alexander, Becky; Jaegle, Lyatt] Univ Washington, Dept Atmospher Sci, Seattle, WA 98195 USA; [Winski, Dominic A.; Kahle, Emma C.; Steig, Eric J.] Univ Washington, Dept Earth &amp; Space Sci, Seattle, WA 98195 USA; [Winski, Dominic A.; Jones, Tyler R.] Univ Colorado, Inst Arct &amp; Alpine Res, Boulder, CO 80208 USA</t>
  </si>
  <si>
    <t>University of Maine System; University of Maine Orono; University of Maine System; University of Maine Orono; Dartmouth College; South Dakota State University; University of Washington; University of Washington Seattle; University of Washington; University of Washington Seattle; University of Colorado System; University of Colorado Boulder</t>
  </si>
  <si>
    <t>Winski, DA (corresponding author), Univ Maine, Climate Change Inst, Orono, ME 04469 USA.;Winski, DA (corresponding author), Univ Maine, Sch Earth &amp; Climate Sci, Orono, ME 04469 USA.;Winski, DA (corresponding author), Dartmouth Coll, Dept Earth Sci, Hanover, NH 03755 USA.;Winski, DA (corresponding author), South Dakota State Univ, Dept Chem &amp; Biochem, Brookings, SD 57007 USA.;Winski, DA (corresponding author), Univ Washington, Dept Atmospher Sci, Seattle, WA 98195 USA.;Winski, DA (corresponding author), Univ Washington, Dept Earth &amp; Space Sci, Seattle, WA 98195 USA.;Winski, DA (corresponding author), Univ Colorado, Inst Arct &amp; Alpine Res, Boulder, CO 80208 USA.</t>
  </si>
  <si>
    <t>dominic.winski@maine.edu</t>
  </si>
  <si>
    <t>Steig, Eric J/G-9088-2015; Cole-Dai, Jihong/B-2510-2009; Jaegle, Lyatt/M-6536-2015; Alexander, Becky/N-7048-2013</t>
  </si>
  <si>
    <t>Cole-Dai, Jihong/0000-0003-0921-5916; Osterberg, Erich/0000-0002-0675-1230; Jaegle, Lyatt/0000-0003-1866-801X; Alexander, Becky/0000-0001-9915-4621; Winski, Dominic/0000-0002-9868-7909</t>
  </si>
  <si>
    <t>US National Science Foundation [1443336, 1443397, 1443663, 1702266, 1443105, 1141839]; NASA [NNH18ZDA001N]; U.S. Ice Drilling Program through NSF Cooperative Agreement [1836328]; Directorate For Geosciences; Div Atmospheric &amp; Geospace Sciences [1702266] Funding Source: National Science Foundation; Directorate For Geosciences; Office of Polar Programs (OPP) [1836328] Funding Source: National Science Foundation</t>
  </si>
  <si>
    <t>US National Science Foundation(National Science Foundation (NSF)); NASA(National Aeronautics &amp; Space Administration (NASA)); U.S. Ice Drilling Program through NSF Cooperative Agreement; Directorate For Geosciences; Div Atmospheric &amp; Geospace Sciences(National Science Foundation (NSF)NSF - Directorate for Geosciences (GEO)); Directorate For Geosciences; Office of Polar Programs (OPP)(National Science Foundation (NSF)NSF - Directorate for Geosciences (GEO))</t>
  </si>
  <si>
    <t>This research was funded by US National Science Foundation grants 1443336 (Osterberg), 1443397 (Kreutz) 1443663 (Cole-Dai), 1702266 (Alexander), 1443105, 1141839 (Steig) and NASA grant NNH18ZDA001N (Jaegle). We thank Xiahong Feng, Sarah Das, Robert Hawley, and Eric Posmentier for their helpful suggestions; Mark Twickler, Joseph Souney and the SPICEcore Science Coordination Office for administering the project; the U.S. Ice Drilling Program for support activities through NSF Cooperative Agreement 1836328; the 109th New York Air National Guard for airlift in Antarctica; the field team who helped collect the core; the members of South Pole station who facilitated the field operations; the National Science Foundation Ice Core Facility for ice core processing; and the many student researchers who produced the data underlying this research.</t>
  </si>
  <si>
    <t>e2020GL091602</t>
  </si>
  <si>
    <t>10.1029/2020GL091602</t>
  </si>
  <si>
    <t>WOS:000672324900042</t>
  </si>
  <si>
    <t>Xu, LX; Ding, Y; Xie, SP</t>
  </si>
  <si>
    <t>Xu, Lixiao; Ding, Yang; Xie, Shang-Ping</t>
  </si>
  <si>
    <t>Buoyancy and Wind Driven Changes in Subantarctic Mode Water During 2004-2019</t>
  </si>
  <si>
    <t>OCEAN HEAT UPTAKE; SEA-ICE; SUBDUCTION; CLIMATE; PRECIPITATION; TEMPERATURE; FRAMEWORK; SYSTEM; IMPACT; MASSES</t>
  </si>
  <si>
    <t>The Subantarctic Mode Water (SAMW) is a thick low-stratified subsurface water mass located north of the Antarctic Circumpolar Current, and it is important for heat uptake. How the SAMW has changed and what drives that change remain to be quantified. By synthesizing observations, eddy-resolving ocean model hindcasts and climate model simulations, we show that the SAMW has become warmer, fresher, lighter, and weaker in recent decades. As revealed by partially coupled model experiments, the SAMW core has remained at a constant depth since 2004 due to a balance between the enhanced wind stress curl, which deepens the SAMW core, and the buoyancy gain, which shallows the core. The lightening and weakening of the SAMW mainly result from the increased surface buoyancy gain due to climate warming, while the enhanced westerlies play a secondary role in slowing this trend. As greenhouse warming continues, the increased stratification will keep weakening the SAMW. Plain Language Summary The Subantarctic Mode Water (SAMW) is a thick layer of thermocline water exposed to the atmosphere in winter with nearly vertical homogeneous properties. It plays an important role in heat, carbon, oxygen, and nutrient uptake. We show that the SAMW became weaker, warmer, fresher, and lighter in the Argo period of 2004-2019, and we verify the changes in an eddy-resolving ocean hindcast simulation forced by observed atmospheric fields. These changes are consistent with climate model simulations under increasing levels of greenhouse gases. The partially coupled climate model experiments show that the surface buoyancy gain due to climate warming is the major cause of the SAMW weakening, while the intensified westerly winds play a secondary role in slowing this trend. As greenhouse warming increases the density stratification of the ocean, the weakening of the SAMW will continue, further reducing its capability to store heat and carbon.</t>
  </si>
  <si>
    <t>[Xu, Lixiao; Ding, Yang] Ocean Univ China, Frontier Sci Ctr Deep Ocean Multispheres &amp; Earth, Qingdao, Peoples R China; [Xu, Lixiao; Ding, Yang] Ocean Univ China, Phys Oceanog Lab, Qingdao, Peoples R China; [Xu, Lixiao; Ding, Yang] Qingdao Natl Lab Marine Sci &amp; Technol, Qingdao, Peoples R China; [Xie, Shang-Ping] Univ Calif San Diego, Scripps Inst Oceanog, La Jolla, CA 92093 USA</t>
  </si>
  <si>
    <t>Ocean University of China; Ocean University of China; Laoshan Laboratory; University of California System; University of California San Diego; Scripps Institution of Oceanography</t>
  </si>
  <si>
    <t>Ding, Y (corresponding author), Ocean Univ China, Frontier Sci Ctr Deep Ocean Multispheres &amp; Earth, Qingdao, Peoples R China.;Ding, Y (corresponding author), Ocean Univ China, Phys Oceanog Lab, Qingdao, Peoples R China.;Ding, Y (corresponding author), Qingdao Natl Lab Marine Sci &amp; Technol, Qingdao, Peoples R China.</t>
  </si>
  <si>
    <t>dingyangpol@ouc.edu.cn</t>
  </si>
  <si>
    <t>xu, lixiao/HTQ-5750-2023; Xie, Shang-Ping/C-1254-2009</t>
  </si>
  <si>
    <t>Xie, Shang-Ping/0000-0002-3676-1325; Ding, Yang/0000-0001-9778-091X</t>
  </si>
  <si>
    <t>National Key R&amp;D Program of China [2018YFA0605700, 2016YFA0601800]; Natural Science Foundation of China [41876006, 41976006]</t>
  </si>
  <si>
    <t>National Key R&amp;D Program of China; Natural Science Foundation of China(National Natural Science Foundation of China (NSFC))</t>
  </si>
  <si>
    <t>The authors thank two anonymous reviewers for their valuable comments and suggestions. The authors thank Dr. Wei Liu for providing the outputs of the partially coupled experiments. L. Xu and Y. Ding are supported by the National Key R&amp;D Program of China (2018YFA0605700 and 2016YFA0601800), and the Natural Science Foundation of China (41876006 and 41976006).</t>
  </si>
  <si>
    <t>e2021GL092511</t>
  </si>
  <si>
    <t>10.1029/2021GL092511</t>
  </si>
  <si>
    <t>WOS:000672324900070</t>
  </si>
  <si>
    <t>Danel, S; Zidat, T; Lucas, A; Biro, D; Bonadonna, F</t>
  </si>
  <si>
    <t>Danel, Samara; Zidat, Timothee; Lucas, Annick; Biro, Dora; Bonadonna, Francesco</t>
  </si>
  <si>
    <t>First description of nest-decoration behaviour in a wild sub-Antarctic shorebird</t>
  </si>
  <si>
    <t>BEHAVIOURAL PROCESSES</t>
  </si>
  <si>
    <t>Animal communication; Charadrius; Extended phenotype; Nest decoration; Non-bodily ornament; Signal</t>
  </si>
  <si>
    <t>SHEATHBILLS CHIONIS-MINOR; PTILONORHYNCHUS-VIOLACEUS; DIFFERENTIAL-ALLOCATION; SPOTLESS STARLINGS; SEXUAL SELECTION; GREAT BOWERBIRDS; MATING SUCCESS; MILVUS-MIGRANS; MALE DISPLAY; PREFERENCES</t>
  </si>
  <si>
    <t>A wide range of animal species accumulate objects in, on, and/or around structures they build. Sometimes, these accumulations serve specific functions (e.g. structural or isolating features) or are purely incidental, while in other cases the materials are deliberately displayed to serve signalling purposes (extended phenotype signals). In this pilot study, we employed systematic in situ observations and camera trapping to describe for the first time that both partners of a territorial shorebird, the black-faced sheathbill (Chionis minor ssp minor) collect, carry, and arrange colourful marine shells and dry twigs within and around their nest cavity. Our observations expand the taxonomic breadth of avian extended phenotype signals, by showing that at least one species within a largely understudied group i.e., Charadriiformes, exhibits nest-decoration behaviour. Multiple manipulative experiments are needed to explore further the signalling function of these decorations, which opens new exciting avenues for animal communication and cognition research.</t>
  </si>
  <si>
    <t>[Danel, Samara; Biro, Dora] Univ Oxford, Dept Zool, Oxford OX1 3PS, England; [Zidat, Timothee] Cardiff Univ, Sch Biosci, Museum Ave, Cardiff CF10 3AX, S Glam, Wales; [Lucas, Annick; Bonadonna, Francesco] Univ Montpellier, CNRS, CEFE, EPHE,IRD, Montpellier, France; [Biro, Dora] Univ Rochester, Dept Brain &amp; Cognit Sci, Rochester, NY 14627 USA</t>
  </si>
  <si>
    <t>University of Oxford; Cardiff University; Universite PSL; Ecole Pratique des Hautes Etudes (EPHE); Institut Agro; Montpellier SupAgro; CIRAD; Centre National de la Recherche Scientifique (CNRS); Institut de Recherche pour le Developpement (IRD); Universite Paul-Valery; Universite de Montpellier; University of Rochester</t>
  </si>
  <si>
    <t>Danel, S (corresponding author), Univ Oxford, Dept Zool, Oxford OX1 3PS, England.</t>
  </si>
  <si>
    <t>samara.danel@gmail.com; timoth.zidat@gmail.com; Annick.LUCAS@cefe.cnrs.fr; dora.biro@zoo.ox.ac.uk; Francesco.BONADONNA@cefe.cnrs.fr</t>
  </si>
  <si>
    <t>Biro, Dora/0000-0002-3408-6274; ZIDAT, Timothee/0000-0003-2826-6815</t>
  </si>
  <si>
    <t>I.P.E.V. grant [ETHOTAAF 354]; Fyssen Foundation</t>
  </si>
  <si>
    <t>I.P.E.V. grant; Fyssen Foundation</t>
  </si>
  <si>
    <t>The research was supported by I.P.E.V. grants (to FB, ETHOTAAF 354) and by the Fyssen Foundation (to SD and TZ).</t>
  </si>
  <si>
    <t>0376-6357</t>
  </si>
  <si>
    <t>1872-8308</t>
  </si>
  <si>
    <t>BEHAV PROCESS</t>
  </si>
  <si>
    <t>Behav. Processes</t>
  </si>
  <si>
    <t>JUL</t>
  </si>
  <si>
    <t>10.1016/j.beproc.2021.104408</t>
  </si>
  <si>
    <t>Psychology, Biological; Behavioral Sciences; Zoology</t>
  </si>
  <si>
    <t>Science Citation Index Expanded (SCI-EXPANDED); Social Science Citation Index (SSCI)</t>
  </si>
  <si>
    <t>Psychology; Behavioral Sciences; Zoology</t>
  </si>
  <si>
    <t>SO6AF</t>
  </si>
  <si>
    <t>WOS:000659052000014</t>
  </si>
  <si>
    <t>Schrader, DL; Davidson, J; McCoy, TJ; Zega, TJ; Russell, SS; Domanik, KJ; King, AJ</t>
  </si>
  <si>
    <t>Schrader, Devin L.; Davidson, Jemma; McCoy, Timothy J.; Zega, Thomas J.; Russell, Sara S.; Domanik, Kenneth J.; King, Ashley J.</t>
  </si>
  <si>
    <t>The Fe/S ratio of pyrrhotite group sulfides in chondrites: An indicator of oxidation and implications for return samples from asteroids Ryugu and Bennu</t>
  </si>
  <si>
    <t>GEOCHIMICA ET COSMOCHIMICA ACTA</t>
  </si>
  <si>
    <t>Sulfide; Pyrrhotite; Troilite; Pyrite; Chondrite; Oxidation; Asteroid sample return</t>
  </si>
  <si>
    <t>CARBONACEOUS CHONDRITES; PARENT BODY; AQUEOUS ALTERATION; MODAL MINERALOGY; OXYGEN-ISOTOPE; THERMAL METAMORPHISM; IRON SULFIDES; NI METAL; CR; ORIGIN</t>
  </si>
  <si>
    <t>Determining compositional trends among individual minerals is key to understanding the thermodynamic conditions under which they formed and altered, and is also essential to maximizing the scientific value of small extraterrestrial samples, including returned samples and meteorites. Here we report the chemical compositions of Fe-sulfides, focusing on the pyrrhotite-group sulfides, which are ubiquitous in chondrites and are sensitive indicators of formation and alteration conditions in the protoplanetary disk and in small Solar System bodies. Our data show that while there are trends with the at.% Fe/S ratio of pyrrhotite with thermal and aqueous alteration in some meteorite groups, there is a universal trend between the Fe/S ratio and degree of oxidation. Relatively reducing conditions led to the formation of troilite during: (1) chondrule formation in the protoplanetary disk (i.e., pristine chondrites) and (2) parent body thermal alteration (i.e., LL4 to LL6, CR1, CM, and CY chondrites). Oxidizing and sulfidizing conditions led to the formation of Fe-depleted pyrrhotite with low Fe/S ratios during: (1) aqueous alteration (i.e., CM and CI chondrites), and (2) thermal alteration (i.e., CK and R chondrites). The presence of troilite in highly aqueously altered carbonaceous chondrites (e.g., CY, CR1, and some CM chondrites) indicates they were heated after aqueous alteration. The presence of troilite, Fe-depleted pyrrhotite, or pyrite in a chondrite can provide an estimate of the oxygen and sulfur fugacities at which it was formed or altered. The data reported here can be used to estimate the oxygen fugacity of formation and potentially the aqueous and/or thermal histories of sulfides in extraterrestrial samples, including those returned by the Hayabusa2 mission and due to be returned by the OSIRIS-REx mission in the near future. (C) 2021 The Author(s). Published by Elsevier Ltd.</t>
  </si>
  <si>
    <t>[Schrader, Devin L.; Davidson, Jemma] Arizona State Univ, Ctr Meteorite Studies, Sch Earth &amp; Space Explorat, 781 East Terrace Rd, Tempe, AZ 85287 USA; [McCoy, Timothy J.] Smithsonian Inst, Dept Mineral Sci, Natl Museum Nat Hist, 10th &amp; Constitut Ave NW, Washington, DC 20560 USA; [Zega, Thomas J.; Domanik, Kenneth J.] Univ Arizona, Lunar &amp; Planetary Lab, Tucson, AZ 85721 USA; [Russell, Sara S.; King, Ashley J.] Nat Hist Museum, Planetary Mat Grp, Dept Earth Sci, Cromwell Rd, London SW7 5BD, England</t>
  </si>
  <si>
    <t>Arizona State University; Arizona State University-Tempe; Smithsonian Institution; Smithsonian National Museum of Natural History; University of Arizona; Natural History Museum London</t>
  </si>
  <si>
    <t>Schrader, DL (corresponding author), Arizona State Univ, Ctr Meteorite Studies, Sch Earth &amp; Space Explorat, 781 East Terrace Rd, Tempe, AZ 85287 USA.</t>
  </si>
  <si>
    <t>devin.schrader@asu.edu</t>
  </si>
  <si>
    <t>Davidson, Jemma/ABB-2655-2021; Schrader, Devin L/H-6293-2012</t>
  </si>
  <si>
    <t>Davidson, Jemma/0000-0002-3725-2960; Zega, Thomas/0000-0002-9549-022X; McCoy, Timothy/0000-0002-4573-3553; Schrader, Devin/0000-0001-5282-232X; Russell, Sara/0000-0001-5531-7847</t>
  </si>
  <si>
    <t>NSF; NASA; NASA [NNX17AE53G]; STFC [ST/R000727/1]; [NNCI-ECCS-1542160]; NASA [NNX17AE53G, 1002623] Funding Source: Federal RePORTER</t>
  </si>
  <si>
    <t>NSF(National Science Foundation (NSF)); NASA(National Aeronautics &amp; Space Administration (NASA)); NASA(National Aeronautics &amp; Space Administration (NASA)); STFC(UK Research &amp; Innovation (UKRI)Science &amp; Technology Facilities Council (STFC)); ; NASA(National Aeronautics &amp; Space Administration (NASA))</t>
  </si>
  <si>
    <t>For supplying the samples that were necessary for this work, the authors would like to thank the Smithsonian Institution, NASA/NSF, the National Institute of Polar Research (NiPR), the Arizona State University Center for Meteorite Studies, the Natural History Museum London, and the Institut fur Planetologie.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are grateful to Axel Wittmann for assistance with the EPMA at ASU and Laurence Garvie for sample preparation. We are also grateful to Emma Bullock, two anonymous reviewers, and Associate Editor Anders Meibom, whose constructive comments improved the quality of the manuscript. We acknowledge the use of facilities within the Eyring Materials Center at Arizona State University supported in part by NNCI-ECCS-1542160. This work was funded by NASA grant NNX17AE53G (PI: DLS, CoI: TJZ) and STFC grant no. ST/R000727/1.</t>
  </si>
  <si>
    <t>PERGAMON-ELSEVIER SCIENCE LTD</t>
  </si>
  <si>
    <t>THE BOULEVARD, LANGFORD LANE, KIDLINGTON, OXFORD OX5 1GB, ENGLAND</t>
  </si>
  <si>
    <t>0016-7037</t>
  </si>
  <si>
    <t>1872-9533</t>
  </si>
  <si>
    <t>GEOCHIM COSMOCHIM AC</t>
  </si>
  <si>
    <t>Geochim. Cosmochim. Acta</t>
  </si>
  <si>
    <t>JUN 15</t>
  </si>
  <si>
    <t>10.1016/j.gca.2021.03.019</t>
  </si>
  <si>
    <t>Geochemistry &amp; Geophysics</t>
  </si>
  <si>
    <t>SE0YO</t>
  </si>
  <si>
    <t>Green Accepted, hybrid</t>
  </si>
  <si>
    <t>WOS:000651801700005</t>
  </si>
  <si>
    <t>Kozeretska, I; Serga, S; Kovalenko, P; Gorobchyshyn, V; Convey, P</t>
  </si>
  <si>
    <t>Kozeretska, Iryna; Serga, Svitlana; Kovalenko, Pavlo; Gorobchyshyn, Volodymyr; Convey, Peter</t>
  </si>
  <si>
    <t>Belgica antarctica (Diptera: Chironomidae): A natural model organism for extreme environments</t>
  </si>
  <si>
    <t>INSECT SCIENCE</t>
  </si>
  <si>
    <t>Review</t>
  </si>
  <si>
    <t>Belgica antarctica; Chironomidae; stress adaptation; Antarctica</t>
  </si>
  <si>
    <t>HEAT-SHOCK PROTEINS; LIFE-HISTORY; CRYOPROTECTIVE DEHYDRATION; ERETMOPTERA-MURPHYI; GENOME SEQUENCE; GENE-EXPRESSION; TERRESTRIAL ARTHROPOD; FREEZING TOLERANCE; STRESS TOLERANCE; MIDGE</t>
  </si>
  <si>
    <t>Belgica antarctica (Diptera: Chironomidae), a brachypterous midge endemic to the maritime Antarctic, was first described in 1900. Over more than a century of study, a vast amount of information has been compiled on the species (3 750 000 Google search results as of January 10, 2021), encompassing its ecology and biology, life cycle and reproduction, polytene chromosomes, physiology, biochemistry and, increasingly, omics. In 2014, B. antarctica's genome was sequenced, further boosting research. Certain developmental stages can be cultured successfully in the laboratory. Taken together, this wealth of information allows the species to be viewed as a natural model organism for studies of adaptation and function in extreme environments.</t>
  </si>
  <si>
    <t>[Kozeretska, Iryna; Serga, Svitlana] Nat Antarctic Sci Ctr Ukraine, Taras Shevchenko Blv 16, UA-01601 Kiev, Ukraine; [Serga, Svitlana] Taras Shevchenko Natl Univ Kyiv, Dept Gen &amp; Med Genet, Volodymyrska Str 64-13, UA-01601 Kiev, Ukraine; [Kovalenko, Pavlo; Gorobchyshyn, Volodymyr] Natl Acad Sci Ukraine, State Inst Inst Evolutionary Ecol, Dept Populat Dynam, Lebedeva Str 37, UA-03143 Kiev, Ukraine; [Convey, Peter] British Antarctic Survey, NERC, Madingley Rd, Cambridge CB3 0ET, England</t>
  </si>
  <si>
    <t>Ministry of Education &amp; Science of Ukraine; Taras Shevchenko National University of Kyiv; National Academy of Sciences Ukraine; UK Research &amp; Innovation (UKRI); Natural Environment Research Council (NERC); NERC British Antarctic Survey</t>
  </si>
  <si>
    <t>Kozeretska, I (corresponding author), Natl Antarctic Sci Ctr Ukraine, Blv Tarasa Shevchenka 16, UA-01601 Kiev, Ukraine.</t>
  </si>
  <si>
    <t>iryna.kozeretska@gmail.com</t>
  </si>
  <si>
    <t>Kovalenko, Pavlo Andriiovych/AAZ-5679-2021; Gorobchyshyn, Volodymyr/AAZ-8624-2021; Convey, Peter/AAV-5728-2020; Kozeretska, Iryna/F-1383-2010</t>
  </si>
  <si>
    <t>Kovalenko, Pavlo Andriiovych/0000-0002-9533-3080; Gorobchyshyn, Volodymyr/0000-0003-1896-5110; Convey, Peter/0000-0001-8497-9903; Serga, Svitlana/0000-0003-1875-3185; Kozeretska, Iryna/0000-0002-6485-1408</t>
  </si>
  <si>
    <t>NERC; NERC [NE/T009454/1, bas0100036] Funding Source: UKRI</t>
  </si>
  <si>
    <t>NERC(UK Research &amp; Innovation (UKRI)Natural Environment Research Council (NERC)); NERC(UK Research &amp; Innovation (UKRI)Natural Environment Research Council (NERC))</t>
  </si>
  <si>
    <t>We thank Dr. A. Rozhok, University of Colorado, CO (UCD) and Prof. S. Gorb, Christian-Albrechts-Universitat zu Kiel, for assisting in obtaining rare literature references. We also thank Dr. N. Teets and Dr. S.A. Hayward for helpful comments on an earlier version of the manuscript and two anonymous referees for further constructive comments. P. Convey is supported by NERC core funding to the BAS Biodiversity, Evolution and Adaptation Team.</t>
  </si>
  <si>
    <t>1672-9609</t>
  </si>
  <si>
    <t>1744-7917</t>
  </si>
  <si>
    <t>INSECT SCI</t>
  </si>
  <si>
    <t>Insect Sci.</t>
  </si>
  <si>
    <t>FEB</t>
  </si>
  <si>
    <t>10.1111/1744-7917.12925</t>
  </si>
  <si>
    <t>Entomology</t>
  </si>
  <si>
    <t>YZ2GU</t>
  </si>
  <si>
    <t>hybrid, Green Accepted</t>
  </si>
  <si>
    <t>WOS:000645092100001</t>
  </si>
  <si>
    <t>Kato, C; Kihara, W; Ko, YO; Kadokura, A; Kataoka, R; Evenson, P; Uchida, S; Kaimi, S; Nakamura, Y; Uchida, HA; Murase, K; Munakata, K</t>
  </si>
  <si>
    <t>Kato, Chihiro; Kihara, Wataru; Ko, Yukino; Kadokura, Akira; Kataoka, Ryuho; Evenson, Paul; Uchida, Satoru; Kaimi, So; Nakamura, Yoshiaki; Uchida, Herbert Akihito; Murase, Kiyoka; Munakata, Kazuoki</t>
  </si>
  <si>
    <t>New cosmic ray observations at Syowa Station in the Antarctic for space weather study</t>
  </si>
  <si>
    <t>JOURNAL OF SPACE WEATHER AND SPACE CLIMATE</t>
  </si>
  <si>
    <t>cosmic ray; muon detector; neutron monitor</t>
  </si>
  <si>
    <t>Muon detectors and neutron monitors were recently installed at Syowa Station, in the Antarctic, to observe different types of secondary particles resulting from cosmic ray interactions simultaneously from the same location. Continuing observations will give new insight into the response of muon detectors to atmospheric and geomagnetic effects. Operation began in February, 2018 and the system has been stable with a duty-cycle exceeding 94%. Muon data shows a clear seasonal variation, which is expected from the atmospheric temperature effect. We verified successful operation by showing that the muon and neutron data are consistent with those from other locations by comparing intensity variations during a space weather event. We have established a web page to make real time data available with interactive graphics (http:// polaris.nipr.ac.jp/cosmicrays/).</t>
  </si>
  <si>
    <t>[Kato, Chihiro; Kihara, Wataru; Ko, Yukino; Uchida, Satoru; Kaimi, So; Munakata, Kazuoki] Shinshu Univ, Fac Sci, Dept Phys, Matsumoto, Nagano 3908621, Japan; [Kadokura, Akira; Kataoka, Ryuho; Uchida, Herbert Akihito] Natl Inst Polar Res NIPR, Tachikawa, Tokyo 1908518, Japan; [Kadokura, Akira] Res Org Informat &amp; Syst, Joint Support Ctr Data Sci Res, Polar Environm Data Sci Ctr, Tachikawa, Tokyo 1050001, Japan; [Evenson, Paul] Univ Delaware, Bartol Res Inst, Dept Phys &amp; Astron, Newark, DE 19716 USA; [Nakamura, Yoshiaki] Chinese Acad Sci, Inst High Energy Phys, Key Lab Particle Astrophys, Beijing 100049, Peoples R China; [Kadokura, Akira; Kataoka, Ryuho; Uchida, Herbert Akihito; Murase, Kiyoka] Grad Univ Adv Studies, Dept Polar Sci, Sokendai 2400193, Japan</t>
  </si>
  <si>
    <t>Shinshu University; Research Organization of Information &amp; Systems (ROIS); National Institute of Polar Research (NIPR) - Japan; Research Organization of Information &amp; Systems (ROIS); University of Delaware; Chinese Academy of Sciences; Institute of High Energy Physics, CAS; Graduate University for Advanced Studies - Japan</t>
  </si>
  <si>
    <t>Kato, C (corresponding author), Shinshu Univ, Fac Sci, Dept Phys, Matsumoto, Nagano 3908621, Japan.</t>
  </si>
  <si>
    <t>ckato@shinshu-u.ac.jp</t>
  </si>
  <si>
    <t>KATAOKA, RYUHO/AAJ-4570-2020</t>
  </si>
  <si>
    <t>Uchida, Herbert Akihito/0000-0002-4228-9178</t>
  </si>
  <si>
    <t>NIPR; ISEE (Institute for Space-Earth Environmental Research), University of Delaware; Shinshu University; ROIS-DS-JOINT2018; United States National Science Foundation [PLR-1245939, PLR-1341562]; Department of Physics and Astronomy, the University of Delaware; Bartol Research Institute, the University of Delaware</t>
  </si>
  <si>
    <t>NIPR(National Institute of Polar Research (NIPR) - Japan); ISEE (Institute for Space-Earth Environmental Research), University of Delaware; Shinshu University(Shinshu University); ROIS-DS-JOINT2018; United States National Science Foundation(National Science Foundation (NSF)); Department of Physics and Astronomy, the University of Delaware; Bartol Research Institute, the University of Delaware</t>
  </si>
  <si>
    <t>The authors are grateful to Center for Antarctic Programs at NIPR (National Institute of Polar Research), JARE59 team, and Shirase crew for installing the system to Syowa Station. This research project is supported by NIPR, ISEE (Institute for Space-Earth Environmental Research), University of Delaware, and Shinshu University. Some of the scientific data of this research project has begun to be published at http://polaris.nipr.ac.jp/cosmicrays/supported by ROIS-DS-JOINT2018. The Bartol Research Institute neutron monitor program is supported by the United States National Science Foundation under grants PLR-1245939 and PLR-1341562, and by Department of Physics and Astronomy and the Bartol Research Institute, the University of Delaware. The neutronmonitor data from Thule are provided by the University of Delaware Department of Physics and Astronomy and the Bartol Research Institute. The neutron monitor data from South Pole and the South Pole Bares are provided by the University of Wisconsin, River Falls. We acknowledge the NMDB database (http://www.nmdb.eu), founded under the European Union's FP7 program (contract no. 213007) for providing datav. The editor thanks two anonymous reviewers for their assistance in evaluating this paper.</t>
  </si>
  <si>
    <t>EDP SCIENCES S A</t>
  </si>
  <si>
    <t>LES ULIS CEDEX A</t>
  </si>
  <si>
    <t>17, AVE DU HOGGAR, PA COURTABOEUF, BP 112, F-91944 LES ULIS CEDEX A, FRANCE</t>
  </si>
  <si>
    <t>2115-7251</t>
  </si>
  <si>
    <t>J SPACE WEATHER SPAC</t>
  </si>
  <si>
    <t>J. Space Weather Space Clim.</t>
  </si>
  <si>
    <t>10.1051/swsc/2021005</t>
  </si>
  <si>
    <t>Astronomy &amp; Astrophysics; Geochemistry &amp; Geophysics; Meteorology &amp; Atmospheric Sciences</t>
  </si>
  <si>
    <t>RU2QN</t>
  </si>
  <si>
    <t>gold, Green Submitted, Green Published</t>
  </si>
  <si>
    <t>WOS:000644995100001</t>
  </si>
  <si>
    <t>Sinha, RK; Krishnan, KP</t>
  </si>
  <si>
    <t>Sinha, Rupesh Kumar; Krishnan, K. P.</t>
  </si>
  <si>
    <t>Genomic insights into the molecular mechanisms of a Pseudomonas strain significant in its survival in Kongsfjorden, an Arctic fjord</t>
  </si>
  <si>
    <t>MOLECULAR GENETICS AND GENOMICS</t>
  </si>
  <si>
    <t>Pseudomonas; Whole-genome sequencing; Comparative genomics; Arctic</t>
  </si>
  <si>
    <t>BACTERIAL COMMUNITIES; SIDEROPHORE PYOCHELIN; BIOSYNTHESIS; VITAMIN-B-12; AERUGINOSA; PHYTOPLANKTON; SPITSBERGEN; ANNOTATION; PYOVERDINE; REQUIRES</t>
  </si>
  <si>
    <t>Whole-genome sequence of Pseudomonas sp. Kongs-67 retrieved from Kongsfjorden, an Arctic fjord, has been investigated to understand the molecular machinery required for microbial association and survival in a polar fjord. The genome size of Kongs-67 was 4.5 Mb and was found to be closely related to the Antarctic P. pelagia strain CL-AP6. This genome encodes for chemotaxis response regulator proteins (CheABB1RR2VWYZ), chemoreceptors (methyl-accepting chemotaxis proteins), and flagellar system proteins (FliCDEFGOPMN, FlhABF, FlgBCDEFGHIJKL, and MotAB proteins) vital in cellular interactions in the dynamic fjord environment. A high proportion of genes were assigned to biofilm formation (pgaABCD operon) and signal transduction protein categories (EnvZ/OmpR, CpxA/CpxR, PhoR/PhoB, PhoQ) indicating that the biofilm formation in Kongs-67 could be tightly regulated in response to the availability of signalling-metabolites. The genome of Kongs-67 encoded for HemBCD, CbiA, CobABNSTOQCDP, and BtuBFR proteins involved in cobalamin biosynthesis and transport along with proteins for siderophore-mediated iron channelling (PchR, Fur protein, FpvA); crucial in a microbial association. The genomes of Arctic strain Kongs-67 and Antarctic strain CL-AP6 were similar which is indicative of retainment of the core genes in the polar Pseudomonas strains that could be vital in conferring evolutionary adaptation for its survival in a polar fjord. Thus, our study contributes to the knowledge on the genetics of a polar Pseudomonas member exhibiting biosynthetic potentials and suggest Pseudomonas sp. Kongs-67 as a suitable candidate for the investigation of functional aspects of molecular adaptations in the polar marine environment.</t>
  </si>
  <si>
    <t>[Sinha, Rupesh Kumar; Krishnan, K. P.] Minist Earth Sci, Natl Ctr Polar &amp; Ocean Res, Vasco Da Gama 403804, Goa, India</t>
  </si>
  <si>
    <t>Ministry of Earth Sciences (MoES) - India; National Centre for Polar and Ocean Research (NCPOR)</t>
  </si>
  <si>
    <t>Krishnan, KP (corresponding author), Minist Earth Sci, Natl Ctr Polar &amp; Ocean Res, Vasco Da Gama 403804, Goa, India.</t>
  </si>
  <si>
    <t>rupesh@ncpor.res.in; krishnan@ncpor.res.in</t>
  </si>
  <si>
    <t>Sinha, Rupesh Kumar/0000-0002-2080-0975</t>
  </si>
  <si>
    <t>Ministry of Earth Sciences; New Delhi, India</t>
  </si>
  <si>
    <t>Funding was provided by the Ministry of Earth Sciences, Govt. of India, New Delhi, India.</t>
  </si>
  <si>
    <t>1617-4615</t>
  </si>
  <si>
    <t>1617-4623</t>
  </si>
  <si>
    <t>MOL GENET GENOMICS</t>
  </si>
  <si>
    <t>Mol. Genet. Genomics</t>
  </si>
  <si>
    <t>10.1007/s00438-021-01788-9</t>
  </si>
  <si>
    <t>Biochemistry &amp; Molecular Biology; Genetics &amp; Heredity</t>
  </si>
  <si>
    <t>SU8HL</t>
  </si>
  <si>
    <t>WOS:000645077000001</t>
  </si>
  <si>
    <t>McMillan, MN; Semmens, JM; Huveneers, C; Sims, DW; Stehfest, KM; Gillanders, BM</t>
  </si>
  <si>
    <t>McMillan, M. N.; Semmens, J. M.; Huveneers, C.; Sims, D. W.; Stehfest, K. M.; Gillanders, B. M.</t>
  </si>
  <si>
    <t>Grow or go? Energetic constraints on shark pup dispersal frompupping areas</t>
  </si>
  <si>
    <t>CONSERVATION PHYSIOLOGY</t>
  </si>
  <si>
    <t>Connectivity; cost of transport; marine-protected areas; metabolic rate; nursery areas; ontogenetic habitat shift</t>
  </si>
  <si>
    <t>JUVENILE LEMON SHARKS; LESSER SPOTTED DOGFISH; NEGAPRION-BREVIROSTRIS; OXYGEN-CONSUMPTION; METABOLIC-RATE; SCHOOL SHARK; SWIMMING PERFORMANCE; GALEORHINUS-GALEUS; MARINE NURSERIES; NEUTRAL LIPIDS</t>
  </si>
  <si>
    <t>Many sharks and other marine taxa use natal areas to maximize survival of young, meaning such areas are often attributed conservation value. The use of natal areas is often linked to predator avoidance or food resources. However, energetic constraints that may influence dispersal of young and their use of natal areas are poorly understood. We combined swim-tunnel respirometry, calorimetry, lipid class analysis and a bioenergetics model to investigate howenergy demands influence dispersal of young in a globally distributed shark. The school shark (a.k.a. soupfin, tope), Galeorhinus galeus, is Critically Endangered due to overfishing and is one of many sharks that use protected natal areas in Australia. Energy storage in neonate pups was limited by small livers, low overall lipid content and low levels of energy storage lipids (e.g. triacylglycerols) relative to adults, with energy stores sufficient to sustain routine demands for 1.3-4 days (mean +/- SD: 2.4 +/- 0.8 days). High levels of growth-associated structural lipids (e.g. phospholipids) and high energetic cost of growth suggested large investment in growth during residency in natal areas. Rapid growth (similar to 40% in length) between birth in summer and dispersal in late autumn-winter likely increased survival by reducing predation and improving foraging ability. Delaying dispersal may allow prioritization of growth and may also provide energy savings through improved swimming efficiency and cooler ambient temperatures (daily ration was predicted to fall by around a third in winter). Neonate school sharks are therefore ill-equipped for large-scale dispersal and neonates recorded in the northwest of their Australian distribution are likely born locally, not at known south-eastern pupping areas. This suggests the existence of previously unrecorded school shark pupping areas. Integrated bioenergetic approaches as applied here may help to understand dispersal from natal areas in other taxa, such as teleost fishes, elasmobranchs and invertebrates.</t>
  </si>
  <si>
    <t>[McMillan, M. N.; Gillanders, B. M.] Univ Adelaide, Sch Biol Sci, Southern Seas Ecol Labs, Adelaide, SA 5005, Australia; [McMillan, M. N.] EcoSci Precinct, Anim Sci, Queensland Dept Agr &amp; Fisheries, Dutton Pk 4102, Australia; [Semmens, J. M.; Stehfest, K. M.] Univ Tasmania, Fisheries &amp; Aquaculture Ctr, Inst Marine &amp; Antarctic Studies, Taroona 7053, Australia; [Huveneers, C.] Flinders Univ S Australia, Coll Sci &amp; Engn, Southern Shark Ecol Grp, Bedford Pk, SA 5042, Australia; [Sims, D. W.] Marine Biol Assoc UK, Plymouth PL1 2PB, Devon, England; [Sims, D. W.] Univ Southampton, Natl Oceanog Ctr Southampton, Ocean &amp; Earth Sci, Waterfront Campus, Southampton SO14 3ZH, Hants, England</t>
  </si>
  <si>
    <t>University of Adelaide; University of Tasmania; Flinders University South Australia; Marine Biological Association United Kingdom; University of Southampton; NERC National Oceanography Centre</t>
  </si>
  <si>
    <t>McMillan, MN (corresponding author), EcoSci Precinct, Anim Sci, Queensland Dept Agr &amp; Fisheries, Dutton Pk 4102, Australia.</t>
  </si>
  <si>
    <t>matthew.mcmillan@daf.qld.gov.au</t>
  </si>
  <si>
    <t>Semmens, Jayson/0000-0003-1742-6692; Huveneers, Charlie/0000-0001-8937-1358</t>
  </si>
  <si>
    <t>University of Adelaide; University of Tasmania; Frederick James Sandoz Scholarship for Animal Research; Australian Government Research Training Program Scholarship; Visiting Fellowship from the University of Tasmania; Marine Biological Association Senior Research Fellowship</t>
  </si>
  <si>
    <t>University of Adelaide; University of Tasmania; Frederick James Sandoz Scholarship for Animal Research; Australian Government Research Training Program Scholarship(Australian GovernmentDepartment of Industry, Innovation and Science); Visiting Fellowship from the University of Tasmania; Marine Biological Association Senior Research Fellowship(UK Research &amp; Innovation (UKRI)Biotechnology and Biological Sciences Research Council (BBSRC))</t>
  </si>
  <si>
    <t>This work was supported by the University of Adelaide, the University of Tasmania and by the Frederick James Sandoz Scholarship for Animal Research to M.N.M. M.N.M. was also supported through the provision of an Australian Government Research Training Program Scholarship. D.W.S. was supported by a Visiting Fellowship from the University of Tasmania and a Marine Biological Association Senior Research Fellowship.</t>
  </si>
  <si>
    <t>OXFORD UNIV PRESS</t>
  </si>
  <si>
    <t>GREAT CLARENDON ST, OXFORD OX2 6DP, ENGLAND</t>
  </si>
  <si>
    <t>2051-1434</t>
  </si>
  <si>
    <t>CONSERV PHYSIOL</t>
  </si>
  <si>
    <t>Conserv. Physiol.</t>
  </si>
  <si>
    <t>coab017</t>
  </si>
  <si>
    <t>10.1093/conphys/coab017</t>
  </si>
  <si>
    <t>Biodiversity Conservation; Ecology; Environmental Sciences; Physiology</t>
  </si>
  <si>
    <t>Biodiversity &amp; Conservation; Environmental Sciences &amp; Ecology; Physiology</t>
  </si>
  <si>
    <t>XD1JA</t>
  </si>
  <si>
    <t>gold, Green Accepted, Green Published</t>
  </si>
  <si>
    <t>WOS:000722466800001</t>
  </si>
  <si>
    <t>Gilbert, E; Kittel, C</t>
  </si>
  <si>
    <t>Gilbert, E.; Kittel, C.</t>
  </si>
  <si>
    <t>Surface Melt and Runoff on Antarctic Ice Shelves at 1.5°C, 2°C, and 4°C of Future Warming</t>
  </si>
  <si>
    <t>REGIONAL CLIMATE MODEL; MASS-BALANCE; AMUNDSEN SECTOR; SHEET; GREENLAND; MELTWATER; DRIVEN</t>
  </si>
  <si>
    <t>The future surface mass balance (SMB) of Antarctic ice shelves has not been constrained with models of sufficient resolution and complexity. Here, we force the high-resolution Modele Atmospherique Regional with future simulations from four CMIP models to evaluate the likely effects on the SMB of warming of 1.5 degrees C, 2 degrees C, and 4 degrees C above pre-industrial temperatures. We find non-linear growth in melt and runoff which causes SMB to become less positive with more pronounced warming. Consequently, Antarctic ice shelves may be more likely to contribute indirectly to sea level rise via hydrofracturing-induced collapse, which facilitates accelerated glacial discharge. Using runoff and melt as indicators of ice shelf stability, we find that several Antarctic ice shelves (Larsen C, Wilkins, Pine Island, and Shackleton) are vulnerable to disintegration at 4 degrees C. Limiting 21st century warming to 2 degrees C will halve the ice shelf area susceptible to hydrofracturing-induced collapse compared to 4 degrees C. Plain Language Summary Whether Antarctic ice shelves are gaining or losing ice at the surface-their surface mass balance (SMB)-depends on many factors. To understand future Antarctic ice shelf SMB requires complex computer models, and until now, few studies using these models have been done. Here, we use the high-resolution MAR model to explore how ice shelf SMB changes under warming scenarios of 1.5 degrees C, 2 degrees C, and 4 degrees C above pre-industrial temperatures. Our results show that warming causes SMB to decrease because high temperatures produce meltwater, which then runs off the ice shelves, and that this effect is larger for greater levels of warming. Antarctic ice shelves may contribute to rising sea levels in future because larger amounts of melt and runoff increase their vulnerability to hydrofracturing, a process whereby ice shelves crack and disintegrate. Limiting future warming will reduce the number of ice shelves that will be susceptible to collapse via this mechanism.</t>
  </si>
  <si>
    <t>[Gilbert, E.] British Antarctic Survey, Cambridge, England; [Kittel, C.] Univ Liege, Dept Geog, Climatol Lab, SPHERES, Liege, Belgium; [Gilbert, E.] Univ Reading, Dept Meteorol, Reading, Berks, England</t>
  </si>
  <si>
    <t>UK Research &amp; Innovation (UKRI); Natural Environment Research Council (NERC); NERC British Antarctic Survey; University of Liege; University of Reading</t>
  </si>
  <si>
    <t>Gilbert, E (corresponding author), British Antarctic Survey, Cambridge, England.</t>
  </si>
  <si>
    <t>ella.gilbert@reading.ac.uk</t>
  </si>
  <si>
    <t>Kittel, Christoph/0000-0001-6586-9784; Gilbert, Ella/0000-0001-5272-8894</t>
  </si>
  <si>
    <t>Fonds de la Recherche Scientifique de Belgique (FNRS) [2.5020.11]; Walloon Region [1117545]; FNRS [T.0002.16]; British Antarctic Survey Innovation Voucher fund; NERC [bas0100032] Funding Source: UKRI</t>
  </si>
  <si>
    <t>Fonds de la Recherche Scientifique de Belgique (FNRS)(Fonds de la Recherche Scientifique - FNRS); Walloon Region; FNRS(Fonds de la Recherche Scientifique - FNRS); British Antarctic Survey Innovation Voucher fund; NERC(UK Research &amp; Innovation (UKRI)Natural Environment Research Council (NERC))</t>
  </si>
  <si>
    <t>The authors thank Andrew Orr and Charles Amory for helpful comments received during the preparation of this manuscript, as well as Brooke Medley and another anonymous reviewer. Computational resources for MAR simulations were provided by the Consortium des Equipements de Calcul Intensif (CECI), funded by the Fonds de la Recherche Scientifique de Belgique (FNRS) under grant no. 2.5020.11 and the Tier-1 supercomputer (Zenobe) of the Federation Wallonie Bruxelles infrastructure funded by the Walloon Region under grant agreement no. 1117545. CK's work was supported by the FNRS under grant no. T.0002.16 and EG acknowledges funding from the British Antarctic Survey Innovation Voucher fund.</t>
  </si>
  <si>
    <t>e2020GL091733</t>
  </si>
  <si>
    <t>10.1029/2020GL091733</t>
  </si>
  <si>
    <t>Green Accepted, Green Published, hybrid</t>
  </si>
  <si>
    <t>WOS:000672324900058</t>
  </si>
  <si>
    <t>Kogure, M; Yue, J; Liu, HX</t>
  </si>
  <si>
    <t>Kogure, Masaru; Yue, Jia; Liu, Huixin</t>
  </si>
  <si>
    <t>Gravity Wave Weakening During the 2019 Antarctic Stratospheric Sudden Warming</t>
  </si>
  <si>
    <t>POLAR MESOSPHERIC CLOUDS; PARTICLE-SIZE EXPERIMENT; ICE; CIRCULATION; INSTRUMENT; MISSION; DESIGN; VORTEX</t>
  </si>
  <si>
    <t>A rare Antarctic stratospheric sudden warming (SSW) occurred on August 30, 2019, and was a minor warming event. We investigated variations in gravity wave (GW) activity before and after this Antarctic SSW event using two satellite measurements (AIRS and CIPS) and reanalysis data (GEOS-5 FP). GW activity over the Andes decreased after August 30, although the westerly wind was 40-60 ms(-1) and cannot filter out GWs with small zonal phase speed. This decline over the Andes was probably caused by wave saturation. Zonal mean GW activity over Antarctica and the Southern Ocean likewise decreased, with a weakening of zonal wind. The zonal mean GW activity further decreased around September 8 which coincided with a reversal of the zonal mean zonal wind at 40 km. The decline in the zonal mean GW activity after August 30 was probably caused by wind filtering and polar night jet breaking. Plain Language Summary A strong westerly wind, called the polar night jet, appears in the winter polar region and typically exceeds 90 ms(-1) at its maximum. The temperature inside the jet (the polar vortex) is colder than that outside the jet. However, the polar night jet occasionally becomes highly distorted and disappears with accompanying warming in the polar stratosphere. Such events are called sudden stratospheric warmings (SSWs). SSWs drastically change the wind and temperature, which should strongly influence small-scale waves, called gravity waves (GWs). SSWs frequently occur in the Arctic, but rarely in the Antarctic. Antarctic SSWs have occurred only twice in the 21st century. The rare Antarctic SSW occurred in 2019, and we investigated GW variations before/after the SSW event. A decline in GW activity coincided with a decline in the zonal wind twice in GEOS-5 FP. The decline in GW activity was probably caused by a weak zonal wind layer. This temporal variation is the same as the Arctic GWs for the same type of SSW.</t>
  </si>
  <si>
    <t>[Kogure, Masaru; Liu, Huixin] Kyushu Univ, Dept Earth &amp; Planetary Sci, Fukuoka, Japan; [Yue, Jia] NASA, Goddard Space Flight Ctr, Greenbelt, MD USA; [Yue, Jia] Catholic Univ Amer, Phys Dept, Washington, DC USA</t>
  </si>
  <si>
    <t>Kyushu University; National Aeronautics &amp; Space Administration (NASA); NASA Goddard Space Flight Center; Catholic University of America</t>
  </si>
  <si>
    <t>Kogure, M (corresponding author), Kyushu Univ, Dept Earth &amp; Planetary Sci, Fukuoka, Japan.</t>
  </si>
  <si>
    <t>kogure.masaru.695@m.kyushu-u.ac.jp</t>
  </si>
  <si>
    <t>Yue, Jia/D-8177-2011; Kogure, Masaru/IUP-8537-2023</t>
  </si>
  <si>
    <t>Yue, Jia/0000-0003-0577-5289; Kogure, Masaru/0000-0003-0774-8647</t>
  </si>
  <si>
    <t>JSPS; DFG; JSPS KAKENHI [19K23465, 18H01270, 18H04446, 17KK0095]; Scientific Committee on Antarctic Research (SCAR) fellowship award 2019; NSF [AGS-1651394, AGS-1834222]; NASA AIM [80NSSC20K0628]; Grants-in-Aid for Scientific Research [19K23465] Funding Source: KAKEN</t>
  </si>
  <si>
    <t>JSPS(Ministry of Education, Culture, Sports, Science and Technology, Japan (MEXT)Japan Society for the Promotion of Science); DFG(German Research Foundation (DFG)); JSPS KAKENHI(Ministry of Education, Culture, Sports, Science and Technology, Japan (MEXT)Japan Society for the Promotion of ScienceGrants-in-Aid for Scientific Research (KAKENHI)); Scientific Committee on Antarctic Research (SCAR) fellowship award 2019; NSF(National Science Foundation (NSF)); NASA AIM; Grants-in-Aid for Scientific Research(Ministry of Education, Culture, Sports, Science and Technology, Japan (MEXT)Japan Society for the Promotion of ScienceGrants-in-Aid for Scientific Research (KAKENHI))</t>
  </si>
  <si>
    <t>This work was supported by the JSPS grant JRPs-LEAD with the DFG program, JSPS KAKENHI Grant Numbers 19K23465, 18H01270, 18H04446, and 17KK0095, and the Scientific Committee on Antarctic Research (SCAR) fellowship award 2019. J. Yue was supported by NSF grants AGS-1651394, AGS-1834222 and by NASA AIM and 80NSSC20K0628. The authors would like to thank Larry Coy (SSAI and NASA GSFC) for help accessing the GEOS5 FP data, Joan Alexander (NWRA) for providing the AIRS kernel function, Justin Carstens (Virginia Tech) and Cora Randall (CU) for providing the CIPS RAA kernel function. They also helped us to compare the GWs in both GEOS-5 FP and CIPS/AIM.</t>
  </si>
  <si>
    <t>e2021GL092537</t>
  </si>
  <si>
    <t>10.1029/2021GL092537</t>
  </si>
  <si>
    <t>WOS:000672324900067</t>
  </si>
  <si>
    <t>Branam, EN; Wong, JY; Chan, BKK; Chan, KYK</t>
  </si>
  <si>
    <t>Branam, Emily N.; Wong, Jin Yung; Chan, Benny K. K.; Chan, Kit Yu Karen</t>
  </si>
  <si>
    <t>A Tail's Tale: Biomechanical Roles of Dorsal Thoracic Spine of Barnacle Nauplii</t>
  </si>
  <si>
    <t>INTEGRATIVE AND COMPARATIVE BIOLOGY</t>
  </si>
  <si>
    <t>FREELY SWIMMING COPEPOD; ANTARCTIC KRILL; VERTICAL MIGRATION; FORM RESISTANCE; STEADY MOTION; FLOW-FIELD; LARVAE; ZOOPLANKTON; LOCOMOTION; DIVERSITY</t>
  </si>
  <si>
    <t>Many marine invertebrates have complex life histories that begin with a planktonic larval stage. Similar to other plankton, these larval invertebrates often possess protruding body extensions, but their function beyond predator deterrence is not well-documented. For example, the planktonic nauplii of crustaceans have spines. Using the epibiotic pedunculate barnacle Octolasmis spp., we investigated how the dorsal thoracic spine affects swimming and fluid disturbance by comparing nauplii with their spines partially removed against those with intact spines. Our motion analysis showed that amputated Octolasmis spp. swam slower, in jerkier trajectories, and were less efficient per stroke cycle than those with intact spines. Amputees showed alterations in limb beat pattern: larger beat amplitude, increased phase lag, and reduced contralateral symmetry. These changes might partially help increase propulsive force generation and streamline the flow, but were insufficient to restore full function. Particle image velocimetry further showed that amputees had a larger relative area of influence, implying elevated risk by rheotactic predator. Body extensions and their interactions with limb motion play important biomechanical roles in shaping larval performance, which likely influences the evolution of form.</t>
  </si>
  <si>
    <t>[Branam, Emily N.; Chan, Kit Yu Karen] Swarthmore Coll, Dept Biol, Swarthmore, PA 19081 USA; [Wong, Jin Yung; Chan, Benny K. K.] Acad Sinica, Biodivers Res Ctr, Taipei 11529, Taiwan; [Wong, Jin Yung] Natl Taiwan Normal Univ, Dept Life Sci, Taipei 11677, Taiwan</t>
  </si>
  <si>
    <t>Swarthmore College; Academia Sinica - Taiwan; National Taiwan Normal University</t>
  </si>
  <si>
    <t>Chan, KYK (corresponding author), Swarthmore Coll, Dept Biol, Swarthmore, PA 19081 USA.</t>
  </si>
  <si>
    <t>kchan1@swarthmore.edu</t>
  </si>
  <si>
    <t>Chan, Karen/E-4041-2015; Wong, Jin Yung/AHH-9789-2022</t>
  </si>
  <si>
    <t>Wong, Jin Yung/0000-0002-8705-0283; Chan, Kit Yu Karen/0000-0002-7775-4383</t>
  </si>
  <si>
    <t>Ministry of Science and Technology, Taiwan [106-2923-B-001-002-MY3]; Croucher Foundation; Faculty Research Fund from Swarthmore College; Taiwan Internatioanl Graduate Program PhD Fellowship</t>
  </si>
  <si>
    <t>Ministry of Science and Technology, Taiwan(Ministry of Science and Technology, Taiwan); Croucher Foundation; Faculty Research Fund from Swarthmore College; Taiwan Internatioanl Graduate Program PhD Fellowship</t>
  </si>
  <si>
    <t>This work was supported by the Ministry of Science and Technology, Taiwan (106-2923-B-001-002-MY3; to B.C.); the Croucher Foundation and Faculty Research Fund from Swarthmore College (to K.C.); and the Taiwan Internatioanl Graduate Program PhD Fellowship (to J.W.).</t>
  </si>
  <si>
    <t>OXFORD UNIV PRESS INC</t>
  </si>
  <si>
    <t>CARY</t>
  </si>
  <si>
    <t>JOURNALS DEPT, 2001 EVANS RD, CARY, NC 27513 USA</t>
  </si>
  <si>
    <t>1540-7063</t>
  </si>
  <si>
    <t>1557-7023</t>
  </si>
  <si>
    <t>INTEGR COMP BIOL</t>
  </si>
  <si>
    <t>Integr. Comp. Biol.</t>
  </si>
  <si>
    <t>10.1093/icb/icab036</t>
  </si>
  <si>
    <t>Zoology</t>
  </si>
  <si>
    <t>XX2IL</t>
  </si>
  <si>
    <t>WOS:000736126200028</t>
  </si>
  <si>
    <t>Velichko, N; Smirnova, S; Averina, S; Pinevich, A</t>
  </si>
  <si>
    <t>Velichko, Nataliia; Smirnova, Svetlana; Averina, Svetlana; Pinevich, Alexander</t>
  </si>
  <si>
    <t>A survey of Antarctic cyanobacteria</t>
  </si>
  <si>
    <t>HYDROBIOLOGIA</t>
  </si>
  <si>
    <t>Cyanoprokaryotes; Polyphasic taxonomy; Psychrophilic bacteria; Endemic bacteria; Biofilm; Microbial mat</t>
  </si>
  <si>
    <t>MCMURDO DRY VALLEYS; MICROBIAL COMMUNITY STRUCTURE; CIERVA POINT; FRESH-WATER; MAT COMMUNITIES; LAKE UNTERSEE; ROSS-ISLAND; MORPHOLOGICAL CHARACTERIZATION; FUNCTIONAL DIVERSITY; METAGENOMIC ANALYSIS</t>
  </si>
  <si>
    <t>This review compiles principal data on Antarctic cynobacteria published in recent decades and focuses on the diversity, environmental adaptations, and ecotypes of these microorganisms. Multidisciplinary investigation of Antarctica is important especially in times of global climate change and anthropogenic threats to unaltered ecosystems. Antarctica, which has been disconnected from Gondwana for the last 65 Myr, harbors relict biota mainly including microorganisms adapted to multiextreme environments. Cyanobacteria represent the most well studied Antarctic microorganisms related to the cell biology, abundance, distribution, and symbioses. However, substantial drawbacks remain, e.g., (i) the diversity of Antarctic cyanobacteria has been evaluated without a consensus between bacteriologists and phycologists due to the intricate interplay of morphological records, genomic data and culturing restrictions as well as taxonomic obstacles; (ii) although the main strategy of Antarctic cyanobacteria is biofilms (in particular, microbial mats), detailed knowledge on these symbiotic systems is still fragmentary; (iii) the specificity of the 'Antarctic cyanobacteria biosphere' should be better understood in light of unresolved questions related to endemism in prokaryotes, and (iv) the strains of Antarctic cyanobacteria maintained in culture are not numerous and not very diverse. These issues are at the forefront of cyanobacteriology, which is supported by related biosciences and earth sciences.</t>
  </si>
  <si>
    <t>[Velichko, Nataliia; Averina, Svetlana; Pinevich, Alexander] St Petersburg State Univ, St Petersburg, Russia; [Smirnova, Svetlana] RAS, Komarov Bot Inst, St Petersburg, Russia</t>
  </si>
  <si>
    <t>Saint Petersburg State University; Russian Academy of Sciences; Komarov Botanical Institute, Russian Academy of Sciences</t>
  </si>
  <si>
    <t>Pinevich, A (corresponding author), St Petersburg State Univ, St Petersburg, Russia.</t>
  </si>
  <si>
    <t>pinevich.a@mail.ru</t>
  </si>
  <si>
    <t>Averina, Svetlana/H-4712-2013; Smirnova, Svetlana/AAB-2027-2022; Velichko, Natalia V./C-5665-2013; Averina, Svetlana/HGC-1956-2022; Pinevich, Alexander/N-1166-2013</t>
  </si>
  <si>
    <t>Averina, Svetlana/0000-0003-0890-1834; Velichko, Natalia V./0000-0002-0540-9425; Averina, Svetlana/0000-0003-0890-1834; Pinevich, Alexander/0000-0002-3949-156X; Smirnova, Svetlana/0000-0001-9982-4840</t>
  </si>
  <si>
    <t>Russian Foundation for Fundamental Research project [20-04-00020]</t>
  </si>
  <si>
    <t>Russian Foundation for Fundamental Research project</t>
  </si>
  <si>
    <t>The work was partially financed by Russian Foundation for Fundamental Research project No. 20-04-00020.</t>
  </si>
  <si>
    <t>0018-8158</t>
  </si>
  <si>
    <t>1573-5117</t>
  </si>
  <si>
    <t>Hydrobiologia</t>
  </si>
  <si>
    <t>10.1007/s10750-021-04588-9</t>
  </si>
  <si>
    <t>SC4IY</t>
  </si>
  <si>
    <t>WOS:000644742300002</t>
  </si>
  <si>
    <t>Roy-Barman, M; Foliot, L; Douville, E; Leblond, N; Gazeau, F; Bressac, M; Wagener, T; Ridame, C; Desboeufs, K; Guieu, C</t>
  </si>
  <si>
    <t>Roy-Barman, Matthieu; Foliot, Lorna; Douville, Eric; Leblond, Nathalie; Gazeau, Frederic; Bressac, Matthieu; Wagener, Thibaut; Ridame, Celine; Desboeufs, Karine; Guieu, Cecile</t>
  </si>
  <si>
    <t>Contrasted release of insoluble elements (Fe, Al, rare earth elements, Th, Pa) after dust deposition in seawater: a tank experiment approach</t>
  </si>
  <si>
    <t>BIOGEOSCIENCES</t>
  </si>
  <si>
    <t>MEDITERRANEAN SEA; DISSOLVED ALUMINUM; GEOTRACES INTERCALIBRATION; NEODYMIUM ISOTOPES; SOLUBILITY; IRON; PARTICLES; THORIUM; WATERS; LIGANDS</t>
  </si>
  <si>
    <t>Lithogenic elements such as aluminum (Al), iron (Fe), rare earth elements (REEs), thorium (Th-232 and Th-230, given as Th) and protactinium (Pa) are often assumed to be insoluble. In this study, their dissolution from Saharan dust reaching Mediterranean seawater was studied through tank experiments over 3 to 4 d under controlled conditions including controls without dust addition as well as dust seeding under present and future climate conditions (+3 degrees C and -0.3 pH). Unfiltered surface seawater from three oligotrophic regions (Tyrrhenian Sea, Ionian Sea and Algerian Basin) were used. The maximum dissolution was low for all seeding experiments: less than 0.3 % for Fe, 1 % for Th-232 and Al, about 2 %-5 % for REEs and less than 6 % for Pa. Different behaviors were observed: dissolved Al increased until the end of the experiments, Fe did not dissolve significantly, and Th and light REEs were scavenged back on particles after a fast initial release. The constant Th-230/Th-232 ratio during the scavenging phase suggests that there is little or no further dissolution after the initial Th release. Quite unexpectedly, comparison of present and future conditions indicates that changes in temperature and/or pH influence the release of Th and REEs in seawater, leading to lower Th release and a higher light REE release under increased greenhouse conditions.</t>
  </si>
  <si>
    <t>[Roy-Barman, Matthieu; Foliot, Lorna; Douville, Eric] Univ Paris Saclay, CEA CNRS UVSQ, LSCE IPSL, Lab Sci Climat &amp; Environm, Gif Sur Yvette, France; [Leblond, Nathalie] Sorbonne Univ, IMEV, CNRS, Inst Mer Villefranche, F-06230 Villefranche Sur Mer, France; [Gazeau, Frederic; Bressac, Matthieu; Guieu, Cecile] Sorbonne Univ, CNRS, Lab Oceanog Villefranche, LOV, F-06230 Villefranche Sur Mer, France; [Bressac, Matthieu] Univ Tasmania, Inst Marine &amp; Antarctic Studies, Hobart, Tas, Australia; [Wagener, Thibaut] Univ Toulon &amp; Var, Aix Marseille Univ, CNRS, IRD,MIO,UM 110, F-13288 Marseille, France; [Ridame, Celine] Sorbonne Univ, LOCEAN, 4 Pl Jussieu, F-75252 Paris 05, France; [Desboeufs, Karine] Univ Paris Est Creteil, Inst Pierre Simon Laplace IPSL, Univ Paris, LISA,UMR7583, Creteil, France</t>
  </si>
  <si>
    <t>Universite Paris Cite; CEA; Centre National de la Recherche Scientifique (CNRS); Universite Paris Saclay; Sorbonne Universite; Centre National de la Recherche Scientifique (CNRS); Centre National de la Recherche Scientifique (CNRS); Sorbonne Universite; University of Tasmania; Centre National de la Recherche Scientifique (CNRS); Institut de Recherche pour le Developpement (IRD); Aix-Marseille Universite; Universite de Toulon; Museum National d'Histoire Naturelle (MNHN); Sorbonne Universite; Universite Paris Cite; Universite Paris-Est-Creteil-Val-de-Marne (UPEC); Centre National de la Recherche Scientifique (CNRS); CNRS - National Institute for Earth Sciences &amp; Astronomy (INSU)</t>
  </si>
  <si>
    <t>Roy-Barman, M (corresponding author), Univ Paris Saclay, CEA CNRS UVSQ, LSCE IPSL, Lab Sci Climat &amp; Environm, Gif Sur Yvette, France.</t>
  </si>
  <si>
    <t>matthieu.roy-barman@lsce.cnrs-gif.fr</t>
  </si>
  <si>
    <t>Gazeau, Frédéric/G-3050-2011; Guieu, Cecile/AAU-6883-2021</t>
  </si>
  <si>
    <t>Gazeau, Frédéric/0000-0001-8807-4597; Guieu, Cecile/0000-0001-6373-8326; Bressac, Matthieu/0000-0003-3075-3137; wagener, thibaut/0000-0002-3968-0678; DESBOEUFS, Karine/0000-0002-7766-6877; Douville, Eric/0000-0002-6673-1768</t>
  </si>
  <si>
    <t>European Union Seventh Framework Program [PIOF-GA-2012-626734]; CNRS-INSU</t>
  </si>
  <si>
    <t>European Union Seventh Framework Program(European Union (EU)); CNRS-INSU(Centre National de la Recherche Scientifique (CNRS))</t>
  </si>
  <si>
    <t>Matthieu Bressac received a grant from the European Union Seventh Framework Program (grant no. PIOF-GA-2012-626734). The publication of this article was financed by the CNRS-INSU.</t>
  </si>
  <si>
    <t>COPERNICUS GESELLSCHAFT MBH</t>
  </si>
  <si>
    <t>GOTTINGEN</t>
  </si>
  <si>
    <t>BAHNHOFSALLEE 1E, GOTTINGEN, 37081, GERMANY</t>
  </si>
  <si>
    <t>1726-4170</t>
  </si>
  <si>
    <t>1726-4189</t>
  </si>
  <si>
    <t>Biogeosciences</t>
  </si>
  <si>
    <t>APR 27</t>
  </si>
  <si>
    <t>10.5194/bg-18-2663-2021</t>
  </si>
  <si>
    <t>Ecology; Geosciences, Multidisciplinary</t>
  </si>
  <si>
    <t>Environmental Sciences &amp; Ecology; Geology</t>
  </si>
  <si>
    <t>RW3AT</t>
  </si>
  <si>
    <t>Green Submitted, gold</t>
  </si>
  <si>
    <t>WOS:000646399500002</t>
  </si>
  <si>
    <t>Sarli, DA; Sánchez, LA; Delgado, OD</t>
  </si>
  <si>
    <t>Sarli, Dinorah A.; Sanchez, Leandro A.; Delgado, Osvaldo D.</t>
  </si>
  <si>
    <t>Burkholderia gladioli MB39 an Antarctic Strain as a Biocontrol Agent</t>
  </si>
  <si>
    <t>CURRENT MICROBIOLOGY</t>
  </si>
  <si>
    <t>BIOLOGICAL-CONTROL; PV. AGARICICOLA; IN-VITRO; BACTERIUM; MICROORGANISMS; GROWTH; INHIBIT; ROT; IDENTIFICATION; BIOSYNTHESIS</t>
  </si>
  <si>
    <t>Bioprospecting sub-explored environments such as Antarctic locations leads to finding out diverse activities, reducing harmful chemical usage that affects both human health and the environment. In this study, similar to 7000 cold-adapted bacterial strains were isolated from samples around Melchior Antarctic Base at 5 degrees C and more than 13,000 at 15 degrees C. Out of them, 900 different colony morphotypes were evaluated for antimicrobial production, and 13 isolates demonstrated antibacterial and antifungal activities. One isolate, closely related to Burkholderia gladioli according to 16S rDNA (99.8%), gyrB (99.6%) and Cpn60 (99.4%) gene sequence analysis, showed a consistent, broad antimicrobial spectrum against both pathogenic and phytopathogenic bacteria. Its potent antifungal activity inhibits the growth of various plant pathogenic fungi, whereas it was mainly studied against Penicillium digitatum and Macrophomina phaseolina, the causal agents of blue mould in postharvest fruits and charcoal rot in soybean crops, respectively. The antibacterial compound exhibited low molecular weight (&lt; 6000 Da), resistance to lytic enzymes and stability in a broad range of temperature and pHs. Observations of the B. gladioli MB39 antifungal effects over M. phaseolina mycelia by scanning electron microscopy showed alterations in hyphal structures, reduced hyphal extension, and severe cell morphology changes such as cytoplasmic leakage, flattened and empty mycelia. Here we report the isolation and identification of a cold-adapted B. gladioli strain. The results describe the effectiveness of the antarctic strain for bacterial and fungal phytopathogens biocontrol and its potential for crop protection plans.</t>
  </si>
  <si>
    <t>[Sarli, Dinorah A.; Sanchez, Leandro A.; Delgado, Osvaldo D.] PROIMI CONICET, Av Belgrano &amp; Pje Caseros, RA-4000 San Miguel De Tucuman, Tucuman, Argentina; [Delgado, Osvaldo D.] Univ Nacl Catamarca UNCa, Fac Ciencias Exactas &amp; Nat FACEN, Ctr Biol Mol &amp; Biotecnol CEBIOTEC, Av Belgrano 300, RA-4700 Catamarca, Argentina</t>
  </si>
  <si>
    <t>Consejo Nacional de Investigaciones Cientificas y Tecnicas (CONICET)</t>
  </si>
  <si>
    <t>Delgado, OD (corresponding author), PROIMI CONICET, Av Belgrano &amp; Pje Caseros, RA-4000 San Miguel De Tucuman, Tucuman, Argentina.;Delgado, OD (corresponding author), Univ Nacl Catamarca UNCa, Fac Ciencias Exactas &amp; Nat FACEN, Ctr Biol Mol &amp; Biotecnol CEBIOTEC, Av Belgrano 300, RA-4700 Catamarca, Argentina.</t>
  </si>
  <si>
    <t>odelgado@conicet.gov.ar</t>
  </si>
  <si>
    <t>Sanchez, Leandro Arturo/0000-0002-8888-0668</t>
  </si>
  <si>
    <t>Consejo Nacional de Investigaciones Cientificas y Tecnicas (CONICET) [PIP0662]; Agencia Nacional de Promocion Cientifica y Tecnologica (ANPCYT) [PICT 2679]; Secretaria de Ciencia y Tecnologia de la Universidad Nacional de Catamarca (SECyT UNCa) [02/L442]</t>
  </si>
  <si>
    <t>Consejo Nacional de Investigaciones Cientificas y Tecnicas (CONICET)(Consejo Nacional de Investigaciones Cientificas y Tecnicas (CONICET)); Agencia Nacional de Promocion Cientifica y Tecnologica (ANPCYT)(ANPCyTSpanish Government); Secretaria de Ciencia y Tecnologia de la Universidad Nacional de Catamarca (SECyT UNCa)(Secretaria de Ciencia y Tecnologia (SECYT))</t>
  </si>
  <si>
    <t>These findings were funded by the Consejo Nacional de Investigaciones Cientificas y Tecnicas (CONICET, PIP0662; PIO CONICET-UNCa); Agencia Nacional de Promocion Cientifica y Tecnologica (ANPCYT, PICT 2679) and Secretaria de Ciencia y Tecnologia de la Universidad Nacional de Catamarca (SECyT UNCa, 02/L442).</t>
  </si>
  <si>
    <t>0343-8651</t>
  </si>
  <si>
    <t>1432-0991</t>
  </si>
  <si>
    <t>CURR MICROBIOL</t>
  </si>
  <si>
    <t>Curr. Microbiol.</t>
  </si>
  <si>
    <t>10.1007/s00284-021-02492-y</t>
  </si>
  <si>
    <t>SJ3VD</t>
  </si>
  <si>
    <t>WOS:000644835300002</t>
  </si>
  <si>
    <t>Clilverd, MA; Rodger, CJ; Freeman, MP; Brundell, JB; Mac Manus, DH; Dalzell, M; Clarke, E; Thomson, AWP; Richardson, GS; MacLeod, F; Frame, I</t>
  </si>
  <si>
    <t>Clilverd, Mark A.; Rodger, Craig J.; Freeman, Mervyn P.; Brundell, James B.; Mac Manus, Daniel H.; Dalzell, Michael; Clarke, Ellen; Thomson, Alan W. P.; Richardson, Gemma S.; MacLeod, Finlay; Frame, Ian</t>
  </si>
  <si>
    <t>Geomagnetically induced currents during the 07-08 September 2017 disturbed period: a global perspective</t>
  </si>
  <si>
    <t>Geomagnetically induced currents; magnetic field; geomagnetic storm; substorm; magnetic observatory</t>
  </si>
  <si>
    <t>Measurements from six longitudinally separated magnetic observatories, all located close to the 53 degrees mid-latitude contour, are analysed. We focus on the large geomagnetic disturbance that occurred during 7 and 8 September 2017. Combined with available geomagnetically induced current (GIC) data from two substations, each located near to a magnetic observatory, we investigate the magnetospheric drivers of the largest events. We analyse solar wind parameters combined with auroral electrojet indices to investigate the driving mechanisms. Six magnetic field disturbance events were observed at mid-latitudes with dH/dt &gt; 60 nT/min. Co-located GIC measurements identified transformer currents &gt;15 A during three of the events. The initial event was caused by a solar wind pressure pulse causing largest effects on the dayside, consistent with the rapid compression of the dayside geomagnetic field. Four of the events were caused by substorms. Variations in the Magnetic Local Time of the maximum effect of each substorm-driven event were apparent, with magnetic midnight, morning-side, and dusk-side events all occurring. The six events occurred over a period of almost 24 h, during which the solar wind remained elevated at &gt;700 km s(-1), indicating an extended time scale for potential GIC problems in electrical power networks following a sudden storm commencement. This work demonstrates the challenge of understanding the causes of ground-level magnetic field changes (and hence GIC magnitudes) for the global power industry. It also demonstrates the importance of magnetic local time and differing inner magnetospheric processes when considering the global hazard posed by GIC to power grids.</t>
  </si>
  <si>
    <t>[Clilverd, Mark A.; Freeman, Mervyn P.] British Antarctic Survey UKRI NERC, Madingley Rd, Cambridge CB3 0ET, England; [Rodger, Craig J.; Brundell, James B.; Mac Manus, Daniel H.] Univ Otago, Dept Phys, POB 56, Dunedin, New Zealand; [Dalzell, Michael] Transpower New Zealand Ltd, 96 Terrace,POB 1021, Wellington, New Zealand; [Clarke, Ellen; Thomson, Alan W. P.; Richardson, Gemma S.] British Geol Survey UKRI NERC, Lyell Ctr, Edinburgh EH14 4BA, Midlothian, Scotland; [MacLeod, Finlay; Frame, Ian] Scottish Power Energy Networks Holdings Ltd, 10 Technol Ave, Glasgow, Lanark, Scotland</t>
  </si>
  <si>
    <t>UK Research &amp; Innovation (UKRI); Natural Environment Research Council (NERC); NERC British Antarctic Survey; University of Otago</t>
  </si>
  <si>
    <t>Clilverd, MA (corresponding author), British Antarctic Survey UKRI NERC, Madingley Rd, Cambridge CB3 0ET, England.</t>
  </si>
  <si>
    <t>macl@bas.ac.uk</t>
  </si>
  <si>
    <t>Rodger, Craig/A-1501-2011; Brundell, James/F-3196-2013; Freeman, Mervyn/E-5687-2019</t>
  </si>
  <si>
    <t>Rodger, Craig J./0000-0002-6770-2707</t>
  </si>
  <si>
    <t>New Zealand Ministry of Business, Innovation &amp; Employment Hazards and Infrastructure Research Fund [UOOX1502]; Endeavour Fund Research Programme [UOOX2002]; Natural Environment Research Council as part of the SWIGS project (Space Weather Impact on Ground-based Systems), under Natural Environment Research Council [NE/P017231/1]; New Zealand Ministry of Business, Innovation &amp; Employment (MBIE) [UOOX1502] Funding Source: New Zealand Ministry of Business, Innovation &amp; Employment (MBIE)</t>
  </si>
  <si>
    <t>New Zealand Ministry of Business, Innovation &amp; Employment Hazards and Infrastructure Research Fund; Endeavour Fund Research Programme; Natural Environment Research Council as part of the SWIGS project (Space Weather Impact on Ground-based Systems), under Natural Environment Research Council; New Zealand Ministry of Business, Innovation &amp; Employment (MBIE)(New Zealand Ministry of Business, Innovation and Employment (MBIE))</t>
  </si>
  <si>
    <t>This research was supported by the New Zealand Ministry of Business, Innovation &amp; Employment Hazards and Infrastructure Research Fund Contract UOOX1502, and by the Endeavour Fund Research Programme contract UOOX2002. The authors would like to thank Transpower New Zealand for supporting this study. The New Zealand LEM DC data from which we determined GIC measurements were provided to us by Transpower New Zealand with caveats and restrictions. This includes requirements of permission before all publications and presentations. In addition, we are unable to directly provide the New Zealand LEM DC data or the derived GIC observations. Requests for access to the measurements need to be made to Transpower New Zealand. At this time the contact point is Michael Dalzell(Michael.Dalzell@transpower.co.nz).The Torness GIC measurements were provided to us by Scottish Power with caveats and restrictions. This includes requirements of permission before all publications and presentations. In addition, we are unable to directly provide the Torness GIC data, and requests for access to the measurements need to be made to Scottish Power. At this time the contact point is Finlay MacLeod(Finlay.MacLeod@spenergynetworks.co.uk).We are very grateful for the substantial data access both Transpower New Zealand and Scottish Power have provided, noting this can be a challenge in the Space Weather field (Hapgood &amp; Knipp, 2016). Swampy Summit data are available at http://auroraalert.otago.ac.nz/quicklooks/magnetometer/.DSCOVR data can be found at https://www.ngdc.noaa.gov/dscovr/portal/index.html#/.The results presented in this paper rely on data collected at magnetic observatories. We thank the national institutes that support them and INTERMAGNET for promoting high standards of magnetic observatory practice (www.intermagnet.org).SuperMAG substorm data can be found at http://supermag.jhuapl.edu/substorms/?tab=about.We gratefully acknowledge the SuperMAG collaborators (http://supermag.jhuapl.edu/info/? page=acknowledgement). MAC, MPF, AWPT, EC and GSR would like to thank the Natural Environment Research Council in providing support for this work as part of the SWIGS project (Space Weather Impact on Ground-based Systems), under Natural Environment Research Council grant number NE/P017231/1. The authors would like to thank two unknown reviewers for their constructive and helpful advice regarding this paper. The editor thanks Ari Viljanen and Babatunde Olufemi Adebesin for their assistance in evaluating this paper.</t>
  </si>
  <si>
    <t>10.1051/swsc/2021014</t>
  </si>
  <si>
    <t>RT7IB</t>
  </si>
  <si>
    <t>Green Published, Green Accepted, gold</t>
  </si>
  <si>
    <t>WOS:000644629700001</t>
  </si>
  <si>
    <t>Firth, PG; Benavidez, OJ; Fiechtner, L</t>
  </si>
  <si>
    <t>Firth, P. G.; Benavidez, O. J.; Fiechtner, L.</t>
  </si>
  <si>
    <t>The signs and symptoms of Ernest Shackleton</t>
  </si>
  <si>
    <t>JOURNAL OF MEDICAL BIOGRAPHY</t>
  </si>
  <si>
    <t>Scurvy; beriberi; thiamine; Shackleton; Antarctica; Scott; expedition; cardiac; nutrition; polar</t>
  </si>
  <si>
    <t>NUTRITIONAL SCIENCE; SHORT HISTORY</t>
  </si>
  <si>
    <t>Ernest Shackleton, an accomplished Antarctic explorer, developed a life-threatening illness during the Discovery Antarctic expedition of 1901-4. His documented signs and symptoms included inflamed gums attributed to scurvy, severe dyspnea, and exercise intolerance, presenting in a setting of nutritional deficiency. Physical examinations at a later date, also following a prolonged diet of limited fresh food, revealed a pulmonary systolic murmur. Thiamine deficiency with cardiomyopathy, either alone or subsequently exacerbated by advanced scurvy, may have been a prominent cause of Shackleton's condition.</t>
  </si>
  <si>
    <t>[Firth, P. G.; Benavidez, O. J.; Fiechtner, L.] Massachusetts Gen Hosp, Dept Anesthesia Crit Care &amp; Pain Med, 55 Fruit St, Boston, MA 02144 USA</t>
  </si>
  <si>
    <t>Harvard University; Massachusetts General Hospital</t>
  </si>
  <si>
    <t>Firth, PG (corresponding author), Massachusetts Gen Hosp, Dept Anesthesia Crit Care &amp; Pain Med, 55 Fruit St, Boston, MA 02144 USA.</t>
  </si>
  <si>
    <t>pfirth@mgh.harvard.edu</t>
  </si>
  <si>
    <t>Firth, Paul/0000-0003-1909-5225</t>
  </si>
  <si>
    <t>SAGE PUBLICATIONS INC</t>
  </si>
  <si>
    <t>THOUSAND OAKS</t>
  </si>
  <si>
    <t>2455 TELLER RD, THOUSAND OAKS, CA 91320 USA</t>
  </si>
  <si>
    <t>0967-7720</t>
  </si>
  <si>
    <t>1758-1087</t>
  </si>
  <si>
    <t>J MED BIOGR</t>
  </si>
  <si>
    <t>J. Med. Biogr.</t>
  </si>
  <si>
    <t>10.1177/09677720211002205</t>
  </si>
  <si>
    <t>History &amp; Philosophy Of Science</t>
  </si>
  <si>
    <t>Arts &amp; Humanities Citation Index (A&amp;HCI)</t>
  </si>
  <si>
    <t>History &amp; Philosophy of Science</t>
  </si>
  <si>
    <t>9C8KI</t>
  </si>
  <si>
    <t>WOS:000644034100001</t>
  </si>
  <si>
    <t>Chilvers, BL</t>
  </si>
  <si>
    <t>Chilvers, B. Louise</t>
  </si>
  <si>
    <t>Identifying female foraging ecotype and fisheries impacts through pup whisker stable isotopes</t>
  </si>
  <si>
    <t>AQUATIC CONSERVATION-MARINE AND FRESHWATER ECOSYSTEMS</t>
  </si>
  <si>
    <t>benthic; blood; fisheries interactions; mesopelagic; New Zealand sea lion; Otariid; Phocarctos hookeri; population structure</t>
  </si>
  <si>
    <t>ZEALAND SEA LIONS; TROPHIC LEVEL HIGHER; ANTARCTIC FUR SEALS; PHOCARCTOS-HOOKERI; ELEPHANT SEALS; GEOGRAPHICAL VARIATION; POPULATION DECLINE; SITE FIDELITY; BLOOD-SERUM; STRATEGIES</t>
  </si>
  <si>
    <t>Individual specialization in the foraging behaviour of marine predators can affect the ecology, evolution, and ability of a population to respond to environmental variability and human impacts. Here, blood serum and whisker stable isotope values from New Zealand (NZ) sea lion pups (Phocarctos hookeri) are compared with their mother's values to identify whether they can be used as proxies to identify their mother's isotopic niche and foraging strategy. Female NZ sea lions have been identified, both through telemetry and stable isotope research of blood serum and whiskers, to have two distinct foraging ecotypes (mesopelagic or benthic), consistent across their adult life. Females who are mesopelagic foragers have higher overlap and a greater risk of harmful interactions with fisheries. Stable isotope analysis of adult females can be used to determine the proportion of the female population exposed to these detrimental interactions. However, the capture, restraint, and removal of a whisker or blood from an adult female NZ sea lion is an expensive, time-consuming, and invasive undertaking. Instead, by comparing the blood serum and whisker delta C-13 and delta N-15 values of 12 NZ sea lion mother-and-pup pairs, for whom the foraging behaviour of the female is known, the question as to whether a pup's blood serum or whisker isotope value can be used as a proxy to identify female foraging ecotype was investigated. The delta C-13 and delta N-15 values for the blood serum and whiskers of pups and their mothers were correlated and differed significantly between foraging ecotypes. This research validates that pup blood serum and whisker stable isotope values from 1-month-old pups can be used as indicators of female isotopic niche and therefore foraging ecotype. This tool can be used across all NZ sea lion colonies to indicate female NZ sea lion foraging ecotypes. For the Auckland Islands, it could determine the proportion of breeding females exposed to negative interactions with fisheries, leading to a better understanding of the level of these effects and helping to implement appropriate management to mitigate impacts.</t>
  </si>
  <si>
    <t>[Chilvers, B. Louise] Massey Univ, Sch Vet Sci, Wildbase, Palmerston North, New Zealand</t>
  </si>
  <si>
    <t>Massey University</t>
  </si>
  <si>
    <t>Chilvers, BL (corresponding author), Massey Univ, Sch Vet Sci, Wildbase, Palmerston North, New Zealand.</t>
  </si>
  <si>
    <t>b.l.chilvers@massey.ac.nz</t>
  </si>
  <si>
    <t>Chilvers, B. Louise/AAV-1965-2021</t>
  </si>
  <si>
    <t>Chilvers, B. Louise/0000-0002-7657-4217</t>
  </si>
  <si>
    <t>New Zealand Department of Conservation</t>
  </si>
  <si>
    <t>1052-7613</t>
  </si>
  <si>
    <t>1099-0755</t>
  </si>
  <si>
    <t>AQUAT CONSERV</t>
  </si>
  <si>
    <t>Aquat. Conserv.-Mar. Freshw. Ecosyst.</t>
  </si>
  <si>
    <t>AUG</t>
  </si>
  <si>
    <t>10.1002/aqc.3589</t>
  </si>
  <si>
    <t>Environmental Sciences; Marine &amp; Freshwater Biology; Water Resources</t>
  </si>
  <si>
    <t>Environmental Sciences &amp; Ecology; Marine &amp; Freshwater Biology; Water Resources</t>
  </si>
  <si>
    <t>UB8WS</t>
  </si>
  <si>
    <t>WOS:000643154700001</t>
  </si>
  <si>
    <t>Latour, P; Wuttig, K; van der Merwe, P; Strzepek, RF; Gault-Ringold, M; Townsend, AT; Holmes, TM; Corkill, M; Bowie, AR</t>
  </si>
  <si>
    <t>Latour, Pauline; Wuttig, Kathrin; van Der Merwe, Pier; Strzepek, Robert F.; Gault-Ringold, Melanie; Townsend, Ashley T.; Holmes, Thomas M.; Corkill, Matthew; Bowie, Andrew R.</t>
  </si>
  <si>
    <t>Manganese biogeochemistry in the Southern Ocean, from Tasmania to Antarctica</t>
  </si>
  <si>
    <t>LIMNOLOGY AND OCEANOGRAPHY</t>
  </si>
  <si>
    <t>TRACE-METALS; ROSS SEA; DISSOLVED MANGANESE; IRON; PHYTOPLANKTON; WATERS; SECTOR; LIMITATION; PARTICLES; DISPERSAL</t>
  </si>
  <si>
    <t>Manganese (Mn) is an abundant element in the Earth's crust. However, its concentrations in open ocean seawater are low, where external inputs are scarce. In this study, we report the dissolved Mn and particulate Mn distributions in the Southern Ocean, measured along the GEOTRACES-SR3 transect, from Tasmania (Australia) to Antarctica in the Southern Ocean, during the austral summer 2018. Both dissolved Mn and particulate Mn concentrations were generally low away from localized sources (&lt; 0.3 nmol L-1 and &lt; 0.1 nmol L-1, respectively) along the transect. Our observations of a lower labile particulate fraction than previously measured suggest the Southern Ocean has a unique particulate Mn composition. Low surface dissolved Mn concentrations were attributed to biological uptake and few external sources. Our results suggest biological control of the Mn cycle was higher above the Antarctic continental slope, compared to the rest of the section, and our particulate Mn : P ratios indicated the presence of iron-stressed diatoms south of the Sub-Antarctic Front. We suggest low dissolved Mn surface concentrations may (co-)limit phytoplankton growth in this region. Localized higher dissolved Mn concentrations were observed due to external sources, such as sedimentary and hydrothermal inputs. The presence of an eddy at the same latitude as a hydrothermal plume induced an upwelling of hydrothermally enriched waters up to 1000 m; however, no dissolved Mn inputs to the surface waters were observed. We suggest previous dissolved Mn inputs to the surface layer may be obscured by biological uptake.</t>
  </si>
  <si>
    <t>[Latour, Pauline; van Der Merwe, Pier; Corkill, Matthew; Bowie, Andrew R.] Univ Tasmania, Inst Marine &amp; Antarctic Studies, Hobart, Tas, Australia; [Latour, Pauline; Wuttig, Kathrin; van Der Merwe, Pier; Strzepek, Robert F.; Gault-Ringold, Melanie; Holmes, Thomas M.; Bowie, Andrew R.] Univ Tasmania, Antarctic Climate &amp; Ecosyst Cooperat Res Ctr ACE, Hobart, Tas, Australia; [Strzepek, Robert F.] Univ Tasmania, Antarctic Gateway Partnership AGP, Hobart, Tas, Australia; [Strzepek, Robert F.; Bowie, Andrew R.] Univ Tasmania, Australian Antarctic Program Partnership AAPP, Hobart, Tas, Australia; [Townsend, Ashley T.] Univ Tasmania, Cent Sci Lab CSL, Hobart, Tas, Australia; [Wuttig, Kathrin] Fed Maritime &amp; Hydrog Agcy BSH, Hamburg, Germany; [Holmes, Thomas M.] Univ Washington, Sch Oceanog, Seattle, WA 98195 USA</t>
  </si>
  <si>
    <t>University of Tasmania; Antarctic Climate &amp; Ecosystems Cooperative Research Centre (ACE CRC); University of Tasmania; University of Tasmania; University of Tasmania; University of Tasmania; University of Washington; University of Washington Seattle</t>
  </si>
  <si>
    <t>Latour, P (corresponding author), Univ Tasmania, Inst Marine &amp; Antarctic Studies, Hobart, Tas, Australia.;Latour, P (corresponding author), Univ Tasmania, Antarctic Climate &amp; Ecosyst Cooperat Res Ctr ACE, Hobart, Tas, Australia.</t>
  </si>
  <si>
    <t>pauline.latour@utas.edu.au</t>
  </si>
  <si>
    <t>Strzepek, Robert Francis/GQH-8703-2022; Townsend, Ashley/J-7445-2014; Wuttig, Kathrin/F-5793-2015; van der Merwe, Pier/C-9210-2015; Holmes, Thomas/J-4950-2015; Bowie, Andrew/C-8677-2013</t>
  </si>
  <si>
    <t>Strzepek, Robert Francis/0000-0002-6442-7121; Townsend, Ashley/0000-0002-2972-2678; Wuttig, Kathrin/0000-0003-4010-5918; Corkill, Matthew/0000-0002-5847-3738; van der Merwe, Pier/0000-0002-7428-8030; Holmes, Thomas/0000-0001-8061-4325; Bowie, Andrew/0000-0002-5144-7799</t>
  </si>
  <si>
    <t>Australian Research Council [FT130100037, LE0989539]; Antarctic Climate &amp; Ecosystems Cooperative Research Centre (ACE CRC); Australian Marine National Facility; Australian Research Council [FT130100037, LE0989539] Funding Source: Australian Research Council</t>
  </si>
  <si>
    <t>Australian Research Council(Australian Research Council); Antarctic Climate &amp; Ecosystems Cooperative Research Centre (ACE CRC)(Australian GovernmentDepartment of Industry, Innovation and ScienceCooperative Research Centres (CRC) Programme); Australian Marine National Facility; Australian Research Council(Australian Research Council)</t>
  </si>
  <si>
    <t>We would like to acknowledge the officers and crew of the RV Investigator (Australian Marine National Facility) for the deployment of all the instruments during the SR3 voyage (IN2018-V01), and the hydrochemistry team who performed the macronutrients and oxygen analyses onboard. We thank Christine Weldrick and Morgane Perron for their help during the trace metal sampling processing along the voyage. The authors also would like to acknowledge Paula Conde Pardo, Steve R. Rintoul, and Laura Herraiz Borreguero for their help on the interpretation of the oceanographic data. P. L. would like to personally thank Floriaan Devloo-Delva for advice on the statistical analyses and his feedbacks on the manuscript, and Cristina Genovese for her help and support. Finally, we would like to thank the two anonymous reviewers for their thorough comments which greatly improved this manuscript. This work was funded through receipt of Australian Research Council grants FT130100037 (to ARB), LE0989539 (to ATT and ARB for analysis) and by the Antarctic Climate &amp; Ecosystems Cooperative Research Centre (ACE CRC) and by the Australian Marine National Facility.</t>
  </si>
  <si>
    <t>0024-3590</t>
  </si>
  <si>
    <t>1939-5590</t>
  </si>
  <si>
    <t>LIMNOL OCEANOGR</t>
  </si>
  <si>
    <t>Limnol. Oceanogr.</t>
  </si>
  <si>
    <t>10.1002/lno.11772</t>
  </si>
  <si>
    <t>Limnology; Oceanography</t>
  </si>
  <si>
    <t>Marine &amp; Freshwater Biology; Oceanography</t>
  </si>
  <si>
    <t>SS2IZ</t>
  </si>
  <si>
    <t>WOS:000643153100001</t>
  </si>
  <si>
    <t>Qian, YY; Luo, YH; Si, FQ; Yang, TP; Yang, DS</t>
  </si>
  <si>
    <t>Qian, Yuanyuan; Luo, Yuhan; Si, Fuqi; Yang, Taiping; Yang, Dongshang</t>
  </si>
  <si>
    <t>Three-Year Observations of Ozone Columns over Polar Vortex Edge Area above West Antarctica</t>
  </si>
  <si>
    <t>ADVANCES IN ATMOSPHERIC SCIENCES</t>
  </si>
  <si>
    <t>ozone VCDs; ZSL-DOAS; Antarctic ozone depletion; polar vortex</t>
  </si>
  <si>
    <t>Ozone vertical column densities (VCDs) were retrieved by Zenith Scattered Light-Differential Optical Absorption Spectroscopy (ZSL-DOAS) from January 2017 to February 2020 over Fildes Peninsula, West Antarctica (62.22 degrees S, 58.96 degrees W). Each year, ozone VCDs started to decline around July with a comparable gradient around 1.4 Dobson Units (DU) per day, then dropped to their lowest levels in September and October, when ozone holes appeared (less than 220 DU). Daily mean values of retrieved ozone VCDs were compared with Ozone Monitoring Instrument (OMI) and Global Ozone Monitoring Experiment 2 (GOME-2) satellite observations and the Modern-Era Retrospective analysis for Research and Applications Version 2 (MERRA-2) reanalysis dataset, with correlation coefficients (R-2) of 0.86, 0.94, and 0.90, respectively. To better understand the causes of ozone depletion, the retrieved ozone VCDs, temperature, and potential vorticity (PV) at certain altitudes were analyzed. The profiles of ozone and PV were positively correlated during their fluctuations, which indicates that the polar vortex has a strong influence on stratospheric ozone depletion during Antarctic spring. Located at the edge of polar vortex, the observed data will provide a basis for further analysis and prediction of the inter-annual variations of stratospheric ozone in the future.</t>
  </si>
  <si>
    <t>[Qian, Yuanyuan; Luo, Yuhan; Si, Fuqi; Yang, Taiping; Yang, Dongshang] Chinese Acad Sci, Anhui Inst Opt &amp; Fine Mech, Hefei Inst Phys Sci, Key Lab Environm Opt &amp; Technol, Hefei 230031, Anhui, Peoples R China; [Qian, Yuanyuan] Univ Sci &amp; Technol China, Hefei 230026, Peoples R China</t>
  </si>
  <si>
    <t>Chinese Academy of Sciences; Hefei Institutes of Physical Science, CAS; Anhui Institute of Optics &amp; Fine Mechanics (AIOFM), CAS; Chinese Academy of Sciences; University of Science &amp; Technology of China, CAS</t>
  </si>
  <si>
    <t>Luo, YH (corresponding author), Chinese Acad Sci, Anhui Inst Opt &amp; Fine Mech, Hefei Inst Phys Sci, Key Lab Environm Opt &amp; Technol, Hefei 230031, Anhui, Peoples R China.</t>
  </si>
  <si>
    <t>yhluo@aiofm.ac.cn</t>
  </si>
  <si>
    <t>钱, 园园/IUM-5648-2023</t>
  </si>
  <si>
    <t>钱, 园园/0000-0001-5870-9467</t>
  </si>
  <si>
    <t>National Natural Science Foundation of China [41676184, 41941011]</t>
  </si>
  <si>
    <t>This research was financially supported by the National Natural Science Foundation of China (Grant Nos. 41676184 and 41941011). The authors gratefully acknowledge ECMWF (https://www.ecmwf.int/) for providing ERAInterim reanalysis data and GES-DISC (https://disc.gsfc.nasa.gov/) for providing MERRA-2 data. The authors thank the staff of Great Wall Station for their kind help. The authors acknowledge three anonymous referees for their help on the improvement of the manuscript.</t>
  </si>
  <si>
    <t>SCIENCE PRESS</t>
  </si>
  <si>
    <t>BEIJING</t>
  </si>
  <si>
    <t>16 DONGHUANGCHENGGEN NORTH ST, BEIJING 100717, PEOPLES R CHINA</t>
  </si>
  <si>
    <t>0256-1530</t>
  </si>
  <si>
    <t>1861-9533</t>
  </si>
  <si>
    <t>ADV ATMOS SCI</t>
  </si>
  <si>
    <t>Adv. Atmos. Sci.</t>
  </si>
  <si>
    <t>10.1007/s00376-021-0243-7</t>
  </si>
  <si>
    <t>SQ0EN</t>
  </si>
  <si>
    <t>WOS:000643179200001</t>
  </si>
  <si>
    <t>Pertierra, LR; Escribano-Alvarez, P; Olalla-Tárraga, MA</t>
  </si>
  <si>
    <t>Pertierra, L. R.; Escribano-Alvarez, P.; Olalla-Tarraga, M. A.</t>
  </si>
  <si>
    <t>Cold tolerance is similar but heat tolerance is higher in the alien insect Trichocera maculipennis than in the native Parochlus steinenii in Antarctica</t>
  </si>
  <si>
    <t>POLAR BIOLOGY</t>
  </si>
  <si>
    <t>Biological invasions; Diptera; Ecophysiology; Biosecurity management; Critical thermal limits</t>
  </si>
  <si>
    <t>Uncontrolled biological invasions have direct and indirect impacts on the structure and functioning of soil invertebrate communities in Antarctica. Among others, invasion success is strongly determined by the ability of species to tolerate broad thermal ranges. Yet, few studies have compared the thermal niches of native and invasive species. Physiological characterizations of upper and lower thermal tolerances are essential to test the extent to which eurythermality can benefit invasive species in a context of changing climates. Here, we compare cold and heat tolerance between adults of the alien winter crane fly Trichocera maculipennis and the native winged midge Parochlus steinenii in Antarctica. Specimens were collected in the field during the 2019/2020 austral summer, and ramping experiments controlling heating and cooling rates were performed to estimate upper and lower critical thermal limits of the two Diptera insect species. Adults of the alien fly remained active between - 5.3 degrees C and 30.1 degrees C. In turn, the native midge was active between - 5.0 degrees C and 28.6 degrees C. We observed no significant interspecific differences between lower critical thermal limits, but upper thermal limits were significantly higher for the alien species. Hence, the capacity to endure low summer temperatures in most of the Antarctic Peninsula is similar for adults of both species, but the alien crane fly is readily adapted to withstand warming scenarios. Therefore, the broad thermal tolerances exhibited by the alien crane fly can be taken as evidence to predict geographic range expansions, while also warn of high biosecurity risks for all operating research stations in Antarctica.</t>
  </si>
  <si>
    <t>[Pertierra, L. R.; Escribano-Alvarez, P.; Olalla-Tarraga, M. A.] Univ Rey Juan Carlos, Dept Biol Geol Fis &amp; Quim Inorgan, Mostoles 28933, Spain</t>
  </si>
  <si>
    <t>Universidad Rey Juan Carlos</t>
  </si>
  <si>
    <t>Pertierra, LR (corresponding author), Univ Rey Juan Carlos, Dept Biol Geol Fis &amp; Quim Inorgan, Mostoles 28933, Spain.</t>
  </si>
  <si>
    <t>luis.pertierra@gmail.com</t>
  </si>
  <si>
    <t>Pertierra, Luis R./K-3727-2017; Olalla-Tárraga, Miguel Ángel/ABE-7880-2020</t>
  </si>
  <si>
    <t>Pertierra, Luis R./0000-0002-2232-428X; Olalla-Tárraga, Miguel Ángel/0000-0001-5346-4528; Escribano-Alvarez, Pablo/0000-0002-6095-5816</t>
  </si>
  <si>
    <t>ANTECO research Grant - Spanish Ministry of Science and Innovation [CGL2017-89820-P]</t>
  </si>
  <si>
    <t>ANTECO research Grant - Spanish Ministry of Science and Innovation</t>
  </si>
  <si>
    <t>This research was supported by ANTECO research Grant (CGL2017-89820-P to M.A.O.T.) funded by the Spanish Ministry of Science and Innovation. Field collections were authorized by the Spanish Polar Committee. Jesamine Bartlett, Scott Hayward, Pete Convey, and Steven Chown provided helpful advice regarding lab experimentation. We thank Ana Laura Machado and Alvaro Soutullo for their collaboration and support in the field expedition as well as the Uruguayan station crew 2020 for their hospitality and to the Spanish Antarctic Program for their logistic support. Thanks to Gonzalo Arraigada for the graphic material on P. steinenii. Dr. Shin G. Goto and one anonymous reviewer provided a very much valuable and constructive feedback.</t>
  </si>
  <si>
    <t>0722-4060</t>
  </si>
  <si>
    <t>1432-2056</t>
  </si>
  <si>
    <t>POLAR BIOL</t>
  </si>
  <si>
    <t>Polar Biol.</t>
  </si>
  <si>
    <t>10.1007/s00300-021-02865-w</t>
  </si>
  <si>
    <t>Biodiversity Conservation; Ecology</t>
  </si>
  <si>
    <t>Biodiversity &amp; Conservation; Environmental Sciences &amp; Ecology</t>
  </si>
  <si>
    <t>SJ6NH</t>
  </si>
  <si>
    <t>WOS:000643170500001</t>
  </si>
  <si>
    <t>Lavergne, C; Aguilar-Muñoz, P; Calle, N; Thalasso, F; Astorga-España, MS; Sepulveda-Jauregui, A; Martinez-Cruz, K; Gandois, L; Mansilla, A; Chamy, R; Barret, M; Cabrol, L</t>
  </si>
  <si>
    <t>Lavergne, Celine; Aguilar-Munoz, Polette; Calle, Natalia; Thalasso, Frederic; Astorga-Espana, Maria Soledad; Sepulveda-Jauregui, Armando; Martinez-Cruz, Karla; Gandois, Laure; Mansilla, Andres; Chamy, Rolando; Barret, Maialen; Cabrol, Lea</t>
  </si>
  <si>
    <t>Temperature differently affected methanogenic pathways and microbial communities in sub-Antarctic freshwater ecosystems</t>
  </si>
  <si>
    <t>ENVIRONMENT INTERNATIONAL</t>
  </si>
  <si>
    <t>16S rRNA amplicons; Archaea; Bacteria; Limnology; Methane; Global warming</t>
  </si>
  <si>
    <t>GRADIENT GEL-ELECTROPHORESIS; 16S RIBOSOMAL-RNA; METHANE PRODUCTION; ARCHAEAL COMMUNITY; QUANTITATIVE PCR; DISSOLVED METHANE; CARBON-DIOXIDE; LAKE SEDIMENT; SP. NOV.; OXIDATION</t>
  </si>
  <si>
    <t>Freshwater ecosystems are responsible for an important part of the methane (CH4) emissions which are likely to change with global warming. This study aims to evaluate temperature-induced (from 5 to 20 degrees C) changes on microbial community structure and methanogenic pathways in five sub-Antarctic lake sediments from Magallanes strait to Cape Horn, Chile. We combined in situ CH4 flux measurements, CH4 production rates (MPRs), gene abundance quantification and microbial community structure analysis (metabarcoding of the 16S rRNA gene). Under unamended conditions, a temperature increase of 5 degrees C doubled MPR while microbial community structure was not affected. Stimulation of methanogenesis by methanogenic precursors as acetate and H-2/CO2 , resulted in an increase of MPRs up to 127-fold and 19-fold, respectively, as well as an enrichment of mcrAcarriers strikingly stronger under acetate amendment. At low temperatures, H-2/CO2-derived MPRs were considerably lower (down to 160-fold lower) than the acetate-derived MPRs, but the contribution of hydrogenotrophic methanogenesis increased with temperature. Temperature dependence of MPRs was significantly higher in incubations spiked with H-2/CO2, (c. 1.9 eV) compared to incubations spiked with acetate or unamended (c. 0.8 eV). Temperature was not found to shape the total microbial community structure, that rather exhibited a site-specific variability among the studied lakes. However, the methanogenic archaeal community structure was driven by amended methanogenic precursors with a dominance of Methanobacterium in H-2/CO2-based incubations and Methanosarcina in acetate-based incubations. We also suggested the importance of acetogenic H-2-production outcompeting hydrogenotrohic methanogenesis especially at low temperatures, further supported by homoacetogen proportion in the microcosm communities. The combination of in situ-, and laboratory-based measurements and molecular approaches indicates that the hydrogenotrophic pathway may become more important with increasing temperatures than the acetoclastic pathway. In a continuously warming environment driven by climate change, such issues are crucial and may receive more attention.</t>
  </si>
  <si>
    <t>[Lavergne, Celine] Univ Playa Ancha, Ctr Estudios Avanzados, Lab Aquat Environm Res, HUB AMBIENTAL UPLA, Valparaiso, Chile; [Lavergne, Celine; Aguilar-Munoz, Polette; Chamy, Rolando; Cabrol, Lea] Pontificia Univ Catolica Valparaiso, Escuela Ingn Bioquim, Ave Brasil 2085, Valparaiso 2340950, Chile; [Calle, Natalia] Univ Tecn Federico Santa Maria, Dept Quim, Valparaiso, Chile; [Thalasso, Frederic] Ctr Invest &amp; Estudios Avanzados, Dept Biotecnol &amp; Bioingn, Inst Politecn Nacl Cinvestav IPN, Mexico City, DF, Mexico; [Astorga-Espana, Maria Soledad; Martinez-Cruz, Karla; Mansilla, Andres] Univ Magallanes, Dept Ciencias &amp; Recursos Nat, Punta Arenas, Chile; [Astorga-Espana, Maria Soledad; Sepulveda-Jauregui, Armando; Martinez-Cruz, Karla] Univ Magallanes, ENBEELAB, Punta Arenas, Chile; [Sepulveda-Jauregui, Armando] Ctr Climate &amp; Resilience Res CR2, Santiago, Chile; [Gandois, Laure; Barret, Maialen] Univ Toulouse, CNRS, Lab Ecol Fonct &amp; Environm, Toulouse, France; [Cabrol, Lea] Univ Toulon &amp; Var, Aix Marseille Univ, CNRS, Mediterranean Inst Oceanog,IRD,MIO,UM 110, Marseille, France; [Cabrol, Lea] Univ Chile, Inst Ecol &amp; Biodivers IEB, Fac Sci, Santiago, Chile</t>
  </si>
  <si>
    <t>Universidad de Playa Ancha; Pontificia Universidad Catolica de Valparaiso; Universidad Tecnica Federico Santa Maria; CINVESTAV - Centro de Investigacion y de Estudios Avanzados del Instituto Politecnico Nacional; Universidad de Magallanes; Universidad de Magallanes; Universite de Toulouse; Universite Federale Toulouse Midi-Pyrenees (ComUE); Universite Toulouse III - Paul Sabatier; Institut National Polytechnique de Toulouse; Centre National de la Recherche Scientifique (CNRS); Centre National de la Recherche Scientifique (CNRS); Institut de Recherche pour le Developpement (IRD); Universite de Toulon; Aix-Marseille Universite; Universidad de Chile</t>
  </si>
  <si>
    <t>Lavergne, C (corresponding author), Univ Playa Ancha, Ctr Estudios Avanzados, Lab Aquat Environm Res, HUB AMBIENTAL UPLA, Valparaiso, Chile.;Cabrol, L (corresponding author), Univ Toulon &amp; Var, Aix Marseille Univ, CNRS, Mediterranean Inst Oceanog,IRD,MIO,UM 110, Marseille, France.</t>
  </si>
  <si>
    <t>celine.lavergne@upla.cl; lea.cabrol@mio.osupytheas.fr</t>
  </si>
  <si>
    <t>Martinez-Cruz, Karla/AAC-4902-2021; Chamy, Rolando/M-3124-2014; Thalasso, Frederic/E-1403-2011; Sepulveda-Jauregui, Armando/J-5049-2019; Cabrol, Lea/L-2438-2016; Lavergne, Celine/B-4208-2015</t>
  </si>
  <si>
    <t>Martinez-Cruz, Karla/0000-0001-9365-0616; Thalasso, Frederic/0000-0003-2246-2372; Sepulveda-Jauregui, Armando/0000-0001-7777-4520; Cabrol, Lea/0000-0003-0417-2021; Mansilla, Andres/0000-0003-3505-7018; Aguilar-Munoz, Polette/0000-0002-2590-2778; Astorga Espana, Maria Soledad/0000-0003-0647-7515; Lavergne, Celine/0000-0002-2002-8655; Chamy, Rolando/0000-0001-8718-9173</t>
  </si>
  <si>
    <t>French ministries MAEDI (Ministere des Affaires Etrangeres et du Developpement International); MENESR (Ministere de lEducation nationale, de l'Enseignement superieur et de la Recherche); Chilean CONICYT (Comision Nacional de Investigacion Cientifica y Tecnologica) [ELAC2014_DCC-0092]</t>
  </si>
  <si>
    <t>French ministries MAEDI (Ministere des Affaires Etrangeres et du Developpement International); MENESR (Ministere de lEducation nationale, de l'Enseignement superieur et de la Recherche); Chilean CONICYT (Comision Nacional de Investigacion Cientifica y Tecnologica)</t>
  </si>
  <si>
    <t>We acknowledge the French ministries MAEDI (Minist`ere des Affaires Etrangeres et du Developpement International) and MENESR (Ministere de lEducation nationale, de l'Enseignement superieur et de la Recherche) as well as Chilean CONICYT (Comision Nacional de Investigacion Cientifica y Tecnologica) for financial support through the ERANet-LAC joint program METHANOBASE (ELAC2014_DCC-0092). Authors are grateful to Tamara Contador's Laboratory for support in the field during the sampling expedition in Puerto Williams, Chile. We also thank the Genotoul platform (Toulouse, France) for the high throughput sequencing service, and the PAPC platform (EcoLab laboratory) for major elements analysis. The authors acknowledge the anonymous reviewers for their thoughtful comments and constructive suggestions.</t>
  </si>
  <si>
    <t>0160-4120</t>
  </si>
  <si>
    <t>1873-6750</t>
  </si>
  <si>
    <t>ENVIRON INT</t>
  </si>
  <si>
    <t>Environ. Int.</t>
  </si>
  <si>
    <t>SEP</t>
  </si>
  <si>
    <t>10.1016/j.envint.2021.106575</t>
  </si>
  <si>
    <t>TE5QU</t>
  </si>
  <si>
    <t>WOS:000670068400011</t>
  </si>
  <si>
    <t>Simpson, NP; Mach, KJ; Constable, A; Hess, J; Hogarth, R; Howden, M; Lawrence, J; Lempert, RJ; Muccione, V; Mackey, B; New, MG; O'Neill, B; Otto, F; Pörtner, HO; Reisinger, A; Roberts, D; Schmidt, DN; Seneviratne, S; Strongin, S; van Aalst, M; Totin, E; Trisos, CH</t>
  </si>
  <si>
    <t>Simpson, Nicholas P.; Mach, Katharine J.; Constable, Andrew; Hess, Jeremy; Hogarth, Ryan; Howden, Mark; Lawrence, Judy; Lempert, Robert J.; Muccione, Veruska; Mackey, Brendan; New, Mark G.; O'Neill, Brian; Otto, Friederike; Poertner, Hans-O; Reisinger, Andy; Roberts, Debra; Schmidt, Daniela N.; Seneviratne, Sonia; Strongin, Steven; van Aalst, Maarten; Totin, Edmond; Trisos, Christopher H.</t>
  </si>
  <si>
    <t>A framework for complex climate change risk assessment</t>
  </si>
  <si>
    <t>ONE EARTH</t>
  </si>
  <si>
    <t>CHANGE ADAPTATION; COMPOUND; RESILIENCE; GOVERNANCE; BENEFITS; FAILURE; NEEDS</t>
  </si>
  <si>
    <t>Real-world experience underscores the complexity of interactions among multiple drivers of climate change risk and of howmultiple risks compound or cascade. However, a holistic framework for assessing such complex climate change risks has not yet been achieved. Clarity is needed regarding the interactions that generate risk, including the role of adaptation and mitigation responses. In this perspective, we present a framework for three categories of increasingly complex climate change risk that focus on interactions among the multiple drivers of risk, as well as among multiple risks. A significant innovation is recognizing that risks can arise both from potential impacts due to climate change and from responses to climate change. This approach encourages thinking that traverses sectoral and regional boundaries and links physical and socio-economic drivers of risk. Advancing climate change risk assessment in these ways is essential for more informed decision making that reduces negative climate change impacts.</t>
  </si>
  <si>
    <t>[Simpson, Nicholas P.; New, Mark G.; Trisos, Christopher H.] Univ Cape Town, Africa Climate &amp; Dev Initiat, Cape Town, South Africa; [Mach, Katharine J.] Univ Miami, Rosenstiel Sch Marine &amp; Atmospher Sci, 4600 Rickenbacker Causeway, Miami, FL 33149 USA; [Mach, Katharine J.] Univ Miami, Leonard &amp; Jayne Abess Ctr Ecosyst Sci &amp; Policy, Miami, FL USA; [Constable, Andrew] Commonwealth Dept Agr Water &amp; Environm, Australian Antarctic Div, Channel Highway, Kingston, ACT, Australia; [Hess, Jeremy] Univ Washington, Dept Global Hlth, Seattle, WA 98195 USA; [Hogarth, Ryan] Ricardo Energy &amp; Environm, Oxford, England; [Howden, Mark; Reisinger, Andy] Australia Natl Univ, Climate Change Inst, Canberra, ACT, Australia; [Lawrence, Judy] Victoria Univ Wellington, Climate Change Res Inst, Wellington, New Zealand; [Lempert, Robert J.] RAND Corp, Frederick S Pardee Ctr Longer Range Global Policy, Santa Monica, CA USA; [Muccione, Veruska] Univ Zurich, Dept Geog, Zurich, Switzerland; [Mackey, Brendan] Griffith Univ, Griffith Climate Change Response Program, Gold Coast, Qld, Australia; [O'Neill, Brian] Univ Maryland, Joint Global Change Res Inst, College Pk, MD 20742 USA; [Otto, Friederike] Univ Oxford, Environm Change Inst, Oxford, England; [Poertner, Hans-O] Alfred Wegener Inst, Integrat Ecophysiol, Bremerhaven, Germany; [Roberts, Debra] Univ KwaZulu Natal, EThekwini Municipal, Sustainable &amp; Resilient City Initiat Unit, Durban, South Africa; [Roberts, Debra] Univ KwaZulu Natal, Sch Life Sci, Durban, South Africa; [Schmidt, Daniela N.] Univ Bristol, Sch Earth Sci, Bristol, Avon, England; [Seneviratne, Sonia] Swiss Fed Inst Technol, Dept Environm Syst Sci, Zurich, Switzerland; [Strongin, Steven] Goldman Sachs, New York, NY USA; [van Aalst, Maarten] Univ Twente, Fac Geoinformat Sci &amp; Earth Observat, Enschede, Netherlands; [van Aalst, Maarten] Red Cross Red Crescent Climate Ctr, The Hague, Netherlands; [van Aalst, Maarten] Columbia Univ, Int Res Inst Climate &amp; Soc, New York, NY USA; [Totin, Edmond] Univ Natl Agr Benin, Ecole Foresterie &amp; Ingn Bois, Ketou, Benin; [Trisos, Christopher H.] Univ Cape Town, Ctr Stat Ecol Environm &amp; Conservat, Cape Town, South Africa</t>
  </si>
  <si>
    <t>University of Cape Town; University of Miami; University of Miami; Australian Antarctic Division; University of Washington; University of Washington Seattle; Australian National University; Victoria University Wellington; RAND Corporation; University of Zurich; Griffith University; Griffith University - Gold Coast Campus; University System of Maryland; University of Maryland College Park; University of Oxford; Helmholtz Association; Alfred Wegener Institute, Helmholtz Centre for Polar &amp; Marine Research; University of Kwazulu Natal; University of Kwazulu Natal; University of Bristol; Swiss Federal Institutes of Technology Domain; ETH Zurich; University of Twente; Columbia University; University of Cape Town</t>
  </si>
  <si>
    <t>Simpson, NP; Trisos, CH (corresponding author), Univ Cape Town, Africa Climate &amp; Dev Initiat, Cape Town, South Africa.;Trisos, CH (corresponding author), Univ Cape Town, Ctr Stat Ecol Environm &amp; Conservat, Cape Town, South Africa.</t>
  </si>
  <si>
    <t>nick.simpson@uct.ac.za; christophertrisos@gmail.com</t>
  </si>
  <si>
    <t>Simpson, Nicholas Philip/AAC-4578-2022; Seneviratne, Sonia I./G-8761-2011; New, Mark/A-7684-2008; van Aalst, Maarten/X-2017-2018</t>
  </si>
  <si>
    <t>Simpson, Nicholas Philip/0000-0002-9041-982X; Seneviratne, Sonia I./0000-0001-9528-2917; van Aalst, Maarten/0000-0003-0319-5627; Lawrence, Judith/0000-0001-6798-3636; Muccione, Veruska/0000-0002-9773-3125; Totin, Edmond/0000-0003-3377-6190; Mackey, Brendan/0000-0003-1996-4064; Mach, Katharine/0000-0002-5591-8148; Schmidt, Daniela/0000-0001-8419-2721</t>
  </si>
  <si>
    <t>UK Government's Foreign, Commonwealth AMP; Development Office; International Development Research Centre, Ottawa, Canada [109419 -001]; FLAIR Fellowship Programme; African Academy of Sciences; Royal Society - UK Government's Global Challenges Research Fund</t>
  </si>
  <si>
    <t>UK Government's Foreign, Commonwealth AMP; Development Office; International Development Research Centre, Ottawa, Canada(International Development Research Centre - IDRC); FLAIR Fellowship Programme; African Academy of Sciences; Royal Society - UK Government's Global Challenges Research Fund(Royal Society)</t>
  </si>
  <si>
    <t>This work was carried out with financial support from the UK Government's Foreign, Commonwealth &amp; Development Office and the International Development Research Centre, Ottawa, Canada (grant no. 109419 -001). C.H.T. was supported by the FLAIR Fellowship Programme: a partnership between the African Academy of Sciences and the Royal Society funded by the UK Government's Global Challenges Research Fund. The authors are grateful to Keren Cooper for her assistance with the development of figures.</t>
  </si>
  <si>
    <t>CELL PRESS</t>
  </si>
  <si>
    <t>CAMBRIDGE</t>
  </si>
  <si>
    <t>50 HAMPSHIRE ST, FLOOR 5, CAMBRIDGE, MA 02139 USA</t>
  </si>
  <si>
    <t>2590-3330</t>
  </si>
  <si>
    <t>2590-3322</t>
  </si>
  <si>
    <t>One Earth</t>
  </si>
  <si>
    <t>APR 23</t>
  </si>
  <si>
    <t>10.1016/j.oneear.2021.03.005</t>
  </si>
  <si>
    <t>Green &amp; Sustainable Science &amp; Technology; Environmental Sciences; Environmental Studies</t>
  </si>
  <si>
    <t>Science &amp; Technology - Other Topics; Environmental Sciences &amp; Ecology</t>
  </si>
  <si>
    <t>RW4FS</t>
  </si>
  <si>
    <t>Green Published, hybrid</t>
  </si>
  <si>
    <t>WOS:000646480700008</t>
  </si>
  <si>
    <t>Malatesta, C; Crispini, L; Ildefonse, B; Federico, L; Lisker, F; Läufer, A</t>
  </si>
  <si>
    <t>Malatesta, Cristina; Crispini, Laura; Ildefonse, Benoit; Federico, Laura; Lisker, Frank; Laeufer, Andreas</t>
  </si>
  <si>
    <t>Microstructures of epidote-prehnite bearing damaged granitoids (northern Victoria Land, Antarctica): clues for the interaction between faulting and hydrothermal fluids</t>
  </si>
  <si>
    <t>JOURNAL OF STRUCTURAL GEOLOGY</t>
  </si>
  <si>
    <t>Damage zones; Syntectonic hydrothermal alteration; Epidote-prehnite EBSD; Fault reactivation; Lanterman fault-Rennick Graben fault system; Antarctica</t>
  </si>
  <si>
    <t>CLASTIC RESERVOIR ROCKS; LANTERMAN RANGE; K-FELDSPAR; TRANSANTARCTIC MOUNTAINS; DIAGENETIC ALBITIZATION; MECHANICAL-PROPERTIES; TECTONIC EVOLUTION; GONDWANA-MARGIN; OFFSHORE NORWAY; ROSS OROGEN</t>
  </si>
  <si>
    <t>Exhumed faults in granitoids along the Lanterman Fault-Rennick Graben Fault system (northern Victoria Land, Antarctica) show superposed ductile to brittle deformation and pervasive hydrothermal fluid-rock interaction. These processes triggered multiple brittle slip events producing crosscutting epidote and prehnite-rich fault veins, ultracataclasites and pseudotachylytes of crushing origin. Combined microstructural and minerochemical investigations on fault damage zones show three types of alteration: (i) albitization of K-feldspar and Caplagioclase; (ii) crystallization of prehnite and calcite in veins; (iii) alteration of magmatic phases by secondary hydrous minerals (e.g. chlorite, white mica, epidote and prehnite). The fault experienced various episodes of strain weakening and hardening, due to alteration of minerals and precipitation of epidote and prehnite within ultracataclastic intervals, at decreasing temperature conditions (200 &lt; TC &lt; 450) and varying CO2 fugacity of the fluids. Cyclic crystallization of epidote/prehnite within the fault cores caused cementation and locking of faults, concentration of deformation at weaker horizons and a progressive broadening of the fault zone. Our results indicate that multiple co-seismic slip and syntectonic fluid flow very likely occurred prior to the Cenozoic brittle reactivation of inherited anisotropies in the northern Victoria Land crust along the Lanterman FaultRennick Graben Fault system and underlines its high potential for polyphasicity.</t>
  </si>
  <si>
    <t>[Malatesta, Cristina; Crispini, Laura; Federico, Laura] Univ Genoa, Dept Earth Sci Environm &amp; Life DISTAV, Cso Europa 26, I-16132 Genoa, Italy; [Ildefonse, Benoit] Univ Montpellier, Univ Antilles, CNRS, Geosci Montpellier, Montpellier, France; [Lisker, Frank] Univ Bremen, FB 5 Geowissensch, Klagenfurter Str 2, D-28359 Bremen, Germany; [Laeufer, Andreas] Fed Inst Geosci &amp; Nat Resources BGR, Stilleweg 2, D-30655 Hannover, Germany</t>
  </si>
  <si>
    <t>University of Genoa; Centre National de la Recherche Scientifique (CNRS); Universite de Montpellier; University of Bremen</t>
  </si>
  <si>
    <t>Crispini, L (corresponding author), Univ Genoa, Dept Earth Sci Environm &amp; Life DISTAV, Cso Europa 26, I-16132 Genoa, Italy.</t>
  </si>
  <si>
    <t>cri.malates82@gmail.com; laura.crispini@unige.it; benoit.ildefonse@umontpellier.fr; laura.federico@unige.it; flisker@uni-bremen.de; andreas.laeufer@bgr.de</t>
  </si>
  <si>
    <t>Crispini, Laura/N-1580-2019; ildefonse, benoit/A-6205-2009</t>
  </si>
  <si>
    <t>Crispini, Laura/0000-0001-5770-8569; ildefonse, benoit/0000-0001-7635-9288; Malatesta, Cristina/0000-0002-4765-7873</t>
  </si>
  <si>
    <t>Italian National Antarctic Research Programme PNRA [PNRA2013/AZ2.02, PNRA2016_00040REGGAE]; GANOVEX research program of the Federal Institute for Geosciences and Natural Resources, BGR, Hannover, Germany; University of Genoa; PNRA [PNRA2016_00040REGGAE]; Deutsche Forschungsgemeinschaft (DFG) [SPP 1158, LI 745/26, LA1080/19]</t>
  </si>
  <si>
    <t>Italian National Antarctic Research Programme PNRA; GANOVEX research program of the Federal Institute for Geosciences and Natural Resources, BGR, Hannover, Germany; University of Genoa; PNRA; Deutsche Forschungsgemeinschaft (DFG)(German Research Foundation (DFG))</t>
  </si>
  <si>
    <t>The Authors acknowledge the logistical and financial support provided by the Italian National Antarctic Research Programme PNRA (PNRA2013/AZ2.02 and PNRA2016_00040REGGAE projects) and the GANOVEX research program of the Federal Institute for Geosciences and Natural Resources, BGR, Hannover, Germany. Fieldwork in Antarctica was excellently supported by pilots of the Helicopter NZ Ltd and HSI Heli Support International Ltd. C.M. benefitted of a grant cofunded by the University of Genoa and the PNRA (PNRA2016_00040REGGAE) . F. L. and A.L. acknowledge funding by Deutsche Forschungsgemeinschaft (DFG) within the frame of the Collaborative Research Programme SPP 1158 'Antarctic Research with comparative investigations in Arctic ice areas' (grants LI 745/26 to FL and LA1080/19 to AL) . We thank Ake Fagereng and an anonymous reviewer for constructive comments and suggestions, which considerably improved the manuscript. The scientific results of faultslip analysis were obtained using the WinTensor software developed by Dr. Damien Delvaux, Royal Museum for Central Africa, Tervuren, Belgium (Delvaux and Sperner, 2003) .</t>
  </si>
  <si>
    <t>0191-8141</t>
  </si>
  <si>
    <t>1873-1201</t>
  </si>
  <si>
    <t>J STRUCT GEOL</t>
  </si>
  <si>
    <t>J. Struct. Geol.</t>
  </si>
  <si>
    <t>10.1016/j.jsg.2021.104350</t>
  </si>
  <si>
    <t>RZ3TU</t>
  </si>
  <si>
    <t>WOS:000648520500001</t>
  </si>
  <si>
    <t>Göttl, F; Groh, A; Schmidt, M; Schröder, L; Seitz, F</t>
  </si>
  <si>
    <t>Goettl, Franziska; Groh, Andreas; Schmidt, Michael; Schroder, Ludwig; Seitz, Florian</t>
  </si>
  <si>
    <t>The influence of Antarctic ice loss on polar motion: an assessment based on GRACE and multi-mission satellite altimetry</t>
  </si>
  <si>
    <t>EARTH PLANETS AND SPACE</t>
  </si>
  <si>
    <t>Antarctic polar motion excitations; Combination of GRACE and satellite altimetry data</t>
  </si>
  <si>
    <t>GRAVITY-FIELD; MASS-BALANCE; COMBINATION; EXCITATION; SHEET; VARIABILITY; GRAVIMETRY; GREENLAND; TRENDS; EARTH</t>
  </si>
  <si>
    <t>Increasing ice loss of the Antarctic Ice Sheet (AIS) due to global climate change affects the orientation of the Earth's spin axis with respect to an Earth-fixed reference system (polar motion). Here the contribution of the decreasing AIS to the excitation of polar motion is quantified from precise time variable gravity field observations of the Gravity Recovery and Climate Experiment (GRACE) and from measurements of the changing ice sheet elevation from altimeter satellites. While the GRACE gravity field models need to be reduced by noise and leakage effects from neighboring subsystems, the ice volume changes observed by satellite altimetry have to be converted into ice mass changes. In this study we investigate how much individual gravimetry and altimetry solutions differ from each other. We show that due to combination of individual solutions systematic and random errors of the data processing can be reduced and the robustness of the geodetic derived AIS polar motion excitations can be increased. We investigate the interannual variability of the Antarctic polar motion excitation functions by means of piecewise linear trends. We find that the long-term behavior of the three ice sheet subregions: EAIS (East Antarctic Ice Sheet), WAIS (West Antarctic Ice Sheet) and APIS (Antarctic Peninsula Ice Sheet) is quite different. While APIS polar motion excitations show no significant interannual variations during the study period 2003-2015, the trend of the WAIS and EAIS polar motion excitations increased in 2006 and again in 2009 while it started slightly to decline in 2013. AIS mass changes explain about 45% of the observed magnitude of the polar motion vector (excluding glacial isosatic adjustment). They cause the pole position vector to drift along 59 degrees East longitude with an amplitude of 2.7 mas/yr. Thus the contribution of the AIS has to be considered to close the budget of the geophysical excitation functions of polar motion.</t>
  </si>
  <si>
    <t>[Goettl, Franziska; Schmidt, Michael; Seitz, Florian] Tech Univ Munich, Deutsch Geodat Forschungsinst, Arcisstr 21, D-80333 Munich, Germany; [Groh, Andreas] Tech Univ Dresden, Inst Planetare Geodasie, Helmholzstr 10, D-01062 Dresden, Germany; [Schroder, Ludwig] Fed Agcy Cartog &amp; Geodesy, Karl Rothe Str 10-14, D-04105 Leipzig, Germany</t>
  </si>
  <si>
    <t>Technical University of Munich; Technische Universitat Dresden</t>
  </si>
  <si>
    <t>Göttl, F (corresponding author), Tech Univ Munich, Deutsch Geodat Forschungsinst, Arcisstr 21, D-80333 Munich, Germany.</t>
  </si>
  <si>
    <t>franziska.goettl@tum.de</t>
  </si>
  <si>
    <t>Seitz, Florian/F-3125-2011</t>
  </si>
  <si>
    <t>Seitz, Florian/0000-0002-0718-6069; Gottl, Franziska/0000-0003-0006-869X</t>
  </si>
  <si>
    <t>German Research Foundation (DFG) [GO 2707/1-1]; ESA through the Climate Change Initiative (CCI) projects Antarctic Ice Sheet CCI+ [4000126813/19/I-NB]; Projekt DEAL</t>
  </si>
  <si>
    <t>German Research Foundation (DFG)(German Research Foundation (DFG)); ESA through the Climate Change Initiative (CCI) projects Antarctic Ice Sheet CCI+; Projekt DEAL</t>
  </si>
  <si>
    <t>Open Access funding enabled and organized by Projekt DEAL. These studies are performed in the framework of the project CIEROT (Combination of geodetic space observations for estimating cryospheric mass changes and their impact on Earth rotation) funded by the German Research Foundation (DFG) under grant No. GO 2707/1-1. AG acknowledges support by ESA through the Climate Change Initiative (CCI) projects Antarctic Ice Sheet CCI+ (contract number 4000126813/19/I-NB).</t>
  </si>
  <si>
    <t>1880-5981</t>
  </si>
  <si>
    <t>EARTH PLANETS SPACE</t>
  </si>
  <si>
    <t>Earth Planets Space</t>
  </si>
  <si>
    <t>10.1186/s40623-021-01403-6</t>
  </si>
  <si>
    <t>RR1ZM</t>
  </si>
  <si>
    <t>WOS:000642905100001</t>
  </si>
  <si>
    <t>Song, HJ; Ji, RB; Jin, MB; Li, Y; Feng, ZX; Varpe, O; Davis, CS</t>
  </si>
  <si>
    <t>Song, Hongjun; Ji, Rubao; Jin, Meibing; Li, Yun; Feng, Zhixuan; Varpe, Oystein; Davis, Cabell S.</t>
  </si>
  <si>
    <t>Strong and regionally distinct links between ice-retreat timing and phytoplankton production in the Arctic Ocean</t>
  </si>
  <si>
    <t>Recent rapid sea-ice changes in the Arctic Ocean have been widely considered to alter phytoplankton bloom timing and primary production, but the magnitude and regionality of this effect remain unclear. Here, we examined the spatial patterns in bloom timing, bloom magnitude, and primary productivity in relation to ice-retreat timing, using a combination of satellite observations and numerical modeling. We found distinct regional differences in how the phytoplankton bloom relates to ice-retreat timing. In the Arctic shelf regions, earlier and stronger blooms follow earlier annual ice retreats and enhanced light availability. By contrast, in some parts of the central Arctic, especially in the Canada Basin, there have been weakened blooms and reduced primary production in recent years. This reduction is largely due to a chain reaction triggered by earlier ice-melt and enhanced haline stratification, which further suppress vertical nutrient exchange and reduce surface nutrients in an already nutrient-limited system. Recognizing and quantifying strong and regionally distinct links between sea-ice retreat and primary production will improve spatiotemporal projections of biogeochemical cycles and trophic flows in Arctic marine ecosystems.</t>
  </si>
  <si>
    <t>[Song, Hongjun] MNR, Inst Oceanog 1, Key Lab Marine Ecoenvironm Sci &amp; Technol, Qingdao, Peoples R China; [Song, Hongjun] Pilot Natl Lab Marine Sci &amp; Technol Qingdao, Lab Marine Ecol &amp; Environm Sci, Qingdao, Peoples R China; [Song, Hongjun; Ji, Rubao; Feng, Zhixuan; Davis, Cabell S.] Woods Hole Oceanog Inst, Dept Biol, Woods Hole, MA 02543 USA; [Jin, Meibing] Nanjing Univ Informat Sci &amp; Technol, Sch Marine Sci, Nanjing, Peoples R China; [Jin, Meibing; Feng, Zhixuan] Southern Lab Ocean Sci &amp; Engn Zhuhai, Zhuhai, Peoples R China; [Jin, Meibing] Univ Alaska Fairbanks, Int Arctic Res Ctr, Fairbanks, AK USA; [Li, Yun] Univ Delaware, Coll Earth Ocean &amp; Environm, Sch Marine Sci &amp; Policy, Lewes, DE 19958 USA; [Feng, Zhixuan] East China Normal Univ, Sch Marine Sci, State Key Lab Estuarine &amp; Coastal Res, Shanghai, Peoples R China; [Varpe, Oystein] Univ Bergen, Dept Biol Sci, Bergen, Norway; [Varpe, Oystein] Norwegian Inst Nat Res, Bergen, Norway</t>
  </si>
  <si>
    <t>Laoshan Laboratory; Woods Hole Oceanographic Institution; Nanjing University of Information Science &amp; Technology; University of Alaska System; University of Alaska Fairbanks; University of Delaware; East China Normal University; University of Bergen; Norwegian Institute Nature Research</t>
  </si>
  <si>
    <t>Song, HJ (corresponding author), MNR, Inst Oceanog 1, Key Lab Marine Ecoenvironm Sci &amp; Technol, Qingdao, Peoples R China.;Song, HJ (corresponding author), Pilot Natl Lab Marine Sci &amp; Technol Qingdao, Lab Marine Ecol &amp; Environm Sci, Qingdao, Peoples R China.;Song, HJ; Ji, RB (corresponding author), Woods Hole Oceanog Inst, Dept Biol, Woods Hole, MA 02543 USA.</t>
  </si>
  <si>
    <t>songhongjun@fio.org.cn; rji@whoi.edu</t>
  </si>
  <si>
    <t>Li, Yun/F-5944-2015; Ji, Rubao/I-1970-2015; Varpe, Oystein/B-9693-2008</t>
  </si>
  <si>
    <t>Varpe, Oystein/0000-0002-5895-6983; Li, Yun/0000-0002-4766-4723</t>
  </si>
  <si>
    <t>China Scholarship Council [CSC-201804180025]; China Arctic and Antarctic Administration International Cooperation Project [IC201208]; Shanghai Pujiang Program [20PJ1403100]; Shanghai Natural Science Foundation Project [20ZR1416300]</t>
  </si>
  <si>
    <t>China Scholarship Council(China Scholarship Council); China Arctic and Antarctic Administration International Cooperation Project; Shanghai Pujiang Program(Shanghai Pujiang Program); Shanghai Natural Science Foundation Project(Natural Science Foundation of Shanghai)</t>
  </si>
  <si>
    <t>We thank support for H. Song from China Scholarship Council scholarship (CSC-201804180025) and China Arctic and Antarctic Administration International Cooperation Project (IC201208). We also thank support for Z. Feng from Shanghai Pujiang Program (20PJ1403100) and Shanghai Natural Science Foundation Project (20ZR1416300). Comments from two anonymous reviewers helped improve the manuscript significantly.</t>
  </si>
  <si>
    <t>10.1002/lno.11768</t>
  </si>
  <si>
    <t>WOS:000642455200001</t>
  </si>
  <si>
    <t>Narazaki, T; Nakamura, I; Aoki, K; Iwata, T; Shiomi, K; Luschi, P; Suganuma, H; Meyer, CG; Matsumoto, R; Bost, CA; Handrich, Y; Amano, M; Okamoto, R; Mori, K; Ciccione, S; Bourjea, J; Sato, K</t>
  </si>
  <si>
    <t>Narazaki, Tomoko; Nakamura, Itsumi; Aoki, Kagari; Iwata, Takashi; Shiomi, Kozue; Luschi, Paolo; Suganuma, Hiroyuki; Meyer, Carl G.; Matsumoto, Rui; Bost, Charles A.; Handrich, Yves; Amano, Masao; Okamoto, Ryosuke; Mori, Kyoichi; Ciccione, Stephane; Bourjea, Jerome; Sato, Katsufumi</t>
  </si>
  <si>
    <t>Similar circling movements observed across marine megafauna taxa</t>
  </si>
  <si>
    <t>ISCIENCE</t>
  </si>
  <si>
    <t>UNDERWATER; BEHAVIOR; SURFACE; DETECT; SCANS; SEA</t>
  </si>
  <si>
    <t>Advances in biologging technology have enabled 3D dead-reckoning reconstruction of marine animal movements at spatiotemporal scales of meters and seconds. Examining high-resolution 3D movements of sharks (Galeocerdo cuvier, N = 4; Rhincodon typus, N = 1), sea turtles (Chelonia mydas, N = 3), penguins (Aptenodytes patagonicus, N = 6), and marine mammals (Arctocephalus gazella, N= 4; Ziphius cavirostris, N = 1), we report the discovery of circling events where animals consecutively circled more than twice at relatively constant angular speeds. Similar circling behaviors were observed across a wide variety of marine megafauna, suggesting these behaviors might serve several similar purposes across taxa including foraging, social interactions, and navigation.</t>
  </si>
  <si>
    <t>[Narazaki, Tomoko; Aoki, Kagari; Iwata, Takashi; Sato, Katsufumi] Univ Tokyo, Atmosphere &amp; Ocean Res Inst, 5-1-5 Kashiwanoha, Kashiwa, Chiba 2778564, Japan; [Nakamura, Itsumi] Nagasaki Univ, Org Marine Sci &amp; Technol, 1551-7 Tairamachi, Nagasaki, Nagasaki 8512213, Japan; [Iwata, Takashi] Sasakawa Peace Fdn, Ocean Policy Res Inst, Minato Ku, 1-15-16 Toranomon, Tokyo 1058524, Japan; [Shiomi, Kozue] Tohoku Univ, Frontier Res Inst Interdisciplinary Sci, Aoba Ku, 6-3 Aoba, Sendai, Miyagi 9808578, Japan; [Luschi, Paolo] Univ Pisa, Dept Biol, Via A Volta 6, I-56126 Pisa, Italy; [Suganuma, Hiroyuki] Everlasting Nat Asia, Kanagawa Ku, 3-17-8 Nishikanagawa, Yokohama, Kanagawa 2210822, Japan; [Meyer, Carl G.] Univ Hawaii Manoa, Hawaii Inst Marine Biol, 46-007 Lilipuna Rd, Kaneohe, HI 96744 USA; [Matsumoto, Rui] Okinawa Churaumi Aquarium, 888 Ishikawa, Motobu, Ishikawa 9050206, Japan; [Bost, Charles A.] Univ la Rochelle, Ctr Etud Biol Chiz, UMR 7372 CNRS, F-79360 Villiers En Bois, France; [Handrich, Yves] Univ Strasbourg, CNRS, IPHC UMR 7178, F-67000 Strasbourg, France; [Amano, Masao] Nagasaki Univ, Grad Sch Fisheries &amp; Environm Sci, 1-14 Bunkyo Machi, Nagasaki 8528521, Japan; [Okamoto, Ryosuke] Ogasawara Whale Watching Assoc, Ogasawara, Tokyo 1002101, Japan; [Mori, Kyoichi] Teikyo Univ Sci, Dept Anim Sci, 2525 Yatsusawa, Uenohara, Yamanashi 4090193, Japan; [Ciccione, Stephane] Observ Tortues Marines, Kelonia, 46 Rue Gen Gaulle, F-97436 St Leu, La Reunion, France; [Bourjea, Jerome] Univ Montpellier, IFREMER, CNRS, MARBEC,IRD, Ave Jean Monnet, F-34200 Sete, France; [Iwata, Takashi] Kobe Univ, Grad Sch Maritime Sci, Higashinada Ku, 5-1-1 Fukaeminamimachi, Kobe, Hyogo 6580022, Japan</t>
  </si>
  <si>
    <t>University of Tokyo; Nagasaki University; Tohoku University; University of Pisa; University of Hawaii System; University of Hawaii Manoa; Centre National de la Recherche Scientifique (CNRS); CNRS - Institute of Ecology &amp; Environment (INEE); La Rochelle Universite; Centre National de la Recherche Scientifique (CNRS); CNRS - National Institute of Nuclear and Particle Physics (IN2P3); Universites de Strasbourg Etablissements Associes; Universite de Strasbourg; Nagasaki University; Centre National de la Recherche Scientifique (CNRS); Universite de Montpellier; Institut de Recherche pour le Developpement (IRD); Ifremer; Kobe University</t>
  </si>
  <si>
    <t>Narazaki, T (corresponding author), Univ Tokyo, Atmosphere &amp; Ocean Res Inst, 5-1-5 Kashiwanoha, Kashiwa, Chiba 2778564, Japan.</t>
  </si>
  <si>
    <t>naratomoz@gmail.com</t>
  </si>
  <si>
    <t>Handrich, Yves/AAD-6472-2022; Shiomi, Kozue/GSO-1403-2022; Iwata, Takashi/U-7234-2018</t>
  </si>
  <si>
    <t>Iwata, Takashi/0000-0001-5492-9411; Narazaki, Tomoko/0000-0003-4513-3432; Amano, Masao/0000-0001-9495-5315; Shiomi, Kozue/0000-0002-2614-9538; Nakamura, Itsumi/0000-0002-1386-7266; Bourjea, Jerome/0000-0001-7149-3648</t>
  </si>
  <si>
    <t>IPEV [394]; JSPS Research Fellowship for Young Scientists [201840091]; JSPS [17H00776]; Bio-Logging Science, the University of Tokyo (UTBLS)</t>
  </si>
  <si>
    <t>IPEV; JSPS Research Fellowship for Young Scientists(Ministry of Education, Culture, Sports, Science and Technology, Japan (MEXT)Japan Society for the Promotion of Science); JSPS(Ministry of Education, Culture, Sports, Science and Technology, Japan (MEXT)Japan Society for the Promotion of Science); Bio-Logging Science, the University of Tokyo (UTBLS)</t>
  </si>
  <si>
    <t>We gratefully acknowledge Simon Benhamou, Mayeul Dalleau, Katia Ballorain, Silvia Galli, Resi Mencacci, Anfani Msoili and field volunteers from Itsamia village for the green turtle study in Moheli Island, Comoro, and Koji Narushima, Takahisa Nakajima, Takuya Fukuoka, Yoshinari Yonehara, staff of Everlasting Nature Japan, and local field volunteers for the green turtle study in Ogasawara Island, Japan. We are grateful to Mark Royer, James Anderson, Melanie Hutchinson from Hawaii Institute of Marine Biology for the shark studies conducted in Hawaii, USA, and Kiyomi Murakumo and other Churaumi Aquarium staff for the shark study in Okinawa, Japan. The whale study could not be achieved without Sumiko Nakamura, captain of `` Shinsei-Maru'', and local volunteers fromBonin Islands, Japan. We thank to all themembers of themission 48 in the Crozet Archipelago, especially Marguerite Netchaieff, Astrid Willener, and Antoine Joris for their field assistance for the king penguin study. We gratefully acknowledge British Antarctic Survey, Philip N. Trathan, and Akinori Takahashi for the Antarctic fur seal study. Special thanks go to Chihiro Kinoshita for beautiful illustrations. This work was financially supported by the IPEV (program No. 394 for penguin studies), a JSPS Research Fellowship for Young Scientists (201840091 to TN), a grant from JSPS (17H00776 to K. Sato), and the Bio-Logging Science, the University of Tokyo (UTBLS).</t>
  </si>
  <si>
    <t>2589-0042</t>
  </si>
  <si>
    <t>iScience</t>
  </si>
  <si>
    <t>10.1016/j.isci.2021.102221</t>
  </si>
  <si>
    <t>VL9WG</t>
  </si>
  <si>
    <t>Green Published, gold, Green Submitted</t>
  </si>
  <si>
    <t>WOS:000930312000001</t>
  </si>
  <si>
    <t>Frame, B; Liggett, D; Lindström, K; Roura, RM; van der Watt, LM</t>
  </si>
  <si>
    <t>Frame, Bob; Liggett, Daniela; Lindstrom, Kati; Roura, Ricardo M.; van der Watt, Lize-Marie</t>
  </si>
  <si>
    <t>Tourism and heritage in Antarctica: exploring cultural, natural and subliminal experiences</t>
  </si>
  <si>
    <t>POLAR GEOGRAPHY</t>
  </si>
  <si>
    <t>Antarctica; commodification; heritage tourism; historic sites and monuments; heritage experience; hybrid heritage</t>
  </si>
  <si>
    <t>The guidelines on heritage management adopted by the 2018 Antarctic Treaty Consultative Meeting provide the most recent iteration for an Antarctic tourism sector which had, prior to the COVID-19 pandemic, been projected to increase further with various risks and potential impacts requiring careful management. In this paper the role of cultural heritage for tourism prior to the COVID-19 pandemic is examined through three empirical perspectives. First, how the Antarctic cultural heritage is represented through the designation of Historic Sites and Monuments and Site Guidelines for Visitors; then how this is presented through tourism operators' websites; and, finally, how it is experienced by visitors as narrated in open-source social media information. Each dataset suggests that, while cultural heritage is an important component of an increasingly commodified tourist offering, it is only part of an assemblage of elements which combine to create a subliminal and largely intangible Antarctic experience. In particular, a polarization of the heritage experience between cultural and natural does not appear productive. The paper proposes a more nuanced understanding of heritage tourism in Antarctica which accommodates the notion of a hybrid experience that integrates cultural heritage, the history and stories this heritage represents, and the natural environmental setting.</t>
  </si>
  <si>
    <t>[Frame, Bob; Liggett, Daniela] Univ Canterbury, Gateway Antarctica, Christchurch, New Zealand; [Lindstrom, Kati; van der Watt, Lize-Marie] KTH Royal Inst Technol, Div Hist Sci Technol &amp; Environm, Stockholm, Sweden</t>
  </si>
  <si>
    <t>University of Canterbury; Royal Institute of Technology</t>
  </si>
  <si>
    <t>Frame, B (corresponding author), Univ Canterbury, Gateway Antarctica, Christchurch, New Zealand.</t>
  </si>
  <si>
    <t>research@frameworks.nz</t>
  </si>
  <si>
    <t>Frame, Bob I/A-2876-2008</t>
  </si>
  <si>
    <t>Frame, Bob/0000-0003-2447-4174; Liggett, Daniela/0000-0003-4184-5205; Roura, Ricardo/0000-0001-5939-0451</t>
  </si>
  <si>
    <t>Swedish Research Council [2016-02611_VR]; Swedish Research Council [2016-02611] Funding Source: Swedish Research Council</t>
  </si>
  <si>
    <t>Swedish Research Council(Swedish Research Council); Swedish Research Council(Swedish Research Council)</t>
  </si>
  <si>
    <t>This work was supported by the Swedish Research Council. Grant 2016-02611_VR</t>
  </si>
  <si>
    <t>TAYLOR &amp; FRANCIS INC</t>
  </si>
  <si>
    <t>PHILADELPHIA</t>
  </si>
  <si>
    <t>530 WALNUT STREET, STE 850, PHILADELPHIA, PA 19106 USA</t>
  </si>
  <si>
    <t>1088-937X</t>
  </si>
  <si>
    <t>1939-0513</t>
  </si>
  <si>
    <t>POLAR GEOGR</t>
  </si>
  <si>
    <t>Polar Geogr.</t>
  </si>
  <si>
    <t>JAN 2</t>
  </si>
  <si>
    <t>10.1080/1088937X.2021.1918787</t>
  </si>
  <si>
    <t>Geography, Physical</t>
  </si>
  <si>
    <t>Physical Geography</t>
  </si>
  <si>
    <t>0R6ZP</t>
  </si>
  <si>
    <t>WOS:000644662300001</t>
  </si>
  <si>
    <t>Glykou, A; Ritchie, K; Hargrave, MS; Visch, W; Lidén, K</t>
  </si>
  <si>
    <t>Glykou, Aikaterini; Ritchie, Kenneth; Hargrave, Matthew S.; Visch, Wouter; Liden, Kerstin</t>
  </si>
  <si>
    <t>Strontium isotope analysis in prehistoric cod otoliths by laser ablation multi-collector inductively coupled plasma mass spectrometry</t>
  </si>
  <si>
    <t>JOURNAL OF ARCHAEOLOGICAL SCIENCE-REPORTS</t>
  </si>
  <si>
    <t>Cod otoliths; Isotopes (Sr-87/Sr-86); Mesolithic; Baltic Sea; Ertebolle</t>
  </si>
  <si>
    <t>PIKE ESOX-LUCIUS; GADUS-MORHUA; BALTIC COD; CALCIUM RATIOS; FISH OTOLITHS; SALINITY; SEA; SR; VALIDATION; AGE</t>
  </si>
  <si>
    <t>Exploitation of aquatic resources, especially fishing, was a fundamental part of human subsistence during the Late Mesolithic Ertebolle culture (5400-4000/3900 cal BC) in Southern Scandinavia. In this pilot study we examine three cod otoliths from two Late Mesolithic locations in eastern Denmark to see whether local environmental conditions are reflected in the strontium ratios of the fish, to source the fish to either the Atlantic or the Baltic Sea and finally, to explore how fishing was conducted in relation to the settlements. We used laser ablation multi-collector inductively coupled plasma mass spectrometry for sequential sampling of the otoliths for strontium isotope analysis. All three otoliths yielded Sr-87/Sr-86 values that fall within the range of Baltic Sea water, thus indicating that cod caught by Mesolithic fishers in the Danish straits belonged to the Baltic Sea stock. Our results suggest that cod were not caught in waters immediately adjacent to the archaeological sites but rather came from the Kattegat. We could not detect any substantial change in habitat between juvenile and mature stages of the fishs lives. Our study shows the potential of isotopic analysis to address issues regarding the individual ecological history of fish and human fishing strategies.</t>
  </si>
  <si>
    <t>[Glykou, Aikaterini; Liden, Kerstin] Stockholm Univ, Archaeol Res Lab, SE-10691 Stockholm, Sweden; [Ritchie, Kenneth] Moesgaard Museum, Dept Archaeol Sci &amp; Conservat, DK-8270 Hojbjerg, Denmark; [Ritchie, Kenneth] Schloss Gottorf, Ctr Baltic &amp; Scandinavian Archaeol, D-24837 Schleswig, Germany; [Hargrave, Matthew S.; Visch, Wouter] Univ Gothenburg, Dept Marine Sci, Tjarno Marine Lab, SE-45296 Stromstad, Sweden; [Visch, Wouter] Univ Tasmania, Inst Marine &amp; Antarctic Studies, 20 Castray Esplanade, Hobart, Tas 7004, Australia</t>
  </si>
  <si>
    <t>Stockholm University; University of Gothenburg; University of Tasmania</t>
  </si>
  <si>
    <t>Glykou, A (corresponding author), Stockholm Univ, Archaeol Res Lab, SE-10691 Stockholm, Sweden.</t>
  </si>
  <si>
    <t>aikaterini.glykou@arklab.su.se</t>
  </si>
  <si>
    <t>Visch, Wouter/0000-0003-4291-6239</t>
  </si>
  <si>
    <t>Swedish Research Council [2015-02151]; Archaeological Research Laboratory, Department of Archaeology and Classical Studies, Stockholm University; Swedish Research Council [2015-02151] Funding Source: Swedish Research Council</t>
  </si>
  <si>
    <t>Swedish Research Council(Swedish Research Council); Archaeological Research Laboratory, Department of Archaeology and Classical Studies, Stockholm University; Swedish Research Council(Swedish Research Council)</t>
  </si>
  <si>
    <t>This work was supported by the Swedish Research Council [grant number 2015-02151] and the Archaeological Research Laboratory, Department of Archaeology and Classical Studies, Stockholm University.</t>
  </si>
  <si>
    <t>2352-409X</t>
  </si>
  <si>
    <t>J ARCHAEOL SCI-REP</t>
  </si>
  <si>
    <t>J. Archaeol. Sci.-Rep.</t>
  </si>
  <si>
    <t>10.1016/j.jasrep.2021.102976</t>
  </si>
  <si>
    <t>Archaeology</t>
  </si>
  <si>
    <t>TE6VC</t>
  </si>
  <si>
    <t>WOS:000670147200005</t>
  </si>
  <si>
    <t>Gilmour, ME; Lewis, PJ; Paige, T; Lavers, JL</t>
  </si>
  <si>
    <t>Gilmour, Morgan E.; Lewis, Phoebe J.; Paige, Tanya; Lavers, Jennifer L.</t>
  </si>
  <si>
    <t>Persistent organic pollutant (POPs) concentrations from great-winged petrels nesting in Western Australia</t>
  </si>
  <si>
    <t>MARINE POLLUTION BULLETIN</t>
  </si>
  <si>
    <t>Breaksea Island; Great Australian Bight; Organochlorine pesticide; PBDE; PCB; Seabird</t>
  </si>
  <si>
    <t>FLESH-FOOTED SHEARWATERS; POLYBROMINATED DIPHENYL ETHERS; LONG-RANGE TRANSPORT; ORGANOCHLORINE CONTAMINANTS; PTERODROMA-MACROPTERA; SPATIAL-DISTRIBUTION; PUFFINUS-CARNEIPES; SOUTH; SEABIRDS; PCBS</t>
  </si>
  <si>
    <t>Marine animals that traverse coastal and offshore environments are potentially exposed to multiple sources of pollution. Baseline data of pollutant concentrations of these fauna are needed in remote areas as human populations grow and economic development increases because changes may affect local wildlife in unforeseen ways. Persistent organic pollutant (POPs) concentrations were quantified in an understudied seabird, the greatwinged petrel (Pterodroma macroptera), that breeds in southern Western Australia. Organochlorine pesticides, polychlorinated biphenyls (PCBs), and novel brominated flame retardants (NBFRs) were measured in adults. Total POPs concentrations ranged 5.6-46.4 ng g-1 ww. The most frequently detected POPs were the dichlorodiethyltrichloroethane (DDT) metabolite 4,4'DDE, the PCB CB-28, and the BFR polybrominated diphenyl ether BDE-99. These results contribute to the limited POPs data in marine fauna in this remote region, and the Southern Hemisphere, adding to the growing body of evidence that remote regions are affected by global trends of POPs distributions.</t>
  </si>
  <si>
    <t>[Gilmour, Morgan E.] Univ Calif Santa Cruz, Ocean Sci Dept, Santa Cruz, CA 95060 USA; [Gilmour, Morgan E.; Lavers, Jennifer L.] Univ Tasmania, Inst Marine &amp; Antarctic Studies, Battery Point, Tas 7004, Australia; [Lewis, Phoebe J.; Paige, Tanya] RMIT Univ, Sch Sci, Ctr Environm Sustainabil &amp; Remediat EnSuRe, GPO Box 2476, Melbourne, Vic 3001, Australia; [Gilmour, Morgan E.] USGS Western Ecol Res Ctr, Santa Cruz, CA 95060 USA</t>
  </si>
  <si>
    <t>University of California System; University of California Santa Cruz; University of Tasmania; Melbourne Genomics Health Alliance; Royal Melbourne Institute of Technology (RMIT); United States Department of the Interior; United States Geological Survey</t>
  </si>
  <si>
    <t>Gilmour, ME (corresponding author), Univ Tasmania, Inst Marine &amp; Antarctic Studies, Battery Point, Tas 7004, Australia.;Gilmour, ME (corresponding author), USGS Western Ecol Res Ctr, Santa Cruz, CA 95060 USA.</t>
  </si>
  <si>
    <t>morgan.gilmour@utas.edu.au</t>
  </si>
  <si>
    <t>Lavers, Jennifer/IWM-5417-2023</t>
  </si>
  <si>
    <t>Gilmour, Morgan/0000-0002-2618-1095</t>
  </si>
  <si>
    <t>National Science Foundation, United States</t>
  </si>
  <si>
    <t>National Science Foundation, United States(National Science Foundation (NSF))</t>
  </si>
  <si>
    <t>We thank Lisa Hills and Nabilla Zayan for assistance with field work; Bob Edwards and Peter Collins for boat access to Breaksea Island; Carol and Graham Biddulph for logistical support and hospitality; and Robert Letcher for helpful comments on the manuscript. We also thank an anonymous reviewer for helpful comments that improved the manuscript. This work was supported by the National Science Foundation, United States, fellowship in the East Asia and Pacific Summer Institutes (EAPSI) Program to MEG. This research was conducted under the approval of the University of Tasmania animal ethics board (permit no. A0015319 and A0012279) , the University of California, Santa Cruz Institutional Animal Care and Use Committee (permit no. COSTD1411) , and W.A. Department of Biodiversity, Conservation and Attractions (permit nos. SF010339, SF010159, and CE004240) .</t>
  </si>
  <si>
    <t>0025-326X</t>
  </si>
  <si>
    <t>1879-3363</t>
  </si>
  <si>
    <t>MAR POLLUT BULL</t>
  </si>
  <si>
    <t>Mar. Pollut. Bull.</t>
  </si>
  <si>
    <t>10.1016/j.marpolbul.2021.112396</t>
  </si>
  <si>
    <t>Environmental Sciences; Marine &amp; Freshwater Biology</t>
  </si>
  <si>
    <t>SS6HZ</t>
  </si>
  <si>
    <t>WOS:000661856600010</t>
  </si>
  <si>
    <t>Mishra, AK; Singh, J; Mishra, PP</t>
  </si>
  <si>
    <t>Mishra, Amit K.; Singh, Jaswant; Mishra, Pratyush P.</t>
  </si>
  <si>
    <t>Microplastics in polar regions: An early warning to the world's pristine ecosystem</t>
  </si>
  <si>
    <t>Microplastics; Plastic litter; Polymer; Arctic; Antarctica</t>
  </si>
  <si>
    <t>DEEP-SEA SEDIMENTS; MARINE-ENVIRONMENT; SURFACE WATERS; PLASTIC DEBRIS; ROSS SEA; POLLUTION; CONTAMINATION; IMPACTS; ACCUMULATION; ZOOPLANKTON</t>
  </si>
  <si>
    <t>The menace of plastic which is polluting the ocean has emerged as a global problem. It is well-known to everyone that the ultimate end for most of the plastic debris is the ocean. The distribution of plastic rubbish in the oceans is strongly influenced by hydrodynamic properties of water. The continuous break down of plastic objects, as a con-sequence of thermal, chemical and biological processes along with various environmental factors, results into microplastics (MPs). The microplastics are those particles which are deriving pallets of plastic, having length of less than 5 mm or 0.2 in. Nowadays microplastics are everywhere in the waters all around the world. The high dispersion pattern of oceanic currents takes away microplastics in the entire ocean even to remote areas, like the Polar Regions. Microplastics are difficult to remove from the ocean and the ingestion of these particles by sev-eral consumers of different trophic levels like benthos, birds, and fishes is a threat to the diverse food webs and ecosystems. Different scientific investigations have ascertained that a significant concentration of MPs are present in various marine ecosystems globally including the Polar region (both Arctic and Antarctic), and in the up -coming future, the condition is expected to get worse. The objective of this review is to establish a baseline evidence for the availability of microplastics in the polar region. For this reason, the state of the art of knowledge on microplastics in Polar Regions was studied. (c) 2021 Elsevier B.V. All rights reserved.</t>
  </si>
  <si>
    <t>[Mishra, Amit K.; Singh, Jaswant; Mishra, Pratyush P.] Dr Rammanohar Lohia Avadh Univ, Dept Environm Sci, Ayodhya 224001, UP, India</t>
  </si>
  <si>
    <t>Singh, J (corresponding author), Dr Rammanohar Lohia Avadh Univ, Dept Environm Sci, Ayodhya 224001, UP, India.</t>
  </si>
  <si>
    <t>drjsingh1@gmail.com</t>
  </si>
  <si>
    <t>MISHRA, AMIT/0000-0002-6087-7985</t>
  </si>
  <si>
    <t>AUG 25</t>
  </si>
  <si>
    <t>10.1016/j.scitotenv.2021.147149</t>
  </si>
  <si>
    <t>SM4RT</t>
  </si>
  <si>
    <t>WOS:000657595400011</t>
  </si>
  <si>
    <t>Carlson, AE; Beard, BL; Hatfield, RG; Laffin, M</t>
  </si>
  <si>
    <t>Carlson, Anders E.; Beard, Brian L.; Hatfield, Robert G.; Laffin, Matthew</t>
  </si>
  <si>
    <t>Absence of West Antarctic-sourced silt at ODP Site 1096 in the Bellingshausen Sea during the last interglaciation: Support for West Antarctic ice-sheet deglaciation</t>
  </si>
  <si>
    <t>QUATERNARY SCIENCE REVIEWS</t>
  </si>
  <si>
    <t>Interglacials; Glaciation; Sea level changes; Antarctica; Radiogenic isotopes; West Antarctic ice sheet; Antarctic Peninsula ice sheet</t>
  </si>
  <si>
    <t>MARIE BYRD LAND; SOUTHERN GREENLAND; DETRITAL ZIRCONS; SEDIMENT DRIFTS; MANTLE SOURCES; RECYCLED MICROFOSSILS; ISOTOPE GEOCHEMISTRY; CENOZOIC MAGMATISM; CONTINENTAL RISE; PACIFIC MARGIN</t>
  </si>
  <si>
    <t>During the last interglaciation (LIG;-129-116 ka), global mean sea level (GMSL) was 6-9 m above present. However, the source, or sources, of the higher-than-present sea level are only partially confirmed with far fewer geologic constraints than GMSL itself. Because of modest LIG Greenland Ice Sheet retreat that raised sea level by &lt; 2.5 m, Antarctic ice sheets are hypothesized to have contributed significantly to the LIG GMSL highstand, but direct evidence is limited. Here we infer ice-sheet presence or absence on West Antarctica and the Antarctic Peninsula using sediment geochemistry in the Bellingshausen Sea at Ocean Drilling Program (ODP) Site 1096. In particular, a combination of Sr-NdPb isotopes and trace-element ratios allows differentiation between silt sourced from West Antarctica and the Antarctic Peninsula. From the Holocene (&lt;11.7 ka) back through Marine Isotope Stage (MIS) 5d (-116 ka), we find in-50% of our samples glacially eroded silt sourced from under the West Antarctic Ice Sheet that was transported to the Bellingshausen Sea in the Antarctic Circumpolar Current, in addition to silt sourced from under the proximal Antarctic Peninsula Ice Sheet. However, West Antarctic-sourced silt is absent during the LIG (MIS 5e) when only Antarctic Peninsula-sourced silt was deposited at ODP Site 1096. This lack of West Antarctic-sourced silt is consistent with the two ice-core constraints on West Antarctic Ice Sheet LIG size, which combined with our record point towards the absence of the West Antarctic Ice Sheet during the LIG. We therefore provide the first marine-based sedimentary evidence that supports West Antarctic Ice-Sheet absence during the LIG. 0 2021 Elsevier Ltd. All rights reserved.</t>
  </si>
  <si>
    <t>[Carlson, Anders E.] Oregon Glaciers Inst, Corvallis, OR 97330 USA; [Beard, Brian L.] Univ Wisconsin, Dept Geosci, Madison, WI 53706 USA; [Hatfield, Robert G.] Univ Florida, Dept Geol Sci, Gainesville, FL 32611 USA; [Hatfield, Robert G.; Laffin, Matthew] Oregon State Univ, Coll Earth Ocean &amp; Atmospher Sci, Corvallis, OR 97331 USA; [Laffin, Matthew] Univ Calif Irvine, Dept Earth Syst Sci, Irvine, CA 92697 USA</t>
  </si>
  <si>
    <t>University of Wisconsin System; University of Wisconsin Madison; State University System of Florida; University of Florida; Oregon State University; University of California System; University of California Irvine</t>
  </si>
  <si>
    <t>Carlson, AE (corresponding author), Oregon Glaciers Inst, Corvallis, OR 97330 USA.</t>
  </si>
  <si>
    <t>anders@orglaciersinst.org</t>
  </si>
  <si>
    <t>Hatfield, Robert G/G-6854-2019</t>
  </si>
  <si>
    <t>Hatfield, Robert G/0000-0002-6372-0027; Laffin, Matthew/0000-0002-6079-336X</t>
  </si>
  <si>
    <t>U.S. National Science Foundation [OPP-1443437, OPP-1443268]</t>
  </si>
  <si>
    <t>U.S. National Science Foundation(National Science Foundation (NSF))</t>
  </si>
  <si>
    <t>U.S. National Science Foundation awards OPP-1443437 (AEC) and OPP-1443268 (BLB). We would like to thank Maureen Walczak, Alyssa Shiel, Joseph Stoner and Chris Russo for assistance in geochemical analyses and age-model construction, and the Florida State University Antarctic Marine Geology Research Facility. Ian Bailey and an anonymous reviewer provided important feedback on this manuscript.</t>
  </si>
  <si>
    <t>0277-3791</t>
  </si>
  <si>
    <t>1873-457X</t>
  </si>
  <si>
    <t>QUATERNARY SCI REV</t>
  </si>
  <si>
    <t>Quat. Sci. Rev.</t>
  </si>
  <si>
    <t>JUN 1</t>
  </si>
  <si>
    <t>10.1016/j.quascirev.2021.106939</t>
  </si>
  <si>
    <t>Geography, Physical; Geosciences, Multidisciplinary</t>
  </si>
  <si>
    <t>Physical Geography; Geology</t>
  </si>
  <si>
    <t>SF2XP</t>
  </si>
  <si>
    <t>WOS:000652624400004</t>
  </si>
  <si>
    <t>Cui, ZX; Liu, Y; Yuan, JB; Zhang, XJ; Ventura, T; Ma, KY; Sun, S; Song, CW; Zhan, DL; Yang, YA; Liu, HR; Fan, GY; Cai, QL; Du, J; Qin, J; Shi, CC; Hao, SJ; Fitzgibbon, QP; Smith, GG; Xiang, JH; Chan, TY; Hui, M; Bao, CC; Li, FH; Chu, KH</t>
  </si>
  <si>
    <t>Cui, Zhaoxia; Liu, Yuan; Yuan, Jianbo; Zhang, Xiaojun; Ventura, Tomer; Ma, Ka Yan; Sun, Shuai; Song, Chengwen; Zhan, Dongliang; Yang, Yanan; Liu, Hourong; Fan, Guangyi; Cai, Qingle; Du, Jing; Qin, Jing; Shi, Chengcheng; Hao, Shijie; Fitzgibbon, Quinn P.; Smith, Gregory G.; Xiang, Jianhai; Chan, Tin-Yam; Hui, Min; Bao, Chenchang; Li, Fuhua; Chu, Ka Hou</t>
  </si>
  <si>
    <t>The Chinese mitten crab genome provides insights into adaptive plasticity and developmental regulation</t>
  </si>
  <si>
    <t>NATURE COMMUNICATIONS</t>
  </si>
  <si>
    <t>INSULIN-LIKE-HORMONE; ERIOCHEIR-SINENSIS; ANDROGENIC-GLAND; HOX GENES; MOLECULAR CHARACTERIZATION; EURYHALINE CRABS; H+-ATPASE; EVOLUTION; REVEALS; EXPRESSION</t>
  </si>
  <si>
    <t>Brachyurans, or crabs, are of commercial and ecological importance, but limited genomic resources exist. Here the authors present a chromosome-level genome and expression data for the Chinese mitten crab, to shed light on the biology of this group. The infraorder Brachyura (true or short-tailed crabs) represents a successful group of marine invertebrates yet with limited genomic resources. Here we report a chromosome-anchored reference genome and transcriptomes of the Chinese mitten crab Eriocheir sinensis, a catadromous crab and invasive species with wide environmental tolerance, strong osmoregulatory capacity and high fertility. We show the expansion of specific gene families in the crab, including F-ATPase, which enhances our knowledge on the adaptive plasticity of this successful invasive species. Our analysis of spatio-temporal transcriptomes and the genome of E. sinensis and other decapods shows that brachyurization development is associated with down-regulation of Hox genes at the megalopa stage when tail shortening occurs. A better understanding of the molecular mechanism regulating sexual development is achieved by integrated analysis of multiple omics. These genomic resources significantly expand the gene repertoire of Brachyura, and provide insights into the biology of this group, and Crustacea in general.</t>
  </si>
  <si>
    <t>[Cui, Zhaoxia; Yang, Yanan; Bao, Chenchang] Ningbo Univ, Sch Marine Sci, Ningbo, Peoples R China; [Cui, Zhaoxia; Liu, Yuan; Yuan, Jianbo; Zhang, Xiaojun; Song, Chengwen; Liu, Hourong; Du, Jing; Xiang, Jianhai; Hui, Min; Li, Fuhua] Chinese Acad Sci, Inst Oceanol, Key Lab Expt Marine Biol, Qingdao, Peoples R China; [Cui, Zhaoxia; Liu, Yuan; Yuan, Jianbo; Zhang, Xiaojun; Xiang, Jianhai; Hui, Min; Li, Fuhua] Qingdao Natl Lab Marine Sci &amp; Technol, Lab Marine Biol &amp; Biotechnol, Qingdao, Peoples R China; [Liu, Yuan; Yuan, Jianbo; Zhang, Xiaojun; Xiang, Jianhai; Hui, Min; Li, Fuhua] Chinese Acad Sci, Ctr Ocean Mega Sci, Qingdao, Peoples R China; [Ventura, Tomer] Univ Sunshine Coast, Sch Sci &amp; Engn, Sippy Downs, Qld, Australia; [Ma, Ka Yan; Qin, Jing; Chu, Ka Hou] Chinese Univ Hong Kong, Sch Life Sci, Simon FS Li Marine Sci Lab, Shatin, Hong Kong, Peoples R China; [Sun, Shuai; Fan, Guangyi; Shi, Chengcheng; Hao, Shijie] BGI Shenzhen, BGI Qingdao, Qingdao, Peoples R China; [Zhan, Dongliang; Cai, Qingle] IGENE, Hangzhou, Peoples R China; [Qin, Jing] Sun Yat Sen Univ, Sch Pharmaceut Sci Shenzhen, Guangzhou, Peoples R China; [Fitzgibbon, Quinn P.; Smith, Gregory G.] Univ Tasmania, Inst Marine &amp; Antarctic Studies, Hobart, Tas, Australia; [Chan, Tin-Yam] Natl Taiwan Ocean Univ, Inst Marine Biol, Keelung, Taiwan; [Chan, Tin-Yam] Natl Taiwan Ocean Univ, Ctr Excellence Oceans, Keelung, Taiwan</t>
  </si>
  <si>
    <t>Ningbo University; Chinese Academy of Sciences; Institute of Oceanology, CAS; Laoshan Laboratory; Chinese Academy of Sciences; University of the Sunshine Coast; Chinese University of Hong Kong; Beijing Genomics Institute (BGI); Sun Yat Sen University; University of Tasmania; National Taiwan Ocean University; National Taiwan Ocean University</t>
  </si>
  <si>
    <t>Cui, ZX (corresponding author), Ningbo Univ, Sch Marine Sci, Ningbo, Peoples R China.;Cui, ZX; Li, FH (corresponding author), Chinese Acad Sci, Inst Oceanol, Key Lab Expt Marine Biol, Qingdao, Peoples R China.;Cui, ZX; Li, FH (corresponding author), Qingdao Natl Lab Marine Sci &amp; Technol, Lab Marine Biol &amp; Biotechnol, Qingdao, Peoples R China.;Li, FH (corresponding author), Chinese Acad Sci, Ctr Ocean Mega Sci, Qingdao, Peoples R China.;Chu, KH (corresponding author), Chinese Univ Hong Kong, Sch Life Sci, Simon FS Li Marine Sci Lab, Shatin, Hong Kong, Peoples R China.</t>
  </si>
  <si>
    <t>cuizhaoxia@nbu.edu.cn; fhli@qdio.ac.cn; kahouchu@cuhk.edu.hk</t>
  </si>
  <si>
    <t>Qin, Jing/U-1171-2019; DAI, Jinjia/KCL-5110-2024; zhang, jin/IXD-9872-2023; zhang, jingxing/KCY-4726-2024; Zhang, Lanyue/JNS-8209-2023; Lu, Rui/KCJ-8212-2024; Zhang, Jing/ISA-6627-2023; yu, zhang/JWO-7724-2024; Sun, Shuai/HNQ-2275-2023; zhang, xinyi/JWA-0980-2024; 袁, 剑波/JVO-4766-2024; zhang, jin/GXV-9154-2022; Chu, Ka Hou/B-8010-2011; zhang, luyu/JJC-4227-2023; Qin, Jing/JMC-1371-2023; Ma, KaYan/S-1652-2017; Ventura, T./H-9832-2019; Smith, Gregory/C-9263-2013</t>
  </si>
  <si>
    <t>Qin, Jing/0000-0001-8630-2904; Zhang, Jing/0009-0003-5039-5688; Sun, Shuai/0000-0003-1092-3186; Ma, KaYan/0000-0001-5690-2319; Ventura, T./0000-0002-0777-2367; Fitzgibbon, Quinn/0000-0002-1104-3052; Smith, Gregory/0000-0002-8677-1230; Zhang, Xiaojun/0000-0002-8478-1064</t>
  </si>
  <si>
    <t>National Key R&amp;D Program of China [2018YFD0900303]; National Natural Science Foundation of China [32072964]; Ten Thousand Talents Program; Scientific and Technological Innovation Project of Qingdao National Laboratory for Marine Science and Technology [2015ASKJ02]; Collaborative Research Fund from the Research Grants Council, Hong Kong Special Administrative Region, China [C4042-14G]; Ministry of Science and Technology, Taiwan; Center of Excellence for the Oceans, National Taiwan Ocean University</t>
  </si>
  <si>
    <t>National Key R&amp;D Program of China; National Natural Science Foundation of China(National Natural Science Foundation of China (NSFC)); Ten Thousand Talents Program; Scientific and Technological Innovation Project of Qingdao National Laboratory for Marine Science and Technology; Collaborative Research Fund from the Research Grants Council, Hong Kong Special Administrative Region, China; Ministry of Science and Technology, Taiwan(Ministry of Science and Technology, Taiwan); Center of Excellence for the Oceans, National Taiwan Ocean University</t>
  </si>
  <si>
    <t>This work was supported by grants from the National Key R&amp;D Program of China (2018YFD0900303), the National Natural Science Foundation of China (32072964), the Ten Thousand Talents Program, the Scientific and Technological Innovation Project of Qingdao National Laboratory for Marine Science and Technology (2015ASKJ02), Collaborative Research Fund from the Research Grants Council, Hong Kong Special Administrative Region, China (C4042-14G), and the Ministry of Science and Technology, Taiwan and the Center of Excellence for the Oceans, National Taiwan Ocean University.</t>
  </si>
  <si>
    <t>2041-1723</t>
  </si>
  <si>
    <t>NAT COMMUN</t>
  </si>
  <si>
    <t>Nat. Commun.</t>
  </si>
  <si>
    <t>APR 22</t>
  </si>
  <si>
    <t>10.1038/s41467-021-22604-3</t>
  </si>
  <si>
    <t>RQ9PW</t>
  </si>
  <si>
    <t>WOS:000642744500028</t>
  </si>
  <si>
    <t>Mahesh, BS; Warrier, AK; Nair, A; Fernandes, R; Mohan, R</t>
  </si>
  <si>
    <t>Mahesh, Badanal Siddaiah; Warrier, Anish Kumar; Nair, Abhilash; Fernandes, Revellino; Mohan, Rahul</t>
  </si>
  <si>
    <t>Evolutionary inferences from the sedimentary deposits of Lake LH73, Larsemann Hills, East Antarctica</t>
  </si>
  <si>
    <t>CATENA</t>
  </si>
  <si>
    <t>Grain size; Diatoms; Magnetic susceptibility; Ecological modeling; Lake level; Holocene; Larsemann Hills; East Antarctica</t>
  </si>
  <si>
    <t>GRAIN-SIZE DISTRIBUTION; FRESH-WATER; SCHIRMACHER OASIS; RAUER-ISLANDS; SALINE LAKES; PRYDZ BAY; LACUSTRINE SEDIMENTS; CLIMATE-CHANGE; DIATOM FLORA; HOLOCENE</t>
  </si>
  <si>
    <t>Lakes from the coastal oasis of Larsemann Hills respond to changes in regional climate. They are mainly influenced by the ice-sheet dynamics and regional eustatic variation based on their proximity to either of them or both. The sedimentary sequences of the ice-free regions of Antarctica offer unique climate records (lake sediment deposits). Here, we present the evolution of a lake reconstructed from its sedimentary sequence. A 60 cm long radiocarbon-dated sediment core spanning the last 11.8 kyr from Lake LH73 located in Broknes Peninsula of Larsemann Hills is studied for grain size fractions, magnetic susceptibility, and diatom abundance. Based on the diatom and grain fraction data, it is inferred that the lake persisted as a proglacial lake during the early-Holocene (11.8 to 7.2 ky BP) dammed by ice-sheet towards the south. The lake level was at least 3 m higher than the present level (4 m) as inferred from the diatom transfer function owing to the presence of ice dam. The retreat of the ice-sheet and the collapse of the ice dam between 7.2 and 7 ky BP resulted in the lake transitioning to an isolated lake with the lake level attaining current level (4 m). As a consequence, the catchment area increased and the lake received meltwater from the snowbanks hence largely modulating the sedimentary process. The absence of glacial clay from 5 ky BP suggests that the lake was cut-off from the glacial input. The appearance of diatom at similar to 8.6 ky BP indicates the establishment of optimal condition for productivity in the lake ecosystem. Stauroforma inermis and Plannothidium quadripunctatum (Psammothidium abundans) dominates between 7 ky BP till present (11.8 to 7 ky BP), responding to lake level variation. Ice-sheet retrieval and ablation led to transition of proglacial-to-isolated lake leading to shallowing of the lake as reflected in diatom assemblage changes.</t>
  </si>
  <si>
    <t>[Mahesh, Badanal Siddaiah; Nair, Abhilash; Mohan, Rahul] Natl Ctr Polar &amp; Ocean Res NCPOR, Antarctic Sci, Minist Earth Sci, Vasco Da Gama 403804, Goa, India; [Warrier, Anish Kumar] Manipal Acad Higher Educ, Ctr Climate Studies, Dept Civil Engn, Manipal Inst Technol, Manipal 576104, Karnataka, India; [Fernandes, Revellino] Goa Univ, Dept Earth Sci, Taleigao Plateau 403206, Goa, India</t>
  </si>
  <si>
    <t>Ministry of Earth Sciences (MoES) - India; National Centre for Polar and Ocean Research (NCPOR); Manipal Academy of Higher Education (MAHE); Goa University</t>
  </si>
  <si>
    <t>Mahesh, BS (corresponding author), Natl Ctr Polar &amp; Ocean Res NCPOR, Antarctic Sci, Minist Earth Sci, Vasco Da Gama 403804, Goa, India.</t>
  </si>
  <si>
    <t>mahesh@ncpor.res.in</t>
  </si>
  <si>
    <t>Warrier, Anish Kumar/AAW-8890-2020</t>
  </si>
  <si>
    <t>Warrier, Anish Kumar/0000-0003-0044-6224</t>
  </si>
  <si>
    <t>Secretary-Ministry of Earth Sciences, New Delhi; National Centre for Polar and Ocean Research</t>
  </si>
  <si>
    <t>We thank the Secretary-Ministry of Earth Sciences, New Delhi and Director, National Centre for Polar and Ocean Research for their encouragement and support under the project Past Climate and Oceanic Variability. We thank the National Science Foundation - AMS Facility Arizona, USA and Poznan Radiocarbon Laboratory, Poland for measuring the AMS 14-C dates. The authors thank the Indian Antarctic Program and members of the 33-Indian Scientific Expedition to Antarctica for their help in our field campaign. We thank Prof. Elie Verleyen for providing the diatom and water quality data to perform the diatom transfer function. MBS thanks Rahul Dey for his help in executing the diatom transfer function. We thank two anonymous reviewers and the editor-in-chief for their valuable comments which improved the quality of the manuscript. This is NCPOR Contribution number J-128/2020-21.</t>
  </si>
  <si>
    <t>0341-8162</t>
  </si>
  <si>
    <t>1872-6887</t>
  </si>
  <si>
    <t>Catena</t>
  </si>
  <si>
    <t>10.1016/j.catena.2021.105341</t>
  </si>
  <si>
    <t>Geosciences, Multidisciplinary; Soil Science; Water Resources</t>
  </si>
  <si>
    <t>Geology; Agriculture; Water Resources</t>
  </si>
  <si>
    <t>SH8AF</t>
  </si>
  <si>
    <t>WOS:000654354000040</t>
  </si>
  <si>
    <t>Fromant, G; Le Dantec, N; Perrot, Y; Floc'h, F; Lebourges-Dhaussy, A; Delacourt, C</t>
  </si>
  <si>
    <t>Fromant, Guillaume; Le Dantec, Nicolas; Perrot, Yannick; Floc'h, France; Lebourges-Dhaussy, Anne; Delacourt, Christophe</t>
  </si>
  <si>
    <t>Suspended sediment concentration field quantified from a calibrated MultiBeam EchoSounder</t>
  </si>
  <si>
    <t>APPLIED ACOUSTICS</t>
  </si>
  <si>
    <t>Acoustic backscattering; Multifrequency acoustics; Suspended sediments concentration; Acoustic inversion; MultiBeam EchoSounder</t>
  </si>
  <si>
    <t>WESTERN ANTARCTIC PENINSULA; DOPPLER CURRENT PROFILER; EUPHAUSIID AGGREGATIONS; ZOOPLANKTON BIOMASS; BACKSCATTER; TRANSPORT; SOUND; SCATTERING; ADCP; VARIABILITY</t>
  </si>
  <si>
    <t>Acoustic scattering can be used to estimate Suspended Sediment Concentration (SSC) through acoustic inversion methods. Current SSC quantification methods are mostly unable to observe both spatial and temporal variations. Here, we assess the possibility to measure both using a Multibeam Echosounder (MBES). MBES combine a large spatial covering in the water column and the capability to measure on route', allowing a better representativity of the measurements. Time-series of raw EM3002-MBES data at 300 kHz were acquired during a 5-hours field experiment at a fixed location in the Aulne macrotidal estuary (France) during ebb, ensuring sufficient SSC variations. Concurrently, 4-frequencies Acoustic Backscattering System (ABS) profiles were acquired in the water column, as well as turbidity profiles, further converted into SSC using collected water samples. An original in-situ calibration was performed on the MBES, using a tungsten sphere of known properties, which allowed corrections to be made to the volume backscattered levels over the echosounder fan. Using ABS-derived equivalent radii, the MBES backscattered signal was inverted to retrieve an SSC estimate. Good consistency between MBES time-series observations and turbidity-derived SSC is observed. This experiment demonstrates the potential use of MBES for 3-dimensional turbidity observations in coastal areas, which is of great interest for sediment flux quantification. (C) 2021 The Authors. Published by Elsevier Ltd.</t>
  </si>
  <si>
    <t>[Fromant, Guillaume; Le Dantec, Nicolas; Floc'h, France; Delacourt, Christophe] Inst Univ Europeen Mer, Lab Geosci Ocean UMR 6538, Rue Dumt Urville, F-29280 Plouzane, France; [Fromant, Guillaume] Lab Informat Signal &amp; Image Cote dOpale, 50 Rue Ferdinand Buisson, F-62228 Calais, France; [Le Dantec, Nicolas] Ctr Etud &amp; Expertise Risques &amp; Environm Mobilite, DTecEMF, 134 Rue Beauvais, F-60280 Margny Les Compiegne, France; [Perrot, Yannick; Lebourges-Dhaussy, Anne] Inst Rechercher Dev, Lab &amp; Environm MARin, UMR 6539, F-29280 Plouzane, France</t>
  </si>
  <si>
    <t>Universite de Bretagne Occidentale; Institut Universitaire Europeen de la Mer (IUEM); Centre National de la Recherche Scientifique (CNRS); Ifremer; Institut de Recherche pour le Developpement (IRD); Universite de Bretagne Occidentale; CNRS - Institute of Ecology &amp; Environment (INEE)</t>
  </si>
  <si>
    <t>Fromant, G (corresponding author), Lab Informat Signal &amp; Image Cote dOpale, 50 Rue Ferdinand Buisson, F-62228 Calais, France.</t>
  </si>
  <si>
    <t>guillaume.fromant@univ-littoral.fr</t>
  </si>
  <si>
    <t>delacourt, christophe/A-8240-2008; Le Dantec, Nicolas/G-9529-2013</t>
  </si>
  <si>
    <t>ANR EPURE project [11 CEPL 005 02]; Laboratoire d'Excellence LabexMER [ANR-10-LABX-19]; French government under the program Investissements d'Avenir; Direction Generale de l'Armement (DGA); Centre National de le Recherche Scientifique (CNRS); l'Universite de Bretagne Occidentale (UBO)</t>
  </si>
  <si>
    <t>ANR EPURE project(Agence Nationale de la Recherche (ANR)); Laboratoire d'Excellence LabexMER; French government under the program Investissements d'Avenir(Agence Nationale de la Recherche (ANR)); Direction Generale de l'Armement (DGA)(General Electric); Centre National de le Recherche Scientifique (CNRS)(Centre National de la Recherche Scientifique (CNRS)); l'Universite de Bretagne Occidentale (UBO)</t>
  </si>
  <si>
    <t>This work was conducted in the framework of the ANR EPURE project (Grant 11 CEPL 005 02). This work was also supported by the Laboratoire d'Excellence LabexMER (ANR-10-LABX-19) and co-funded by a grant from the French government under the program Investissements d'Avenir. Contributions from Romain Cancouet, Christophe Martin, Olivier Blanpain, Susanne Moskalsky, Paul Juby and Marcaurelio Franzetti were key to the success of the field measurements. The authors thank the Direction Generale de l'Armement (DGA), the Centre National de le Recherche Scientifique (CNRS), and l'Universite de Bretagne Occidentale (UBO) for funding G.F.'s doctorate. The authors would also like to thank the Institut de la Recherche pour le Developpement (IRD) for the use of their instruments and datasets, and for the help and support of IRD staff both in the office and at sea. Last but not least, we thank the Pole Image team and the R/V Albert Lucas crew for their effective cooperation and support during the field campaigns, with particular attention to Franck Quere, Alban De Araujo, and Daniel Morigeon.</t>
  </si>
  <si>
    <t>0003-682X</t>
  </si>
  <si>
    <t>1872-910X</t>
  </si>
  <si>
    <t>APPL ACOUST</t>
  </si>
  <si>
    <t>Appl. Acoust.</t>
  </si>
  <si>
    <t>10.1016/j.apacoust.2021.108107</t>
  </si>
  <si>
    <t>Acoustics</t>
  </si>
  <si>
    <t>SJ4IC</t>
  </si>
  <si>
    <t>Green Published, Green Submitted, hybrid</t>
  </si>
  <si>
    <t>WOS:000655494800043</t>
  </si>
  <si>
    <t>Cooper, MG; Smith, LC; Rennermalm, AK; Tedesco, M; Muthyala, R; Leidman, SZ; Moustafa, SE; Fayne, JV</t>
  </si>
  <si>
    <t>Cooper, Matthew G.; Smith, Laurence C.; Rennermalm, Asa K.; Tedesco, Marco; Muthyala, Rohi; Leidman, Sasha Z.; Moustafa, Samiah E.; Fayne, Jessica, V</t>
  </si>
  <si>
    <t>Spectral attenuation coefficients from measurements of light transmission in bare ice on the Greenland Ice Sheet</t>
  </si>
  <si>
    <t>CRYOSPHERE</t>
  </si>
  <si>
    <t>SNOW OPTICAL-PROPERTIES; WESTERN ABLATION ZONE; SEA-ICE; SOLAR-RADIATION; ABSORPTION-COEFFICIENTS; SHORTWAVE RADIATION; ANTARCTIC SNOW; GRAIN SHAPE; ARCTIC SNOW; DARK REGION</t>
  </si>
  <si>
    <t>Light transmission into bare glacial ice affects surface energy balance, biophotochemistry, and light detection and ranging (lidar) laser elevation measurements but has not previously been reported for the Greenland Ice Sheet. We present measurements of spectral transmittance at 350900 nm in bare glacial ice collected at a field site in the western Greenland ablation zone (67.15 degrees N, 50.02 degrees W). Empirical irradiance attenuation coefficients at 350-750 nm are similar to 0.9-8.0m(-1) for ice at 12-124 cm depth. The absorption minimum is at similar to 390-397 nm, in agreement with snow transmission measurements in Antarctica and optical mapping of deep ice at the South Pole. From 350-530 nm, our empirical attenuation coefficients are nearly 1 order of magnitude larger than theoretical values for optically pure ice. The estimated absorption coefficient at 400 nm suggests the ice volume contained a light-absorbing particle concentration equivalent to similar to 1-2 parts per billion (ppb) of black carbon, which is similar to pre-industrial values found in remote polar snow. The equivalent mineral dust concentration is similar to 300-600 ppb, which is similar to values for Northern Hemisphere warm periods with low aeolian activity inferred from ice cores. For a layer of quasi-granular white ice (weathering crust) extending from the surface to similar to 10 cm depth, attenuation coefficients are 1.5 to 4 times larger than for deeper bubbly ice. Owing to higher attenuation in this layer of near-surface granular ice, optical penetration depth at 532 nm is 14 cm (20 %) lower than asymptotic attenuation lengths for optically pure bubbly ice. In addition to the traditional concept of light scattering on air bubbles, our results imply that the granular near-surface ice microstructure of weathering crust is an important control on radiative transfer in bare ice on the Greenland Ice Sheet ablation zone, and we provide new values of flux attenuation, absorption, and scattering coefficients to support model development and validation.</t>
  </si>
  <si>
    <t>[Cooper, Matthew G.; Smith, Laurence C.; Fayne, Jessica, V] Univ Calif Los Angeles, Dept Geog, Los Angeles, CA 90027 USA; [Cooper, Matthew G.] Pacific Northwest Natl Lab, Richland, WA 99354 USA; [Smith, Laurence C.; Moustafa, Samiah E.] Brown Univ, Inst Brown Environm &amp; Soc, Providence, RI 02912 USA; [Smith, Laurence C.] Brown Univ, Dept Earth Environm &amp; Planetary Sci, Providence, RI 02912 USA; [Rennermalm, Asa K.; Muthyala, Rohi; Leidman, Sasha Z.] Rutgers State Univ, Dept Geog, New Brunswick, NJ 08854 USA; [Tedesco, Marco] NASA, Goddard Inst Space Studies, New York, NY 10025 USA; [Tedesco, Marco] Columbia Univ, Lamont Doherty Earth Observ, New York, NY 10964 USA</t>
  </si>
  <si>
    <t>University of California System; University of California Los Angeles; United States Department of Energy (DOE); Pacific Northwest National Laboratory; Brown University; Brown University; Rutgers University System; Rutgers University New Brunswick; National Aeronautics &amp; Space Administration (NASA); NASA Goddard Space Flight Center; Goddard Institute for Space Studies; Columbia University</t>
  </si>
  <si>
    <t>Cooper, MG (corresponding author), Univ Calif Los Angeles, Dept Geog, Los Angeles, CA 90027 USA.;Cooper, MG (corresponding author), Pacific Northwest Natl Lab, Richland, WA 99354 USA.</t>
  </si>
  <si>
    <t>guycooper@ucla.edu</t>
  </si>
  <si>
    <t>Rennermalm, Asa K/I-3270-2012; Fayne, Jessica/HPG-2782-2023; Fayne, Jessica/AAR-6166-2021</t>
  </si>
  <si>
    <t>Fayne, Jessica/0000-0003-2352-546X; Fayne, Jessica/0000-0003-2352-546X; Leidman, Sasha/0000-0003-1453-521X; Cooper, Matthew/0000-0002-0165-209X</t>
  </si>
  <si>
    <t>NASA Cryospheric Sciences Program [NNX14AH93G, 80NSSC19K0942]; NASA Earth and Space Science Fellowship Program [80NSSC17K0374]; Polar Field Services</t>
  </si>
  <si>
    <t>NASA Cryospheric Sciences Program(National Aeronautics &amp; Space Administration (NASA)); NASA Earth and Space Science Fellowship Program(National Aeronautics &amp; Space Administration (NASA)); Polar Field Services</t>
  </si>
  <si>
    <t>This project was funded by the NASA Cryospheric Sciences Program (grant nos. NNX14AH93G and 80NSSC19K0942) managed by Thomas P. Wagner and Thorsten Markus and by a graduate fellowship from the NASA Earth and Space Science Fellowship Program (grant no. 80NSSC17K0374) managed by Lin Chambers. Polar Field Services and Kangerlussuaq International Science Support (KISS) provided field logistical support.</t>
  </si>
  <si>
    <t>1994-0416</t>
  </si>
  <si>
    <t>1994-0424</t>
  </si>
  <si>
    <t>Cryosphere</t>
  </si>
  <si>
    <t>APR 21</t>
  </si>
  <si>
    <t>10.5194/tc-15-1931-2021</t>
  </si>
  <si>
    <t>RS1DO</t>
  </si>
  <si>
    <t>gold, Green Submitted</t>
  </si>
  <si>
    <t>WOS:000643525100001</t>
  </si>
  <si>
    <t>Takahashi, KT; Takamura, TR; Odate, T</t>
  </si>
  <si>
    <t>Takahashi, Kunio T.; Takamura, Tomomi R.; Odate, Tsuneo</t>
  </si>
  <si>
    <t>Zooplankton communities along a Southern Ocean monitoring transect at 110° E from three CPR surveys (Dec 2014, Jan 2015, Mar 2015)</t>
  </si>
  <si>
    <t>Zooplankton; Continuous Plankton Recorder (CPR); Copepods; Indicator species</t>
  </si>
  <si>
    <t>Many studies using surface plankton data from the Continuous Plankton Recorder (CPR) have suggested that micro- and meso-sized zooplankton species/taxa can serve as indicators of environmental change. But while regular CPR sampling would allow for the detection of changes in zooplankton communities, few intra-annual CPR surveys have been undertaken along single transects. We report the temporal variability of zooplankton community structure using CPR data collected along the Japanese monitoring transect (110 degrees E) in December 2014, January 2015, and March 2015. We found zooplankton abundances in both the Polar Frontal Zone (PFZ) and Antarctic Zone (AZ) to increase from December to January, and mean AZ abundance to peak abruptly in January (381.9 ind. m(-3)) before decreasing to about 25% of that value in March. We attribute changes in total zooplankton abundance to fluctuations in the numbers of the two small dominant copepods, Oithona similis and Ctenocalanus citer. High AZ phytoplankton concentrations in December likely increased surface food availability, influencing population growth, and/or the timing of copepod seasonal ascension. We recommend future CPR surveys include sampling with finer mesh for more accurate determination of abundances of small-sized zooplankton, to better understand the ramifications of climate change on Southern Ocean trophic structure.</t>
  </si>
  <si>
    <t>[Takahashi, Kunio T.; Takamura, Tomomi R.; Odate, Tsuneo] Natl Inst Polar Res, 10-3 Midori Cho, Tachikawa, Tokyo 1908518, Japan; [Takahashi, Kunio T.; Odate, Tsuneo] SOKENDAI Grad Univ Adv Studies, 10-3 Midori Cho, Tachikawa, Tokyo 1908518, Japan</t>
  </si>
  <si>
    <t>Research Organization of Information &amp; Systems (ROIS); National Institute of Polar Research (NIPR) - Japan; Graduate University for Advanced Studies - Japan</t>
  </si>
  <si>
    <t>Takahashi, KT (corresponding author), Natl Inst Polar Res, 10-3 Midori Cho, Tachikawa, Tokyo 1908518, Japan.;Takahashi, KT (corresponding author), SOKENDAI Grad Univ Adv Studies, 10-3 Midori Cho, Tachikawa, Tokyo 1908518, Japan.</t>
  </si>
  <si>
    <t>takahashi.kunio@nipr.ac.jp</t>
  </si>
  <si>
    <t>National Institute of Polar Research (NIPR) [KP-308]; Japan Society for the Promotion of Science [16H02970]; Science Program of JARE [AMB-0902]; Grants-in-Aid for Scientific Research [16H02970] Funding Source: KAKEN</t>
  </si>
  <si>
    <t>National Institute of Polar Research (NIPR)(National Institute of Polar Research (NIPR) - Japan); Japan Society for the Promotion of Science(Ministry of Education, Culture, Sports, Science and Technology, Japan (MEXT)Japan Society for the Promotion of Science); Science Program of JARE; Grants-in-Aid for Scientific Research(Ministry of Education, Culture, Sports, Science and Technology, Japan (MEXT)Japan Society for the Promotion of ScienceGrants-in-Aid for Scientific Research (KAKENHI))</t>
  </si>
  <si>
    <t>This research was supported in part by the National Institute of Polar Research (NIPR) through Project Research No. KP-308, and a Grant-in-Aid for Science (No. 16H02970) to K.T. Takahashi from the Japan Society for the Promotion of Science. The study is also part of the Science Program of JARE AMB-0902.</t>
  </si>
  <si>
    <t>10.1007/s00300-021-02862-z</t>
  </si>
  <si>
    <t>WOS:000642055800001</t>
  </si>
  <si>
    <t>Mustonen, T; Maxwell, KH; Mustonen, K; Jones, R; Pedersen, H; Nuunoq; Graham, J; Greeno, D; Hugu, S; Fischer, M; Murtomaki, E</t>
  </si>
  <si>
    <t>Mustonen, Tero; Maxwell, Kimberley H.; Mustonen, Kaisu; Jones, Russ; Pedersen, Halfdan; Nuunoq (Per Ole Fredriksen); Graham, Jamie; Greeno, Dean; Hugu, Suteji; Fischer, Mibu; Murtomaki, Eero</t>
  </si>
  <si>
    <t>Who is the ocean? Preface to the future seas 2030 special issue</t>
  </si>
  <si>
    <t>REVIEWS IN FISH BIOLOGY AND FISHERIES</t>
  </si>
  <si>
    <t>Editorial Material</t>
  </si>
  <si>
    <t>[Mustonen, Tero; Mustonen, Kaisu; Murtomaki, Eero] Snowchange Cooperat, Selkie, Finland; [Maxwell, Kimberley H.] Univ Waikato, Environm Res Inst, Tauranga, New Zealand; [Jones, Russ] Haida Nat, Masset, Finland; [Pedersen, Halfdan] Pikkoritta Consult, Aasiaat, Greenland; [Nuunoq (Per Ole Fredriksen)] Pisuna Project, Attu, Greenland; [Graham, Jamie] Univ Tasmania, Inst Marine &amp; Antarctic Studies, Hobart, Tas, Australia; [Greeno, Dean] Univ Tasmania, Coll Arts Law &amp; Educ, Launceston, Tas, Australia; [Greeno, Dean; Fischer, Mibu] Univ Tasmania, Ctr Marine Socioecol, Hobart, Tas, Australia; [Fischer, Mibu] TAO Fdn, Lanyu Isl, Taiwan; [Fischer, Mibu] CSIRO, Mibu Fischer Oceans &amp; Atmosphere, Brisbane, Qld, Australia</t>
  </si>
  <si>
    <t>University of Waikato; University of Tasmania; University of Tasmania; University of Tasmania; Commonwealth Scientific &amp; Industrial Research Organisation (CSIRO)</t>
  </si>
  <si>
    <t>Mustonen, T (corresponding author), Snowchange Cooperat, Selkie, Finland.</t>
  </si>
  <si>
    <t>tero@lumi.fi</t>
  </si>
  <si>
    <t>Fischer, Mibu/0000-0002-1216-3451</t>
  </si>
  <si>
    <t>0960-3166</t>
  </si>
  <si>
    <t>1573-5184</t>
  </si>
  <si>
    <t>REV FISH BIOL FISHER</t>
  </si>
  <si>
    <t>Rev. Fish. Biol. Fish.</t>
  </si>
  <si>
    <t>MAR</t>
  </si>
  <si>
    <t>10.1007/s11160-021-09655-x</t>
  </si>
  <si>
    <t>Fisheries; Marine &amp; Freshwater Biology</t>
  </si>
  <si>
    <t>ZU7BD</t>
  </si>
  <si>
    <t>WOS:000641641500001</t>
  </si>
  <si>
    <t>Giménez, EM; Barrantes, ME; Fernández, DA; Lattuca, ME</t>
  </si>
  <si>
    <t>Gimenez, Eloisa Mariana; Barrantes, Maria Eugenia; Fernandez, Daniel Alfredo; Lattuca, Maria Eugenia</t>
  </si>
  <si>
    <t>Thermal responses of two sub-Antarctic notothenioid fishes, the black southern cod Patagonotothen tessellata (Richardson, 1845) and the Magellan plunderfish Harpagifer bispinis (Forster, 1801), from southern South America</t>
  </si>
  <si>
    <t>Nototheniidae; Harpagiferidae; Patagonia; Thermal tolerance polygons; Acute thermal preferenda; Climate change</t>
  </si>
  <si>
    <t>TEMPERATURE TOLERANCE; CLIMATE-CHANGE; PREFERRED TEMPERATURE; FINAL PREFERENDUM; BEAGLE CHANNEL; MARINE FISHES; ANTIFREEZE; EVOLUTION; ACCLIMATION; MAXIMUM</t>
  </si>
  <si>
    <t>The Notothenioidei are a typical example of stenothermal fishes since most species have evolved and lived in Antarctic waters, where the water temperature is low and stable. This fact enabled them to evolve physiological characteristics related to cold. Nevertheless, some species came out of Antarctic waters a few million years ago and coped with more variable thermal regimes. This work aims to determine the thermal tolerance and preference of two sub-Antarctic notothenioid species found in Southern South America, Patagonotothen tessellata and Harpagifer bispinis, adding valuable information about thermal adaptation mechanisms. Experiments were conducted after exposing their juveniles for three weeks at 4, 7, 10 and 12 degrees C. Their thermal tolerance limits were established using the Critical Thermal Methodology and their acute thermal preferenda, employing a horizontal thermal gradient tank. Fishes acclimated to different exposure temperatures had small to intermediate thermal tolerance polygons (P. tessellata: 593.85 degrees C-2, H. bispinis: 475.40 degrees C-2) and positive relationships between preferred and acclimation temperatures. The Final Temperature Preferenda were estimated to be 14.25 degrees C for P. tessellata and 13.05 degrees C for H. bispinis, allowing to characterize them as cold eurythermal species, with P. tessellata more tolerant to heat and H. bispinis more tolerant to cold. Their different thermal sensitivities are in agreement with their different thermal histories and distributions. In a climate change context, the increase of sea surface temperatures is likely to reduce the northern boundaries of their distributions. Conversely, it can potentially enhance both species' performances at their southernmost distribution limits since those environments are cooler than their maximum thermal tolerances.</t>
  </si>
  <si>
    <t>[Gimenez, Eloisa Mariana; Barrantes, Maria Eugenia; Fernandez, Daniel Alfredo; Lattuca, Maria Eugenia] Ctr Austral Invest Cient CADIC CONICET, Lab Ecol Fisiol &amp; Evoluc Organismos Acuat, V9410BFD, Ushuaia, Argentina; [Fernandez, Daniel Alfredo] Univ Nacl Tierra del Fuego ICPA UNTDF, Inst Ciencias Polares Ambiente &amp; Recursos Nat, V9410BXE, Ushuaia, Argentina; [Lattuca, Maria Eugenia] Univ Tecnol Nacl FRTDF UTN, Fac Reg Tierra del Fuego, V9410KSS, Ushuaia, Argentina</t>
  </si>
  <si>
    <t>Giménez, EM (corresponding author), Ctr Austral Invest Cient CADIC CONICET, Lab Ecol Fisiol &amp; Evoluc Organismos Acuat, V9410BFD, Ushuaia, Argentina.</t>
  </si>
  <si>
    <t>eloisamgimenez@gmail.com; eugebarrantes@gmail.com; dfernandez@untdf.edu.ar; elattuca@gmail.com</t>
  </si>
  <si>
    <t>Giménez, Eloísa/HLH-7592-2023</t>
  </si>
  <si>
    <t>Fernandez, Daniel Alfredo/0000-0002-3367-4138; Gimenez, Eloisa Mariana/0000-0002-4328-2293</t>
  </si>
  <si>
    <t>Consejo Nacional de Investigaciones Cientificas y Tecnicas [PIP 0440, PUE 2016-CADIC]; [ELAC2015/T01-0495]</t>
  </si>
  <si>
    <t>Consejo Nacional de Investigaciones Cientificas y Tecnicas(Consejo Nacional de Investigaciones Cientificas y Tecnicas (CONICET));</t>
  </si>
  <si>
    <t>This work was funded by the Consejo Nacional de Investigaciones Cientificas y Tecnicas (Grant Numbers PIP 0440, and PUE 2016-CADIC) and it contributes to the ERANet-LAC program CLIMAR Climate-driven Changes in the Habitat Suitability of Marine Organisms (ELAC2015/T01-0495).</t>
  </si>
  <si>
    <t>10.1007/s00300-021-02852-1</t>
  </si>
  <si>
    <t>WOS:000642055800002</t>
  </si>
  <si>
    <t>Alexander, SP; McFarquhar, GM; Marchand, R; Protat, A; Vignon, É; Mace, GG; Klekociuk, AR</t>
  </si>
  <si>
    <t>Alexander, S. P.; McFarquhar, G. M.; Marchand, R.; Protat, A.; Vignon, E.; Mace, G. G.; Klekociuk, A. R.</t>
  </si>
  <si>
    <t>Mixed-Phase Clouds and Precipitation in Southern Ocean Cyclones and Cloud Systems Observed Poleward of 64°S by Ship-Based Cloud Radar and Lidar</t>
  </si>
  <si>
    <t>JOURNAL OF GEOPHYSICAL RESEARCH-ATMOSPHERES</t>
  </si>
  <si>
    <t>lidar; mixed-phase clouds; precipitation; radar; Southern Ocean</t>
  </si>
  <si>
    <t>MID-LATITUDE CYCLONES; COMMA HEAD REGION; MICROPHYSICAL PROPERTIES; AIRCRAFT OBSERVATIONS; MICROSCALE STRUCTURE; R/V INVESTIGATOR; LIQUID WATER; PART II; ORGANIZATION; MESOSCALE</t>
  </si>
  <si>
    <t>Mixed-phase clouds (MPCs), composed of both liquid and ice, are prevalent in Southern Ocean cyclones. A characterization of these clouds on fine vertical scales is required in order to understand the microphysical processes within these clouds, and for model and satellite evaluations over this region. We investigated three examples of cloud systems collected by ship-mounted remote-sensing instruments adjacent to East Antarctica at latitudes between 64 degrees S and 69 degrees S. These cases allow us to examine the properties of midlevel MPCs, with cloud tops between 2 and 6 km. Midlevel MPCs contain multiple layers of supercooled liquid water (SLW) embedded within ice during the passage of cyclones. SLW layers are capped by strong temperature inversions and are observed at temperatures as low as -31 degrees C. Convective generating cells (GCs) are present inside supercooled liquid-topped midlevel MPCs. The horizontal extent, vertical extent, and maximum upward Doppler velocity of these GCs were 0.6-3.6 km, 0.7-1.0 km, and 0.5-1.0 m s(-1), respectively, and are consistent with observations from previous lower-latitude studies. Ice precipitation is nearly ubiquitous, except in the thinnest clouds at the trailing end of the observed systems. Seeding of lower SLW layers from above leads to periods with either larger ice particles or greater ice precipitation rates. Periods of supercooled drizzle lasting up to 2 h were observed toward the end of two of the three cyclone systems. This supercooled drizzle turns into predominantly ice precipitation as the result of seeding by ice clouds located above the precipitating SLW layer.</t>
  </si>
  <si>
    <t>[Alexander, S. P.; Klekociuk, A. R.] Australian Antarctic Div, Kingston, Tas, Australia; [Alexander, S. P.; Protat, A.; Klekociuk, A. R.] Univ Tasmania, Australian Antarct Program Partnership, Inst Marine &amp; Antarctic Studies, Hobart, Tas, Australia; [McFarquhar, G. M.] Univ Oklahoma, Cooperat Inst Mesoscale Meteorol Studies, Norman, OK 73019 USA; [McFarquhar, G. M.] Univ Oklahoma, Sch Meteorol, Norman, OK 73019 USA; [Marchand, R.] Univ Washington, Dept Atmospher Sci, Seattle, WA 98195 USA; [Protat, A.] Bur Meteorol, Melbourne, Vic, Australia; [Vignon, E.] Ecole Polytech Fed Lausanne EPFL, Environm Remote Sensing Lab LTE, Lausanne, Switzerland; [Vignon, E.] Sorbone Univ, Lab Meteorol Dynam IPSL, CNRS, Paris, France; [Mace, G. G.] Univ Utah, Dept Atmospher Sci, Salt Lake City, UT USA</t>
  </si>
  <si>
    <t>Australian Antarctic Division; University of Tasmania; University of Oklahoma System; University of Oklahoma - Norman; University of Oklahoma System; University of Oklahoma - Norman; University of Washington; University of Washington Seattle; Bureau of Meteorology - Australia; Swiss Federal Institutes of Technology Domain; Ecole Polytechnique Federale de Lausanne; Centre National de la Recherche Scientifique (CNRS); Sorbonne Universite; Utah System of Higher Education; University of Utah</t>
  </si>
  <si>
    <t>Alexander, SP (corresponding author), Australian Antarctic Div, Kingston, Tas, Australia.;Alexander, SP (corresponding author), Univ Tasmania, Australian Antarct Program Partnership, Inst Marine &amp; Antarctic Studies, Hobart, Tas, Australia.</t>
  </si>
  <si>
    <t>simon.alexander@aad.gov.au</t>
  </si>
  <si>
    <t>McFarquhar, Greg/R-9154-2018; Klekociuk, Andrew/A-4498-2015</t>
  </si>
  <si>
    <t>McFarquhar, Greg/0000-0003-0950-0135; Klekociuk, Andrew/0000-0003-3335-0034; Alexander, Simon/0000-0001-6823-8857; VIGNON, Etienne/0000-0003-3801-9367</t>
  </si>
  <si>
    <t>Australian Antarctic Division through Australian Antarctic Science Projects [4292, 4387]; DoE BER award [DE-SC0018626]; National Environmental Science Program (NESP), Australia; Australian Antarctic Program Partnership (AAPP); U.S. Department of Energy (DOE) [DE-SC0018626] Funding Source: U.S. Department of Energy (DOE)</t>
  </si>
  <si>
    <t>Australian Antarctic Division through Australian Antarctic Science Projects; DoE BER award(United States Department of Energy (DOE)); National Environmental Science Program (NESP), Australia; Australian Antarctic Program Partnership (AAPP); U.S. Department of Energy (DOE)(United States Department of Energy (DOE))</t>
  </si>
  <si>
    <t>Technical, logistical, and ship support for MARCUS were provided by the Australian Antarctic Division through Australian Antarctic Science Projects 4292 and 4387, and we thank Steven Whiteside, Lloyd Symonds, Rick van den Enden, Peter de Vries, Chris Young, and Chris Richards for their assistance. The contribution of GM was supported by DoE BER award DE-SC0018626. The Bureau of Meteorology's contribution to this study was partly funded by the National Environmental Science Program (NESP), Australia, and the Australian Antarctic Program Partnership (AAPP). We thank two anonymous reviewers whose insightful comments helped improve an earlier version of this manuscript.</t>
  </si>
  <si>
    <t>2169-897X</t>
  </si>
  <si>
    <t>2169-8996</t>
  </si>
  <si>
    <t>J GEOPHYS RES-ATMOS</t>
  </si>
  <si>
    <t>J. Geophys. Res.-Atmos.</t>
  </si>
  <si>
    <t>APR 20</t>
  </si>
  <si>
    <t>e2020JD033626</t>
  </si>
  <si>
    <t>10.1029/2020JD033626</t>
  </si>
  <si>
    <t>SW9WJ</t>
  </si>
  <si>
    <t>WOS:000664863900003</t>
  </si>
  <si>
    <t>Brown, MK; Lewis, HG; Kavanagh, AJ; Cnossen, I</t>
  </si>
  <si>
    <t>Brown, M. K.; Lewis, H. G.; Kavanagh, A. J.; Cnossen, I.</t>
  </si>
  <si>
    <t>Future Decreases in Thermospheric Neutral Density in Low Earth Orbit due to Carbon Dioxide Emissions</t>
  </si>
  <si>
    <t>space debris; thermosphere; WACCM-X</t>
  </si>
  <si>
    <t>MESOSPHERE; FIELD; CO2</t>
  </si>
  <si>
    <t>Increasing carbon dioxide causes cooling in the upper atmosphere and a secular decrease in atmospheric density over time. With the use of the Whole Atmospheric Community Climate Model with thermosphere and ionosphere extension (WACCM-X), neutral thermospheric densities up to 500 km have been modeled under increasing carbon dioxide concentrations. Only carbon dioxide and carbon monoxide concentrations are changed between simulations, and solar activity is held low at F-10.7 = 70 throughout. Neutral density decreases through to the year 2100 have been modeled using four carbon dioxide emission scenarios produced by the Intergovernmental Panel on Climate Change (IPCC). The years 1975 and 2005 have also been simulated, which indicated a historic trend of -5.8% change in neutral density per decade. Decreases in the neutral density relative to the year 2000 have been given for increasing ground-level carbon dioxide concentrations. WACCM-X shows there has already been a 17% decrease in neutral densities at 400 km relative to the density in the year 2000. This becomes a 30% reduction at the 50:50 probability threshold of limiting warming to 1.5 degrees C, as set out in the Paris Agreement. A simple orbital propagator has been used to show the impact the decrease in density has on the orbital lifetime of objects traveling through the thermosphere. If the 1.5 degrees C target is met, objects in Low Earth Orbit (LEO) will have orbital lifetimes around 30% longer than comparable objects from the year 2000. Plain Language Summary The atmosphere extends upwards into the lower regions of space. Here, carbon dioxide causes cooling of the atmosphere and a decrease in atmospheric density. These density reductions have been simulated for increasing CO2 concentrations up to an altitude of 500 km by computationally modeling the Earth's atmosphere. For reference, the International Space Station orbits at around 400 km. Density reductions up to the year 2100 have been given for the four CO2 concentration scenarios published by the Intergovernmental Panel on Climate Change (IPCC). The model has shown there has already been a 17% decrease in atmospheric density at an altitude of 400 km since the year 2000. This will reach a maximum of 30% if the Paris Agreement target to limit global warming to 1.5 degrees C is met. Objects in low Earth orbit travel through the thin, upper atmosphere. A reduction in density at these altitudes means a decrease in the amount of atmospheric drag that orbiting objects experience. This increases the amount of time it takes for their orbit to decay. If the 1.5 degrees C target is met, orbital lifetimes will be 30% longer than those in the year 2000. Key Points altitude Thermospheric neutral density at 500 km altitude lowers by over 80% with a high ground-level carbon dioxide concentration of 890 ppm Meeting the 1.5 degrees C Paris Agreement target limits the reduction in neutral density at 400 km since the year 2000 to around 28% Objects in Low Earth Orbit (LEO) will have orbital lifetimes around 30% longer at the 1.5 degrees C target than comparable objects from the year 2000</t>
  </si>
  <si>
    <t>[Brown, M. K.; Lewis, H. G.] Univ Southampton, Fac Engn &amp; Phys Sci, Aeronaut &amp; Astronaut Engn, Boldrewood Innovat Campus, Southampton, Hants, England; [Kavanagh, A. J.; Cnossen, I.] British Antarctic Survey, Cambridge, England</t>
  </si>
  <si>
    <t>University of Southampton; UK Research &amp; Innovation (UKRI); Natural Environment Research Council (NERC); NERC British Antarctic Survey</t>
  </si>
  <si>
    <t>Brown, MK (corresponding author), Univ Southampton, Fac Engn &amp; Phys Sci, Aeronaut &amp; Astronaut Engn, Boldrewood Innovat Campus, Southampton, Hants, England.</t>
  </si>
  <si>
    <t>mkb1g12@soton.ac.uk</t>
  </si>
  <si>
    <t>Cnossen, Ingrid/E-5809-2010</t>
  </si>
  <si>
    <t>Cnossen, Ingrid/0000-0001-6469-7861; Lewis, Hugh/0000-0002-3946-8757; Brown, Matthew/0000-0002-5043-1330</t>
  </si>
  <si>
    <t>Natural Environment Research Council (NERC) [NE/L002531/1]; NERC [NE/R016038/1, NE/R015651/1]; NERC [NE/R015651/1] Funding Source: UKRI</t>
  </si>
  <si>
    <t>Natural Environment Research Council (NERC)(UK Research &amp; Innovation (UKRI)Natural Environment Research Council (NERC)); NERC(UK Research &amp; Innovation (UKRI)Natural Environment Research Council (NERC)); NERC(UK Research &amp; Innovation (UKRI)Natural Environment Research Council (NERC))</t>
  </si>
  <si>
    <t>The authors acknowledge the use of the IRIDIS High Performance Computing Facility, and associated support services at the University of Southampton, in the completion of this work. This work and M. K. Brown is supported by the Natural Environment Research Council (NERC) (NE/L002531/1). A. J. Kavanagh is supported by NERC (NE/R016038/1). I. Cnossen is supported by an Independent Research Fellowship from NERC (NE/R015651/1).</t>
  </si>
  <si>
    <t>e2021JD034589</t>
  </si>
  <si>
    <t>10.1029/2021JD034589</t>
  </si>
  <si>
    <t>Green Published, Green Accepted</t>
  </si>
  <si>
    <t>WOS:000664863900041</t>
  </si>
  <si>
    <t>Wille, JD; Favier, V; Gorodetskaya, IV; Agosta, C; Kittel, C; Beeman, JC; Jourdain, NC; Lenaerts, JTM; Codron, F</t>
  </si>
  <si>
    <t>Wille, Jonathan D.; Favier, Vincent; Gorodetskaya, Irina V.; Agosta, Cecile; Kittel, Christoph; Beeman, Jai Chowdhry; Jourdain, Nicolas C.; Lenaerts, Jan T. M.; Codron, Francis</t>
  </si>
  <si>
    <t>Antarctic Atmospheric River Climatology and Precipitation Impacts</t>
  </si>
  <si>
    <t>Antarctica; atmospheric rivers; climatology; meteorology</t>
  </si>
  <si>
    <t>SURFACE MASS-BALANCE; DRONNING MAUD LAND; WIND-DRIVEN CIRCULATION; ICE-SHEET; SNOW ACCUMULATION; WEST ANTARCTICA; SYNOPTIC-SCALE; PART I; EAST ANTARCTICA; ANNULAR MODES</t>
  </si>
  <si>
    <t>The Antarctic ice sheet (AIS) is sensitive to short-term extreme meteorological events that can leave long-term impacts on the continent's surface mass balance (SMB). We investigate the impacts of atmospheric rivers (ARs) on the AIS precipitation budget using an AR detection algorithm and a regional climate model (Modele Atmospherique Regional) from 1980 to 2018. While ARs and their associated extreme vapor transport are relatively rare events over Antarctic coastal regions (similar to 3 days per year), they have a significant impact on the precipitation climatology. ARs are responsible for at least 10% of total accumulated snowfall across East Antarctica (localized areas reaching 20%) and a majority of extreme precipitation events. Trends in AR annual frequency since 1980 are observed across parts of AIS, most notably an increasing trend in Dronning Maud Land; however, interannual variability in AR frequency is much larger. This AR behavior appears to drive a significant portion of annual snowfall trends across East Antarctica, while controlling the interannual variability of precipitation across most of the AIS. AR landfalls are most likely when the circumpolar jet is highly amplified during blocking conditions in the Southern Ocean. There is a fingerprint of the Southern Annular Mode (SAM) on AR variability in West Antarctica with SAM+ (SAM-) favoring increased AR frequency in the Antarctic Peninsula (Amundsen-Ross Sea coastline). Given the relatively large influence ARs have on precipitation across the continent, it is advantageous for future studies of moisture transport to Antarctica to consider an AR framework especially when considering future SMB changes. Plain Language Summary The Antarctic continent, like many deserts in the world, receives a large percentage of its yearly precipitation from just a few intense precipitation events. Atmospheric rivers (ARs), narrow corridors of intense moisture transporting moisture from low to high latitudes, are commonly associated with heavy rain and snowfall in the midlatitudes like the west coasts of North/South America and Europe. In Antarctica, ARs are rarer with most near-coastal regions in Antarctica experiencing AR conditions a few days per year but still have a major influence on the surface mass balance of the ice sheet. ARs are responsible for 10%-20% of the total snowfall across East Antarctica. Although a modest percentage, this contribution to the snowfall budget is the component that has been driving parts of the positive annual snowfall trends in Dronning Maud and negative trends in Wilkes Land. Also, ARs control the year-to-year variability of precipitation across most of the ice sheet. Given the link between ARs and snowfall accumulation trends, increased future AR activity would result in higher snowfall accumulation on the Antarctic continent and possibly offset some sea-level rise from dynamic ice loss, but this must be considered in balance with increased melting frequency already documented with ARs. Key Points Atmospheric rivers in Antarctica are rare events but are a key contributor to the ice sheet's surface mass balance Their impact on precipitation is most pronounced in East Antarctica where they are responsible for a majority of extreme precipitation events Atmospheric rivers are contributing to modern snowfall trends and controlling overall precipitation variability across Antarctica</t>
  </si>
  <si>
    <t>[Wille, Jonathan D.; Favier, Vincent; Beeman, Jai Chowdhry; Jourdain, Nicolas C.] CNRS UGA IRD GINP, Inst Geosci Environm, St Martin Dheres, France; [Gorodetskaya, Irina V.] Univ Aveiro, CESAM Ctr Environm &amp; Marine Studies, Dept Phys, Aveiro, Portugal; [Agosta, Cecile] LSCE Lab Sci Climat &amp; Environm, Gif Sur Yvette, France; [Kittel, Christoph] Univ Liege, Dept Geog, Lab Climatol, Liege, Belgium; [Lenaerts, Jan T. M.] Univ Colorado, Dept Atmospher &amp; Ocean Sci, Boulder, CO USA; [Codron, Francis] Univ Paris 06, LOCEAN, Paris, France</t>
  </si>
  <si>
    <t>Universidade de Aveiro; CEA; Centre National de la Recherche Scientifique (CNRS); Universite Paris Saclay; University of Liege; University of Colorado System; University of Colorado Boulder; Museum National d'Histoire Naturelle (MNHN); Sorbonne Universite</t>
  </si>
  <si>
    <t>Wille, JD (corresponding author), CNRS UGA IRD GINP, Inst Geosci Environm, St Martin Dheres, France.</t>
  </si>
  <si>
    <t>jonathan.wille@univ-grenoble-alpes.fr</t>
  </si>
  <si>
    <t>Agosta, Cécile/HLQ-5577-2023; Wille, Jonathan/KFQ-5871-2024; Agosta, Cecile/B-9625-2013; Lenaerts, Jan/D-9423-2012; Codron, Francis/F-2719-2014; Jourdain, Nicolas/B-6899-2015; Favier, Vincent/T-1936-2017; Gorodetskaya, Irina/K-1987-2015</t>
  </si>
  <si>
    <t>Agosta, Cecile/0000-0003-4091-1653; Lenaerts, Jan/0000-0003-4309-4011; Kittel, Christoph/0000-0001-6586-9784; Codron, Francis/0000-0001-7038-6189; Wille, Jonathan/0000-0002-3918-5204; Jourdain, Nicolas/0000-0002-1372-2235; Favier, Vincent/0000-0001-6024-9498; Chowdhry Beeman, Jai/0000-0003-1984-4484; Gorodetskaya, Irina/0000-0002-2294-7823</t>
  </si>
  <si>
    <t>Agence Nationale de la Recherche [ANR-20-CE01-0013, ANR-14-CE01-0001, ANR-16-CE01-0011, ANR-15-CE01-0005-01, ANR-15-CE01-0015]; FCT/MCTES [UID/AMB/50017/2019]; Fondation Albert 2 de Monaco under the project Antarctic-Snow (2018-2020); National Science Foundation [1952199]; F.R.S.-FNRS [2.5020.11]; Agence Nationale de la Recherche (ANR) [ANR-15-CE01-0015, ANR-16-CE01-0011, ANR-15-CE01-0005, ANR-20-CE01-0013, ANR-14-CE01-0001] Funding Source: Agence Nationale de la Recherche (ANR)</t>
  </si>
  <si>
    <t>Agence Nationale de la Recherche(Agence Nationale de la Recherche (ANR)); FCT/MCTES(Fundacao para a Ciencia e a Tecnologia (FCT)); Fondation Albert 2 de Monaco under the project Antarctic-Snow (2018-2020); National Science Foundation(National Science Foundation (NSF)); F.R.S.-FNRS(Fonds de la Recherche Scientifique - FNRS); Agence Nationale de la Recherche (ANR)(Agence Nationale de la Recherche (ANR))</t>
  </si>
  <si>
    <t>The authors thank Ambrose Dufour for his assistance in developing the first version of the AR detection algorithm. This study is a part of the PhD project of J. D. Wille conducted at the Universite Grenoble Alpes. The authors acknowledge the support from Agence Nationale de la Recherche, projects ANR-20-CE01-0013 (ARCA), ANR-14-CE01-0001 (ASUMA), ANR-16-CE01-0011 (EAIIST), ANR-15-CE01-0005-01 (TROIS AS) and ANR-15-CE01-0015 (AC-AHC2). I. V. Gorodetskaya thanks FCT/MCTES for the financial support to CESAM (UID/AMB/50017/2019), through national funds. C. Agosta acknowledges the support from Fondation Albert 2 de Monaco under the project Antarctic-Snow (2018-2020). J. T. M. Lenaerts was supported by the National Science Foundation under Award No. 1952199. Computational resources have been provided by the Consortium des Equipements de Calcul Intensif (CECI), funded by the F.R.S.-FNRS under grant no. 2.5020.11. The manuscript was primarily written in the small village of Stiappa, Tuscany while being graciously hosted by Ugo Nanni.</t>
  </si>
  <si>
    <t>e2020JD033788</t>
  </si>
  <si>
    <t>10.1029/2020JD033788</t>
  </si>
  <si>
    <t>WOS:000664863900019</t>
  </si>
  <si>
    <t>De Koker, N; Bekker, A</t>
  </si>
  <si>
    <t>De Koker, Nico; Bekker, Anriette</t>
  </si>
  <si>
    <t>Assessment of ice impact load threshold exceedance in the propulsion shaft of an ice-faring vessel via Bayesian inversion</t>
  </si>
  <si>
    <t>STRUCTURAL HEALTH MONITORING-AN INTERNATIONAL JOURNAL</t>
  </si>
  <si>
    <t>Bayesian inversion; ice-induced propeller loads; inverse problem; probability of failure</t>
  </si>
  <si>
    <t>PROPELLER</t>
  </si>
  <si>
    <t>Ice-induced impact loads on the propeller blades of vessels operating in polar waters represent a notable hazard to ship propulsion systems. Industry guidelines determine the maximum allowable ice-induced propeller moments, but these loads are not practical to measure directly. Recent studies have implemented deterministic inversion methods to determine these impact-induced moments from torque measurements on the propulsion shaft. This study considers this inversion problem from a stochastic perspective. Bayesian inversion is used, first, as a means of determining the optimal regularisation parameters, and second, as an avenue to explore the contributions to uncertainty in the inverted ice loading values due to the linear inversion model. The method is implemented for two sets of shaft-line measurements recorded on the SA Agulhas II, a polar class PC-5 research and supply vessel, via a lumped-mass model for the forward response signal. Using more sophisticated simulation results as prior information for the model uncertainty, it is shown that inverted ice-induced propeller moments around 20% below the industry guideline maximum loading of 1009.9 kN m correspond to a 1% probability of ice-induced moments exceeding this limit. This finding is significant, given the number of propeller impact events for the SA Agulhas II that approached this limit during recent voyages, and highlights the need for considering design specifications for propulsion systems in ice-faring vessels from a risk perspective.</t>
  </si>
  <si>
    <t>[De Koker, Nico] Stellenbosch Univ, Fac Engn, Dept Civil Engn, Cnr Banhoek Rd &amp; Joubert St, ZA-7600 Stellenbosch, South Africa; [Bekker, Anriette] Stellenbosch Univ, Dept Mech &amp; Mechatron Engn, Stellenbosch, South Africa</t>
  </si>
  <si>
    <t>Stellenbosch University; Stellenbosch University</t>
  </si>
  <si>
    <t>De Koker, N (corresponding author), Stellenbosch Univ, Fac Engn, Dept Civil Engn, Cnr Banhoek Rd &amp; Joubert St, ZA-7600 Stellenbosch, South Africa.</t>
  </si>
  <si>
    <t>ndekoker@sun.ac.za</t>
  </si>
  <si>
    <t>De Koker, Nico/AAB-4754-2020</t>
  </si>
  <si>
    <t>De Koker, Nico/0000-0002-5011-1935</t>
  </si>
  <si>
    <t>National Research Foundation (NRF) through the South African National Antarctic Programme [SNA14072479895]</t>
  </si>
  <si>
    <t>National Research Foundation (NRF) through the South African National Antarctic Programme</t>
  </si>
  <si>
    <t>The author(s) disclosed receipt of the following financial support for the research, authorship and/or publication of this article: The financial assistance of the National Research Foundation (NRF) through the South African National Antarctic Programme (Grant No. SNA14072479895) is gratefully acknowledged.</t>
  </si>
  <si>
    <t>SAGE PUBLICATIONS LTD</t>
  </si>
  <si>
    <t>LONDON</t>
  </si>
  <si>
    <t>1 OLIVERS YARD, 55 CITY ROAD, LONDON EC1Y 1SP, ENGLAND</t>
  </si>
  <si>
    <t>1475-9217</t>
  </si>
  <si>
    <t>1741-3168</t>
  </si>
  <si>
    <t>STRUCT HEALTH MONIT</t>
  </si>
  <si>
    <t>Struct. Health Monit.</t>
  </si>
  <si>
    <t>10.1177/14759217211004232</t>
  </si>
  <si>
    <t>Engineering, Multidisciplinary; Instruments &amp; Instrumentation</t>
  </si>
  <si>
    <t>Engineering; Instruments &amp; Instrumentation</t>
  </si>
  <si>
    <t>0Q2SM</t>
  </si>
  <si>
    <t>WOS:000656003500001</t>
  </si>
  <si>
    <t>Stöhr, S; O'hara, TD</t>
  </si>
  <si>
    <t>Stohr, Sabine; O'hara, Timothy D.</t>
  </si>
  <si>
    <t>Deep-sea Ophiuroidea (Echinodermata) from the Danish Galathea II Expedition, 1950?52, with taxonomic revisions</t>
  </si>
  <si>
    <t>ZOOTAXA</t>
  </si>
  <si>
    <t>Brittle stars; taxonomy; morphology; biogeography</t>
  </si>
  <si>
    <t>The brittle star samples collected by the Danish cruise ?Galathea II? (1950?52) had not been studied completely. We examined the remaining deep-sea samples (&gt;400 m) and present the species inventory, discussing taxonomic issues in relation to recent phylogenetic data. About 235 samples were examined, over 9,300 individuals, from 67 species and 74 sampling localities, at depths of 425?5340 m. The species complex Amphiophiura bullata (Thomson, 1877) is morphologically not well separated, but molecular data suggest at least two clades. We propose to apply A. bullata for Atlantic and Australian populations and A. convexa (Lyman, 1878) for the North Pacific clade. We consider A. bullata pacifica Litvinova, 1971 conspecific with A. convexa. Ophiuroglypha irrorata (Lyman, 1878) and its subspecies are a polyphyletic group with unclear morphological boundaries. We propose to transfer Ophiura ossiculata (Koehler, 1908), Ophiura plana (L?tken &amp; Mortensen, 1899) and Ophiura scomba Paterson, 1985 to Ophiuroglypha. Silax Fell, 1962, until now synonymised with Amphioplus Verrill, 1899, is proposed as a valid genus with the species S. verrilli (Lyman, 1879), S. consors (Koehler, 1908), S. daleus (Lyman, 1879), S. patulus (Lyman, 1879) and S. magnificus (Koehler, 1907). Triplodia Turner &amp; Hallen, 2011 (a replacement name for Triodia A. M. Clark, 1970, due to homonymy) is synonymised with Silax, and possible specimens of its type species Triodia abdita A. M. Clark, 1970 are analysed. The species limits of Ophiacantha cosmica Lyman, 1879 and Ophiacantha pacifica L?tken &amp; Mortensen, 1899 could not be confirmed morphologically, but published molecular data suggest two clades. We propose to apply O. pacifica to the Northern/ Central Pacific population and O. cosmica to the Southern Pacific/Antarctic population.</t>
  </si>
  <si>
    <t>[Stohr, Sabine] Swedish Museum Nat Hist, Dept Zool, Box 50007, S-10405 Stockholm, Sweden; [O'hara, Timothy D.] Museums Victoria, Sci, GPO Box 666, Melbourne, Vic 3000, Australia</t>
  </si>
  <si>
    <t>Swedish Museum of Natural History; Melbourne Genomics Health Alliance</t>
  </si>
  <si>
    <t>Stöhr, S (corresponding author), Swedish Museum Nat Hist, Dept Zool, Box 50007, S-10405 Stockholm, Sweden.</t>
  </si>
  <si>
    <t>sabine.stohr@nrm.se; tohara@museum.vic.gov.au</t>
  </si>
  <si>
    <t>Stohr, Sabine/0000-0002-2586-7239; O'Hara, Timothy/0000-0003-0885-6578</t>
  </si>
  <si>
    <t>Synthesys grant [DK-TAF-2551]; Census of Marine Life</t>
  </si>
  <si>
    <t>Synthesys grant; Census of Marine Life</t>
  </si>
  <si>
    <t>Part of this project was financed by Synthesys grant DK-TAF-2551 to S. Stohr and Census of Marine Life funding to T. O'Hara. Thank you to Dany Eibye-Jacobsen and Jorgen Olesen for providing access to the ophiuroid collections at the Natural History Museum in Copenhagen. Many thanks to Tom Schiotte for assistance, providing catalogue numbers and facilitating a loan of specimens. Adam Baldinger, Museum of Comparative Zoology, Harvard, kindly searched the collections for the holotype of Triodia abdita. We appreciate the feedback from Ben Thuy and an anonymous reviewer, which has helped to improve the manuscript.</t>
  </si>
  <si>
    <t>MAGNOLIA PRESS</t>
  </si>
  <si>
    <t>AUCKLAND</t>
  </si>
  <si>
    <t>PO BOX 41383, AUCKLAND, ST LUKES 1030, NEW ZEALAND</t>
  </si>
  <si>
    <t>1175-5326</t>
  </si>
  <si>
    <t>1175-5334</t>
  </si>
  <si>
    <t>Zootaxa</t>
  </si>
  <si>
    <t>10.11646/zootaxa.4963.3.6</t>
  </si>
  <si>
    <t>RQ0AP</t>
  </si>
  <si>
    <t>WOS:000642083000001</t>
  </si>
  <si>
    <t>Ermilov, SG; Hugo-Coetzee, EA; Behan-Pelletier, VM</t>
  </si>
  <si>
    <t>Ermilov, Sergey G.; Hugo-Coetzee, Elizabeth A.; Behan-Pelletier, Valerie M.</t>
  </si>
  <si>
    <t>Hogsbackia africaensis gen. nov., sp. nov. (Acari, Oribatida, Ceratozetoidea, Punctoribatidae), from Afromontane forest of South Africa</t>
  </si>
  <si>
    <t>Ceratozetoidea; systematics; morphology; Afrotropical montane forest</t>
  </si>
  <si>
    <t>MITES ACARI; AFROLEIUS MAHUNKA; MYCOBATIDAE; KNOWLEDGE; ISLANDS</t>
  </si>
  <si>
    <t>A new oribatid mite genus, Hogsbackia gen. nov. (Oribatida, Punctoribatidae), with type species Hogsbackia africaensis sp. nov., is proposed and described from the indigenous Afromontane forest of South Africa. The new genus is closely related to Scotiazetes, from which it is most easily distinguished by body size ratio, number of notogastral and genital setae, type of humeral porose area Ah, position of dorsophragmata, and leg setation. The redescription of Scotiazetes bidens Wallwork, 1966 is presented, based on material from South Georgia (Antarctic region). The generic diagnosis of Scotiazetes is revised, and the genus is transferred from Ceratozetidae to Punctoribatidae. Relationships between the genera Hogsbackia gen. nov., Scotiazetes and other punctoribatid genera are discussed.</t>
  </si>
  <si>
    <t>[Ermilov, Sergey G.] Tyumen State Univ, Inst Environm &amp; Agr Biol X BIO, Tyumen, Russia; [Hugo-Coetzee, Elizabeth A.] Natl Museum, Bloemfontein, South Africa; [Hugo-Coetzee, Elizabeth A.] Univ Free State, Bloemfontein, South Africa; [Behan-Pelletier, Valerie M.] Agr &amp; Agri Food Canada, Res Branch, Invertebrate Biodivers Program, KW Neatby Bldg, Ottawa, ON, Canada</t>
  </si>
  <si>
    <t>Tyumen State University; University of the Free State; Agriculture &amp; Agri Food Canada</t>
  </si>
  <si>
    <t>Ermilov, SG (corresponding author), Tyumen State Univ, Inst Environm &amp; Agr Biol X BIO, Tyumen, Russia.</t>
  </si>
  <si>
    <t>ermilovacari@yandex.ru; lhugo@nasmus.co.za; behanpv@gmail.com</t>
  </si>
  <si>
    <t>Hugo-Coetzee, Elizabeth/0000-0003-0525-9049</t>
  </si>
  <si>
    <t>Russian Foundation for Basic Research [18-04-00096A]</t>
  </si>
  <si>
    <t>The authors thank Dr. Alexander A. Khaustov, Vladimir A. Khaustov (Tyumen State University, Tyumen, Russia) and Jan Andries Neethling (National Museum, South Africa) for helping with fieldwork; Josef Stary (Biology Centre v.v.i., Czech Academy of Sciences, Institute of Soil Biology, Ceske Budejovice, Czech Republic) for sending specimens of Scotiazetes bidens from his personal collection; and two anonymous reviewers for valuable comments. Permission to sample in Hogsback State Forest was granted by the Department of Agriculture, Forestry and Fisheries (DAFF). The study was funded by the Russian Foundation for Basic Research according to the research project No 18-04-00096A.</t>
  </si>
  <si>
    <t>250F Marua Road Mt Wellington, AUCKLAND, ST LUKES 1023, NEW ZEALAND</t>
  </si>
  <si>
    <t>10.11646/zootaxa.4963.3.7</t>
  </si>
  <si>
    <t>WOS:000642083000002</t>
  </si>
  <si>
    <t>Li, SR; Huang, G; Li, XC; Liu, JP; Fan, GZ</t>
  </si>
  <si>
    <t>Li, Sirui; Huang, Gang; Li, Xichen; Liu, Jiping; Fan, Guangzhou</t>
  </si>
  <si>
    <t>An Assessment of the Antarctic Sea Ice Mass Budget Simulation in CMIP6 Historical Experiment</t>
  </si>
  <si>
    <t>Antarctic Sea ice; uncertainty; climate models; CMIP6; mass budget</t>
  </si>
  <si>
    <t>TRENDS; BALANCE; EXTENT; COVER</t>
  </si>
  <si>
    <t>The sea ice formation and dissipation processes are complicated and involve many factors and mechanisms, from the basal growth/melting, the frazil ice formation, the snow ice processes to the dynamic process, etc. The contribution of different factors to the sea ice extent among different models over the Antarctic region has not been systematically evaluated. In this study, we evaluate and quantify the uncertainties of different contributors to the Antarctic Sea ice mass budget among 15 models from the Coupled Model Intercomparison Project Phase 6 (CMIP6). Results show that the simulated total Antarctic Sea ice mass budget is primarily adjusted by the basal growth/melting terms, the frazil ice formation term and the snow-ice term, whereas the top melting terms, the lateral melting terms, the dynamic process and the evaporation process play secondary roles. In addition, while recent studies indicated that the contributors of the Arctic Sea ice formation/dissipation processes show strong coherency among different CMIP models, our results revealed a significant model diversity over the Antarctic region, indicating that the uncertainties of the sea ice formation and dissipation are still considerable in these state-of-the-art climate models. The largest uncertainties appear in the snow ice formation, the basal melting and the top melting terms, whose spread among different models is of the same order of magnitude as the multi-model mean. In some models, large positive bias in the snow ice terms may neutralize the strong negative bias of the basal/top melting terms, resulting in a similar value of the total Antarctic Sea ice area compared with other models, yet with an inaccurate physical process. The uncertainties in these Antarctic Sea ice formation/dissipation terms highlight the importance of further improving the sea ice dynamical and parameterization processes in the state-of-the-art models.</t>
  </si>
  <si>
    <t>[Li, Sirui; Fan, Guangzhou] Chengdu Univ Informat Technol, Coll Atmospher Sci, Chengdu, Peoples R China; [Li, Sirui; Huang, Gang; Liu, Jiping] Chinese Acad Sci, Inst Atmospher Phys, State Key Lab Numer Modeling Atmospher Sci &amp; Geop, Beijing, Peoples R China; [Huang, Gang; Li, Xichen; Liu, Jiping] Univ Chinese Acad Sci, Beijing, Peoples R China; [Li, Xichen] Chinese Acad Sci, Inst Atmospher Phys, Int Ctr Climate &amp; Environm Sci, Beijing, Peoples R China</t>
  </si>
  <si>
    <t>Chengdu University of Information Technology; Chinese Academy of Sciences; Institute of Atmospheric Physics, CAS; Chinese Academy of Sciences; University of Chinese Academy of Sciences, CAS; Chinese Academy of Sciences; Institute of Atmospheric Physics, CAS</t>
  </si>
  <si>
    <t>Huang, G (corresponding author), Chinese Acad Sci, Inst Atmospher Phys, State Key Lab Numer Modeling Atmospher Sci &amp; Geop, Beijing, Peoples R China.;Huang, G; Li, XC (corresponding author), Univ Chinese Acad Sci, Beijing, Peoples R China.;Li, XC (corresponding author), Chinese Acad Sci, Inst Atmospher Phys, Int Ctr Climate &amp; Environm Sci, Beijing, Peoples R China.</t>
  </si>
  <si>
    <t>hg@mail.iap.ac.cn; lixichen@mail.iap.ac.cn</t>
  </si>
  <si>
    <t>huang, gang/D-6427-2012; Li, Xichen/ISB-4663-2023</t>
  </si>
  <si>
    <t>huang, gang/0000-0002-8692-7856;</t>
  </si>
  <si>
    <t>National Key R&amp;D Program of China [2018YFA0605904]; Key Deployment Project of Centre for Ocean Mega-Research of Science, Chinese Academy of Sciences [COMS2019Q03, 2019QZKK0102]; National Natural Science Foundation of China [41831175, 91937302, 41721004]</t>
  </si>
  <si>
    <t>National Key R&amp;D Program of China; Key Deployment Project of Centre for Ocean Mega-Research of Science, Chinese Academy of Sciences; National Natural Science Foundation of China(National Natural Science Foundation of China (NSFC))</t>
  </si>
  <si>
    <t>This work was supported by the National Key R&amp;D Program of China (2018YFA0605904), Key Deployment Project of Centre for Ocean Mega-Research of Science, Chinese Academy of Sciences (COMS2019Q03), STEP (2019QZKK0102), and the National Natural Science Foundation of China (41831175, 91937302, and 41721004).</t>
  </si>
  <si>
    <t>10.3389/feart.2021.649743</t>
  </si>
  <si>
    <t>RX4RY</t>
  </si>
  <si>
    <t>WOS:000647213300001</t>
  </si>
  <si>
    <t>Fiddes, SL; Woodhouse, MT; Lane, TP; Schofield, R</t>
  </si>
  <si>
    <t>Fiddes, Sonya L.; Woodhouse, Matthew T.; Lane, Todd P.; Schofield, Robyn</t>
  </si>
  <si>
    <t>Coral-reef-derived dimethyl sulfide and the climatic impact of the loss of coral reefs</t>
  </si>
  <si>
    <t>ATMOSPHERIC CHEMISTRY AND PHYSICS</t>
  </si>
  <si>
    <t>GREAT-BARRIER-REEF; ATMOSPHERIC DIMETHYLSULFIDE; OCEANIC PHYTOPLANKTON; SULFUR; DMS; MODEL; EMISSIONS; CLOUD; SEA; PRECIPITATION</t>
  </si>
  <si>
    <t>Dimethyl sulfide (DMS) is a naturally occurring aerosol precursor gas which plays an important role in the global sulfur budget, aerosol formation and climate. While DMS is produced predominantly by phytoplankton, recent observational literature has suggested that corals and their symbionts produce a comparable amount of DMS, which is unaccounted for in models. It has further been hypothesised that the coral reef source of DMS may modulate regional climate. This hypothesis presents a particular concern given the current threat to coral reefs under anthropogenic climate change. In this paper, a global climate model with online chemistry and aerosol is used to explore the influence of coral-reef-derived DMS on atmospheric composition and climate. A simple representation of coral-reef-derived DMS is developed and added to a common DMS surface water climatology, resulting in an additional flux of 0.3 Tg yr(-1) S, or 1.7% of the global sulfur flux from DMS. By comparing the differences between both nudged and free-running ensemble simulations with and without coral-reef-derived DMS, the influence of coral-reef-derived DMS on regional climate is quantified. In the Maritime Continent-Australian region, where the highest density of coral reefs exists, a small decrease in nucleation- and Aitken-mode aerosol number concentration and mass is found when coral reef DMS emissions are removed from the system. However, these small responses are found to have no robust effect on regional climate via direct and indirect aerosol effects. This work emphasises the complexities of the aerosol-climate system, and the limitations of current modelling capabilities are highlighted, in particular surrounding convective responses to changes in aerosol. In conclusion, we find no robust evidence that coral-reef-derived DMS influences global and regional climate.</t>
  </si>
  <si>
    <t>[Fiddes, Sonya L.] Univ Melbourne, Australian German Climate &amp; Energy Coll, Parkville, Vic, Australia; [Fiddes, Sonya L.] Univ Melbourne, ARC Ctr Excellence Climate Syst Sci, Sch Earth Sci, Parkville, Vic, Australia; [Fiddes, Sonya L.; Woodhouse, Matthew T.] CSIRO, Climate Sci Ctr, Oceans &amp; Atmosphere, Aspendale, Vic, Australia; [Lane, Todd P.; Schofield, Robyn] Univ Melbourne, ARC Ctr Excellence Climate Extremes, Sch Earth Sci, Parkville, Vic, Australia; [Fiddes, Sonya L.] Univ Tasmania, Inst Marine &amp; Antarctic Studies, Australian Antarctic Program Partnership, Hobart, Tas, Australia</t>
  </si>
  <si>
    <t>University of Melbourne; University of Melbourne; Commonwealth Scientific &amp; Industrial Research Organisation (CSIRO); University of Melbourne; University of Tasmania</t>
  </si>
  <si>
    <t>Fiddes, SL (corresponding author), Univ Melbourne, Australian German Climate &amp; Energy Coll, Parkville, Vic, Australia.;Fiddes, SL (corresponding author), Univ Melbourne, ARC Ctr Excellence Climate Syst Sci, Sch Earth Sci, Parkville, Vic, Australia.;Fiddes, SL (corresponding author), CSIRO, Climate Sci Ctr, Oceans &amp; Atmosphere, Aspendale, Vic, Australia.;Fiddes, SL (corresponding author), Univ Tasmania, Inst Marine &amp; Antarctic Studies, Australian Antarctic Program Partnership, Hobart, Tas, Australia.</t>
  </si>
  <si>
    <t>sonya.fiddes@utas.edu.au</t>
  </si>
  <si>
    <t>Fiddes, Sonya L./HKM-5559-2023; Schofield, Robyn/A-4062-2010; Fiddes, Sonya/ABA-7818-2020; Woodhouse, Matthew/E-4808-2013; Lane, Todd/A-8804-2011</t>
  </si>
  <si>
    <t>Fiddes, Sonya L./0000-0002-2752-0845; Schofield, Robyn/0000-0002-4230-717X; Fiddes, Sonya/0000-0002-2752-0845; Woodhouse, Matthew/0000-0002-9892-4492; Lane, Todd/0000-0003-0171-6927</t>
  </si>
  <si>
    <t>Australian Research Council Centre of Excellence for Climate System Science [CE110001028]; Australian Research Council (ARC) Centre of Excellence for Climate Extremes [CE170100023]; ARC Discovery Project: Great Barrier Reef as a significant source of climatically relevant aerosol particles [DP150101649]; ARC Discovery project: Tackling Atmospheric Chemistry Grand Challenges in the Southern Hemisphere [DP160101598]</t>
  </si>
  <si>
    <t>Australian Research Council Centre of Excellence for Climate System Science(Australian Research Council); Australian Research Council (ARC) Centre of Excellence for Climate Extremes(Australian Research Council); ARC Discovery Project: Great Barrier Reef as a significant source of climatically relevant aerosol particles; ARC Discovery project: Tackling Atmospheric Chemistry Grand Challenges in the Southern Hemisphere(Australian Research Council)</t>
  </si>
  <si>
    <t>This research has been supported by the Australian Research Council Centre of Excellence for Climate System Science (grant no. CE110001028), the Australian Research Council (ARC) Centre of Excellence for Climate Extremes (grant no. CE170100023), the ARC Discovery Project: Great Barrier Reef as a significant source of climatically relevant aerosol particles (grant no. DP150101649) and the ARC Discovery project: Tackling Atmospheric Chemistry Grand Challenges in the Southern Hemisphere (grant no. DP160101598).</t>
  </si>
  <si>
    <t>1680-7316</t>
  </si>
  <si>
    <t>1680-7324</t>
  </si>
  <si>
    <t>ATMOS CHEM PHYS</t>
  </si>
  <si>
    <t>Atmos. Chem. Phys.</t>
  </si>
  <si>
    <t>10.5194/acp-21-5883-2021</t>
  </si>
  <si>
    <t>RQ0LR</t>
  </si>
  <si>
    <t>Green Submitted, Green Accepted, gold</t>
  </si>
  <si>
    <t>WOS:000642112300001</t>
  </si>
  <si>
    <t>Bognar, K; Alwarda, R; Strong, K; Chipperfield, MP; Dhomse, SS; Drummond, JR; Feng, WH; Fioletov, V; Goutail, F; Herrera, B; Manney, GL; McCullough, EM; Millán, LF; Pazmino, A; Walker, KA; Wizenberg, T; Zhao, XY</t>
  </si>
  <si>
    <t>Bognar, Kristof; Alwarda, Ramina; Strong, Kimberly; Chipperfield, Martyn P.; Dhomse, Sandip S.; Drummond, James R.; Feng, Wuhu; Fioletov, Vitali; Goutail, Florence; Herrera, Beatriz; Manney, Gloria L.; McCullough, Emily M.; Millan, Luis F.; Pazmino, Andrea; Walker, Kaley A.; Wizenberg, Tyler; Zhao, Xiaoyi</t>
  </si>
  <si>
    <t>Unprecedented Spring 2020 Ozone Depletion in the Context of 20 Years of Measurements at Eureka, Canada</t>
  </si>
  <si>
    <t>Arctic; Eureka; PEARL; stratospheric ozone depletion</t>
  </si>
  <si>
    <t>ARCTIC WINTER 2010/2011; ANTARCTIC OZONE; STRATOSPHERIC OZONE; TRANSPORT; CHEMISTRY; LIDAR; SPECTROPHOTOMETER; DENITRIFICATION; SPECTROMETER; CLIMATOLOGY</t>
  </si>
  <si>
    <t>In the winter and spring of 2019/2020, the unusually cold, strong, and stable polar vortex created favorable conditions for ozone depletion in the Arctic. Chemical ozone loss started earlier than in any previous year in the satellite era and continued until late March, resulting in the unprecedented reduction of the ozone column. The vortex was located above the Polar Environment Atmospheric Research Laboratory in Eureka, Canada (80 degrees N, 86 degrees W) from late February to the end of April, presenting an excellent opportunity to examine ozone loss from a single ground station. Measurements from a suite of instruments show that total column ozone was at an all-time low in the 20-year data set, 22-102 DU below previous records set in 2011. Ozone minima (&lt;200 DU), enhanced OClO and BrO slant columns, and unusually low-HCl, ClONO2, and HNO3 columns were observed in March. Polar stratospheric clouds were present as late as 20 March, and ozonesondes show unprecedented depletion in the March and April profiles (to &lt;0.2 ppmv). While both chemical and dynamical factors lead to reduced ozone when the vortex is cold, the contribution of chemical depletion (based on the variable correlation of ozone and temperature) was exceptional in spring 2020 when compared to typical Arctic winters. Mean chemical ozone loss over Eureka was estimated to be 111-126 DU (27%-31%) using April measurements and passive ozone from the SLIMCAT chemical transport model. While absolute ozone loss was generally smaller in 2020 than in 2011, percentage ozone loss was greater in 2020. Plain Language Summary While an ozone hole forms over Antarctica every year, the Arctic typically does not experience such dramatic ozone loss. The chlorine and bromine (halogen) reactions that destroy ozone require very low temperatures that are rarely observed in the Arctic stratosphere. The winter and spring of 2019/2020, however, was unusually cold in the Arctic, and consequently, a large amount of ozone was destroyed by halogen chemistry. To understand the behavior of ozone in spring 2020, we use measurements from the Polar Environment Atmospheric Research Laboratory in Eureka, Canada. Eureka (at 80 degrees N) is one of the northernmost research stations in the world, and thus an ideal location to observe ozone loss. Spring 2020 ozone minima were lower than any in the 20-year data set, and ozone destruction was ongoing until the end of March, which is rare in the Arctic. While ozone concentrations are largely determined by circulation patterns in the Arctic stratosphere, chemistry in spring 2020 was a much larger factor than usual. Halogen chemistry destroyed 27%-31% of the total ozone, compared to about 10% in a typical winter. The only year on record with comparable ozone loss is 2011, and a larger percentage of the ozone column was lost in 2020. Key Points Record low ozone columns (&lt;200 DU) were observed over Eureka in spring 2020 Limited dynamical resupply of ozone and chemical destruction both contributed to reduced ozone columns Mean chemical ozone loss of 111-126 DU (27%-31%) represents similar absolute loss and greater relative loss compared to that in spring 2011</t>
  </si>
  <si>
    <t>[Bognar, Kristof; Alwarda, Ramina; Strong, Kimberly; Herrera, Beatriz; Walker, Kaley A.; Wizenberg, Tyler] Univ Toronto, Dept Phys, Toronto, ON, Canada; [Chipperfield, Martyn P.; Dhomse, Sandip S.; Feng, Wuhu] Univ Leeds, Sch Earth &amp; Environm, Leeds, W Yorkshire, England; [Chipperfield, Martyn P.; Dhomse, Sandip S.] Univ Leeds, Natl Ctr Earth Observat, Leeds, W Yorkshire, England; [Drummond, James R.; McCullough, Emily M.] Dalhousie Univ, Dept Phys &amp; Atmospher Sci, Halifax, NS, Canada; [Feng, Wuhu] Univ Leeds, Natl Ctr Atmospher Sci, Leeds, W Yorkshire, England; [Fioletov, Vitali; Zhao, Xiaoyi] Environm &amp; Climate Change Canada, Air Qual Res Div, Toronto, ON, Canada; [Goutail, Florence; Pazmino, Andrea] Sorbonne Univ, UVSQ Univ Paris Saclay, LATMOS, IPSL,CNRS, Guyancourt, France; [Manney, Gloria L.] Northwest Res Associates, Socorro, NM USA; [Manney, Gloria L.] New Mexico Inst Min &amp; Technol, Dept Phys, Socorro, NM 87801 USA; [Millan, Luis F.] CALTECH, Jet Prop Lab, Pasadena, CA USA</t>
  </si>
  <si>
    <t>University of Toronto; University of Leeds; University of Leeds; Dalhousie University; University of Leeds; UK Research &amp; Innovation (UKRI); Natural Environment Research Council (NERC); NERC National Centre for Atmospheric Science; Environment &amp; Climate Change Canada; Universite Paris Cite; Sorbonne Universite; Universite Paris Saclay; Centre National de la Recherche Scientifique (CNRS); NorthWest Research Associates; New Mexico Institute of Mining Technology; California Institute of Technology; National Aeronautics &amp; Space Administration (NASA); NASA Jet Propulsion Laboratory (JPL)</t>
  </si>
  <si>
    <t>Bognar, K; Strong, K (corresponding author), Univ Toronto, Dept Phys, Toronto, ON, Canada.</t>
  </si>
  <si>
    <t>kbognar@atmosp.physics.utoronto.ca; strong@atmosp.physics.utoronto.ca</t>
  </si>
  <si>
    <t>Dhomse, Sandip/C-8198-2011; Chipperfield, Martyn/H-6359-2013; Millan, Luis/J-2759-2015; Manney, Gloria/JED-7207-2023; Strong, Kimberly/D-2563-2012</t>
  </si>
  <si>
    <t>Dhomse, Sandip/0000-0003-3854-5383; Chipperfield, Martyn/0000-0002-6803-4149; Strong, Kimberly/0000-0001-9947-1053; Feng, Wuhu/0000-0002-9907-9120; Herrera Gutierrrez, Beatriz Adriana/0000-0002-2293-9540; Wizenberg, Tyler/0000-0002-8240-8610; Bognar, Kristof/0000-0003-4619-2020</t>
  </si>
  <si>
    <t>Atlantic Innovation Fund/Nova Scotia Research Innovation Trust; Canada Foundation for Innovation; Canadian Foundation for Climate and Atmospheric Sciences (CFCAS); Canadian Space Agency (CSA); Environment and Climate Change Canada (ECCC); Government of Canada International Polar Year funding; Natural Sciences and Engineering Research Council (NSERC); Northern Scientific Training Program (NSTP); Ontario Innovation Trust; Polar Continental Shelf Program; Ontario Research Fund; CSA; NSERC; NSTP; ECCC; Centre for Global Change Science; CFCAS; NSERC CREATE Training Program in Arctic Atmospheric Science; Arctic Validation and Training for Atmospheric Research in Space program - CSA; ECCC's GC program; Centre National D'Etudes Spatiales; National Aeronautics and Space Administration; NERC SISLAC project [NE/R001782/1]; NERC [NE/R001782/1] Funding Source: UKRI</t>
  </si>
  <si>
    <t>Atlantic Innovation Fund/Nova Scotia Research Innovation Trust; Canada Foundation for Innovation(Canada Foundation for InnovationCGIARSpanish Government); Canadian Foundation for Climate and Atmospheric Sciences (CFCAS); Canadian Space Agency (CSA)(Canadian Space Agency); Environment and Climate Change Canada (ECCC); Government of Canada International Polar Year funding; Natural Sciences and Engineering Research Council (NSERC)(Natural Sciences and Engineering Research Council of Canada (NSERC)); Northern Scientific Training Program (NSTP); Ontario Innovation Trust; Polar Continental Shelf Program; Ontario Research Fund; CSA; NSERC(Natural Sciences and Engineering Research Council of Canada (NSERC)); NSTP; ECCC; Centre for Global Change Science; CFCAS; NSERC CREATE Training Program in Arctic Atmospheric Science(European Research Council (ERC)); Arctic Validation and Training for Atmospheric Research in Space program - CSA; ECCC's GC program; Centre National D'Etudes Spatiales(Centre National D'etudes Spatiales); National Aeronautics and Space Administration(National Aeronautics &amp; Space Administration (NASA)); NERC SISLAC project; NERC(UK Research &amp; Innovation (UKRI)Natural Environment Research Council (NERC))</t>
  </si>
  <si>
    <t>The 2006-2020 UT-GBS, PEARL-GBS, SAOZ, FTIR, and CRL measurements were made at PEARL by CANDAC. CANDAC has been supported by the Atlantic Innovation Fund/Nova Scotia Research Innovation Trust, Canada Foundation for Innovation, Canadian Foundation for Climate and Atmospheric Sciences (CFCAS), Canadian Space Agency (CSA), Environment and Climate Change Canada (ECCC), Government of Canada International Polar Year funding, Natural Sciences and Engineering Research Council (NSERC), Northern Scientific Training Program (NSTP), Ontario Innovation Trust, Polar Continental Shelf Program, and Ontario Research Fund. Brewer, Pandora, ozonesonde, and radiosonde measurements were made by ECCC (additional thanks to Michael Brohart, Jonathan Davies, Reno Sit, and Sum Chi Lee). The spring 2004-2020 UT-GBS, PEARL-GBS, SAOZ, FTIR, Brewer, Pandora, CRL, and ozonesonde measurements were also supported by the Canadian Arctic ACE/OSIRIS Validation Campaigns, which were funded by CSA, NSERC, NSTP, and ECCC. Spring 2007 GBS measurements were also supported by the Centre for Global Change Science. The 2001-2003 GBS measurements were supported by CFCAS and NSTP. K. Bognar was partially supported by the NSERC CREATE Training Program in Arctic Atmospheric Science, the Arctic Validation and Training for Atmospheric Research in Space program, funded by CSA, and ECCC's G&amp;C program. SAOZ participation in the campaigns was supported by the Centre National D'Etudes Spatiales. Work carried out at the Jet Propulsion Laboratory, California Institute of Technology was done under contract with the National Aeronautics and Space Administration. The SLIMCAT modeling was supported by the NERC SISLAC project (NE/R001782/1). The model simulations were performed on the UK Archer and Leeds ARC HPC machines. The authors wish to thank PEARL site manager Pierre Fogal, the CANDAC operators, and the staff at ECCC's Eureka Weather Station for their contributions to data acquisition, logistics, and on-site support. The authors also wish to thank Matthew Bassford, Elham Farahani, Annemarie Fraser, Cristen Adams, and Sophie Tran for their contribution to the GBS measurements, as well as Rodica Lindenmaier, Rebecca Batchelor, Dan Weaver, Joseph Mendonca, Stephanie Conway, Erik Lutsch, Sebastien Roche, and Alistair Duff for their contribution to the FTIR measurements and retrievals. We thank Manuel Gebetsberger, Daniel Santana Diaz, Martin Tiefengraber, and Alexander Cede from the Pandonia Global Network (PGN) and Nader Abuhassan from SciGlob for their technical support of Pandora measurements in Eureka.</t>
  </si>
  <si>
    <t>e2020JD034365</t>
  </si>
  <si>
    <t>10.1029/2020JD034365</t>
  </si>
  <si>
    <t>WOS:000664863900038</t>
  </si>
  <si>
    <t>Moles, J; Derkarabetian, S; Schiaparelli, S; Schrödl, M; Troncoso, JS; Wilson, NG; Giribet, G</t>
  </si>
  <si>
    <t>Moles, Juan; Derkarabetian, Shahan; Schiaparelli, Stefano; Schroedl, Michael; Troncoso, Jesus S.; Wilson, Nerida G.; Giribet, Gonzalo</t>
  </si>
  <si>
    <t>An approach using ddRADseq and machine learning for understanding speciation in Antarctic Antarctophilinidae gastropods</t>
  </si>
  <si>
    <t>SCIENTIFIC REPORTS</t>
  </si>
  <si>
    <t>SOUTHERN-OCEAN; MITOCHONDRIAL LINEAGES; DRAKE PASSAGE; 1ST INSIGHTS; POLAR FRONT; ABYSSAL; DEEP; DIVERSITY; EVOLUTION; ORIGIN</t>
  </si>
  <si>
    <t>Sampling impediments and paucity of suitable material for molecular analyses have precluded the study of speciation and radiation of deep-sea species in Antarctica. We analyzed barcodes together with genome-wide single nucleotide polymorphisms obtained from double digestion restriction site-associated DNA sequencing (ddRADseq) for species in the family Antarctophilinidae. We also reevaluated the fossil record associated with this taxon to provide further insights into the origin of the group. Novel approaches to identify distinctive genetic lineages, including unsupervised machine learning variational autoencoder plots, were used to establish species hypothesis frameworks. In this sense, three undescribed species and a complex of cryptic species were identified, suggesting allopatric speciation connected to geographic or bathymetric isolation. We further observed that the shallow waters around the Scotia Arc and on the continental shelf in the Weddell Sea present high endemism and diversity. In contrast, likely due to the glacial pressure during the Cenozoic, a deep-sea group with fewer species emerged expanding over great areas in the South-Atlantic Antarctic Ridge. Our study agrees on how diachronic paleoclimatic and current environmental factors shaped Antarctic communities both at the shallow and deep-sea levels, promoting Antarctica as the center of origin for numerous taxa such as gastropod mollusks.</t>
  </si>
  <si>
    <t>[Moles, Juan; Derkarabetian, Shahan; Giribet, Gonzalo] Harvard Univ, Dept Organism &amp; Evolutionary Biol, Museum Comparat Zool, 26 Oxford St, Cambridge, MA 02138 USA; [Schiaparelli, Stefano] Univ Genoa, DiSTAV, Cso Europa 26, I-16132 Genoa, Italy; [Schiaparelli, Stefano] Italian Natl Antarctic Museum MNA, Sect Genoa, Viale Benedetto 15 5, I-16132 Genoa, Italy; [Troncoso, Jesus S.] Univ Vigo, Dept Ecol &amp; Biol Anim, Campus Lagoas Marcosende S-N, Vigo 36200, Spain; [Wilson, Nerida G.] Western Australian Museum, Collect &amp; Res, Locked Bag 49, Perth, WA 6986, Australia; [Wilson, Nerida G.] Univ Western Australia, Sch Biol Sci, 35 Stirling Hwy, Crawley, WA 6009, Australia; [Moles, Juan; Schroedl, Michael] SNSB Bavarian State Collect Zool, Munchhausenstr 21, D-81247 Munich, Germany; [Moles, Juan; Schroedl, Michael] Ludwig Maximilians Univ Munchen, Biozentrum, Munich, Germany; [Moles, Juan; Schroedl, Michael] Ludwig Maximilians Univ Munchen, GeoBioctr, Munich, Germany</t>
  </si>
  <si>
    <t>Harvard University; University of Genoa; Universidade de Vigo; Western Australian Museum; University of Western Australia; University of Munich; University of Munich</t>
  </si>
  <si>
    <t>Moles, J (corresponding author), Harvard Univ, Dept Organism &amp; Evolutionary Biol, Museum Comparat Zool, 26 Oxford St, Cambridge, MA 02138 USA.;Moles, J (corresponding author), SNSB Bavarian State Collect Zool, Munchhausenstr 21, D-81247 Munich, Germany.;Moles, J (corresponding author), Ludwig Maximilians Univ Munchen, Biozentrum, Munich, Germany.;Moles, J (corresponding author), Ludwig Maximilians Univ Munchen, GeoBioctr, Munich, Germany.</t>
  </si>
  <si>
    <t>moles.sanchez@gmail.com</t>
  </si>
  <si>
    <t>Moles, Juan/H-4786-2018; Giribet, Gonzalo/P-1086-2015; Wilson, Nerida/G-8433-2011</t>
  </si>
  <si>
    <t>Moles, Juan/0000-0003-4511-4055; Giribet, Gonzalo/0000-0002-5467-8429; Wilson, Nerida/0000-0002-0784-0200</t>
  </si>
  <si>
    <t>Faculty of Arts and Sciences, Harvard University; NSF [DEB-1754278]; Fundacion Ramon Areces postdoctoral fellowship; National Science Foundation [NSF ANT-1043749]; ACE Foundation; Ferring Pharmaceuticals</t>
  </si>
  <si>
    <t>Faculty of Arts and Sciences, Harvard University; NSF(National Science Foundation (NSF)); Fundacion Ramon Areces postdoctoral fellowship; National Science Foundation(National Science Foundation (NSF)); ACE Foundation; Ferring Pharmaceuticals(Ferring Pharmaceuticals)</t>
  </si>
  <si>
    <t>We are indebted to all collectors from the German, Spanish, and US cruises and campaigns: especially to G. W. Rouse, C. Avila, K. Linse, E. Schwabe, A. Brandt, C. Alvaro, M. Ballesteros, W. Brokeland, M. Choudhury, R. Cumming, A. Hickling, M. Malyutina, J. Naretto, and M. Raupach. Thanks are due to the Institute of Paleobiology, Polish Academy of Sciences, for kindly providing the images of the fossil specimen. We would like to thank T.J. da Cunha, B. de Medeiros, L.R. Benavides, and C.M. Baker (OEB, MCZ) for their help during the lab and bioinformatic work and to J. Gimenez (Institut de Ciencies del Mar-CSIC) for helping with map design. We are also grateful to the Bauer Core and the RC Computing team. Lab and analytical work were supported by internal funds from the Faculty of Arts and Sciences, Harvard University, to GG and by NSF Grant DEB-1754278, which provided the salary for SD. JM was supported by a Fundacion Ramon Areces postdoctoral fellowship. NGW acknowledges the National Science Foundation (NSF ANT-1043749) and the ACE Foundation and Ferring Pharmaceuticals for funding cruises. Two anonymous reviewers provided comments that helped improve the manuscript.</t>
  </si>
  <si>
    <t>2045-2322</t>
  </si>
  <si>
    <t>SCI REP-UK</t>
  </si>
  <si>
    <t>Sci Rep</t>
  </si>
  <si>
    <t>APR 19</t>
  </si>
  <si>
    <t>10.1038/s41598-021-87244-5</t>
  </si>
  <si>
    <t>RQ7FQ</t>
  </si>
  <si>
    <t>WOS:000642580700007</t>
  </si>
  <si>
    <t>Horgan, HJ; van Haastrecht, L; Alley, RB; Anandakrishnan, S; Beem, LH; Christianson, K; Muto, A; Siegfried, MR</t>
  </si>
  <si>
    <t>Horgan, Huw J.; van Haastrecht, Laurine; Alley, Richard B.; Anandakrishnan, Sridhar; Beem, Lucas H.; Christianson, Knut; Muto, Atsuhiro; Siegfried, Matthew R.</t>
  </si>
  <si>
    <t>Grounding zone subglacial properties from calibrated active-source seismic methods</t>
  </si>
  <si>
    <t>ROSS ICE SHELF; WEST ANTARCTICA; TIDAL FLEXURE; BASAL CONDITIONS; STREAM; LINE; GLACIER; BENEATH; STRATEGIES; AMPLITUDE</t>
  </si>
  <si>
    <t>The grounding zone of Whillans Ice Stream, West Antarctica, exhibits an abrupt transition in basal properties from the grounded ice to the ocean cavity over distances of less than 0.5-1 km. Active-source seismic methods reveal the downglacier-most grounded portion of the ice stream is underlain by a relatively stiff substrate (relatively high shear wave velocities of 1100 +/- 430ms(-1)) compared to the deformable till found elsewhere beneath the ice stream. Changes in basal reflectivity in our study area cannot be explained by the stage of the tide. Several kilometres upstream of the grounding zone, layers of subglacial water are detected, as are regions that appear to be water layers but are less than the thickness resolvable by our technique. The presence of stiff subglacial sediment and thin water layers upstream of the grounding zone supports previous studies that have proposed the dewatering of sediment within the grounding zone and the trapping of subglacial water upstream of the ocean cavity. The setting enables calibration of our methodology using returns from the floating ice shelf. This allows a comparison of different techniques used to estimate the sizes of the seismic sources, a constraint essential for the accurate recovery of subglacial properties. We find a strong correlation (coefficient of determination = 0.46) between our calibrated method and a commonly used multiple-bounce method, but our results also highlight the incomplete knowledge of other factors affecting the amplitude of seismic sources and reflections in the cryosphere.</t>
  </si>
  <si>
    <t>[Horgan, Huw J.; van Haastrecht, Laurine] Victoria Univ Wellington, Antarctic Res Ctr, Wellington, New Zealand; [Alley, Richard B.; Anandakrishnan, Sridhar] Penn State Univ, Dept Geosci, University Pk, PA 16802 USA; [Alley, Richard B.; Anandakrishnan, Sridhar] Penn State Univ, Earth &amp; Environm Syst Inst, University Pk, PA 16802 USA; [Beem, Lucas H.] Montana State Univ, Dept Earth Sci, Bozeman, MT 59717 USA; [Christianson, Knut] Univ Washington, Earth &amp; Space Sci, Seattle, WA 98195 USA; [Muto, Atsuhiro] Temple Univ, Dept Earth &amp; Environm Sci, Philadelphia, PA 19122 USA; [Siegfried, Matthew R.] Colorado Sch Mines, Dept Geophys, Golden, CO 80401 USA</t>
  </si>
  <si>
    <t>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Montana State University System; Montana State University Bozeman; University of Washington; University of Washington Seattle; Pennsylvania Commonwealth System of Higher Education (PCSHE); Temple University; Colorado School of Mines</t>
  </si>
  <si>
    <t>Horgan, HJ (corresponding author), Victoria Univ Wellington, Antarctic Res Ctr, Wellington, New Zealand.</t>
  </si>
  <si>
    <t>huw.horgan@vuw.ac.nz</t>
  </si>
  <si>
    <t>Anandakrishnan, Sridhar/JCN-5026-2023; Muto, Atsuhiro/AAJ-9558-2020</t>
  </si>
  <si>
    <t>Muto, Atsuhiro/0000-0002-1722-2457; Horgan, Huw/0000-0002-4836-0078; Alley, Richard/0000-0003-1833-0115</t>
  </si>
  <si>
    <t>Marsden Fund [RDF-VUW1602, VUW1313]; National Science Foundation, Office of Polar Programs [0852697, 0838764, 0838763]; New Zealand Antarctic Science Platform; Directorate For Geosciences; Office of Polar Programs (OPP) [0838764] Funding Source: National Science Foundation; Directorate For Geosciences; Office of Polar Programs (OPP) [0838763] Funding Source: National Science Foundation</t>
  </si>
  <si>
    <t>Marsden Fund(Royal Society of New ZealandMarsden Fund (NZ)); National Science Foundation, Office of Polar Programs(National Science Foundation (NSF)NSF - Directorate for Geosciences (GEO)); New Zealand Antarctic Science Platform; Directorate For Geosciences; Office of Polar Programs (OPP)(National Science Foundation (NSF)NSF - Directorate for Geosciences (GEO)); Directorate For Geosciences; Office of Polar Programs (OPP)(National Science Foundation (NSF)NSF - Directorate for Geosciences (GEO))</t>
  </si>
  <si>
    <t>This research has been supported by the Marsden Fund (grant nos. RDF-VUW1602 and VUW1313), the National Science Foundation, Office of Polar Programs (grant nos. 0852697, 0838764, and 0838763), and the New Zealand Antarctic Science Platform (Project 1, Antarctic Ice Dynamics).</t>
  </si>
  <si>
    <t>10.5194/tc-15-1863-2021</t>
  </si>
  <si>
    <t>RP8IK</t>
  </si>
  <si>
    <t>WOS:000641966600001</t>
  </si>
  <si>
    <t>Lilien, DA; Steinhage, D; Taylor, D; Parrenin, F; Ritz, C; Mulvaney, R; Martín, C; Yan, JB; O'Neill, C; Frezzotti, M; Miller, H; Gogineni, P; Dahl-Jensen, D; Eisen, O</t>
  </si>
  <si>
    <t>Lilien, David A.; Steinhage, Daniel; Taylor, Drew; Parrenin, Frederic; Ritz, Catherine; Mulvaney, Robert; Martin, Carlos; Yan, Jie-Bang; O'Neill, Charles; Frezzotti, Massimo; Miller, Heinrich; Gogineni, Prasad; Dahl-Jensen, Dorthe; Eisen, Olaf</t>
  </si>
  <si>
    <t>Brief communication: New radar constraints support presence of ice older than 1.5 Myr at Little Dome C</t>
  </si>
  <si>
    <t>CHRONOLOGY</t>
  </si>
  <si>
    <t>The area near Dome C, East Antarctica, is thought to be one of the most promising targets for recovering a continuous ice-core record spanning more than a million years. The European Beyond EPICA consortium has selected Little Dome C (LDC), an area similar to 35 km southeast of Concordia Station, to attempt to recover such a record. Here, we present the results of the final ice-penetrating radar survey used to refine the exact drill site. These data were acquired during the 2019-2020 austral summer using a new, multi-channel high-resolution very high frequency (VHF) radar operating in the frequency range of 170-230 MHz. This new instrument is able to detect reflectors in the near-basal region, where previous surveys were largely unable to detect horizons. The radar stratigraphy is used to transfer the timescale of the EPICA Dome C ice core (EDC) to the area of Little Dome C, using radar isochrones dating back past 600 ka. We use these data to derive the expected depth-age relationship through the ice column at the now-chosen drill site, termed BELDC (Beyond EPICA LDC). These new data indicate that the ice at BELDC is considerably older than that at EDC at the same depth and that there is about 375m of ice older than 600 kyr at BELDC. Stratigraphy is well preserved to 2565 m, similar to 93% of the ice thickness, below which there is a basal unit with unknown properties. An ice-flow model tuned to the isochrones suggests ages likely reach 1.5 Myr near 2500 m, similar to 65m above the basal unit and similar to 265m above the bed, with sufficient resolution (19 +/- 2 kyrm(-1)) to resolve 41 kyr glacial cycles.</t>
  </si>
  <si>
    <t>[Lilien, David A.; Dahl-Jensen, Dorthe] Univ Copenhagen, Niels Bohr Inst, Phys Ice Climate &amp; Earth, Copenhagen, Denmark; [Steinhage, Daniel; Miller, Heinrich; Eisen, Olaf] Alfred Wegener Inst, Helmholtz Zentrum Polar &amp; Meeresforsch, Bremerhaven, Germany; [Taylor, Drew; Yan, Jie-Bang; O'Neill, Charles; Gogineni, Prasad] Univ Alabama, Remote Sensing Ctr, Tuscaloosa, AL USA; [Parrenin, Frederic; Ritz, Catherine] Univ Grenoble Alpes, Inst Geosci Environm, CNRS, IRD,IGE, Grenoble, France; [Mulvaney, Robert; Martin, Carlos] NERC, British Antarctic Survey, Cambridge, England; [Frezzotti, Massimo] Univ Roma Tre, Dept Sci, Rome, Italy; [Dahl-Jensen, Dorthe] Univ Manitoba, Ctr Earth Observat Sci, Winnipeg, MB, Canada; [Eisen, Olaf] Univ Bremen, Dept Geosci, Bremen, Germany</t>
  </si>
  <si>
    <t>University of Copenhagen; Niels Bohr Institute; Helmholtz Association; Alfred Wegener Institute, Helmholtz Centre for Polar &amp; Marine Research; University of Alabama System; University of Alabama Tuscaloosa; Centre National de la Recherche Scientifique (CNRS); Communaute Universite Grenoble Alpes; Universite Grenoble Alpes (UGA); Institut de Recherche pour le Developpement (IRD); UK Research &amp; Innovation (UKRI); Natural Environment Research Council (NERC); NERC British Antarctic Survey; Italfarmaco; Roma Tre University; University of Manitoba; University of Bremen</t>
  </si>
  <si>
    <t>Lilien, DA (corresponding author), Univ Copenhagen, Niels Bohr Inst, Phys Ice Climate &amp; Earth, Copenhagen, Denmark.</t>
  </si>
  <si>
    <t>david.lilien@nbi.ku.dk</t>
  </si>
  <si>
    <t>FREZZOTTI, Massimo/AAK-7275-2020; Dahl-Jensen, Dorthe/AAO-6951-2020; Lilien, David A./H-1716-2018; Lilien, David A./HNQ-6542-2023; Mulvaney, Robert/K-3929-2012</t>
  </si>
  <si>
    <t>FREZZOTTI, Massimo/0000-0002-2461-2883; Dahl-Jensen, Dorthe/0000-0002-1474-1948; Lilien, David A./0000-0001-8667-8020; Lilien, David A./0000-0001-8667-8020; Taylor, Ryan/0000-0003-4280-1327; Ritz, Catherine/0000-0003-0785-8571; Mulvaney, Robert/0000-0002-5372-8148</t>
  </si>
  <si>
    <t>Horizon 2020 (Beyond EPICA) [815384]; National Science Foundation [1921418]; Villum Foundation [16572]</t>
  </si>
  <si>
    <t>Horizon 2020 (Beyond EPICA); National Science Foundation(National Science Foundation (NSF)); Villum Foundation(Villum Fonden)</t>
  </si>
  <si>
    <t>This research has been supported by the Horizon 2020 (Beyond EPICA (grant no. 815384)), the National Science Foundation (grant no. 1921418), and the Villum Foundation (grant no. 16572).</t>
  </si>
  <si>
    <t>10.5194/tc-15-1881-2021</t>
  </si>
  <si>
    <t>WOS:000641966600002</t>
  </si>
  <si>
    <t>Ivanciu, I; Matthes, K; Wahl, S; Harlass, J; Biastoch, A</t>
  </si>
  <si>
    <t>Ivanciu, Ioana; Matthes, Katja; Wahl, Sebastian; Harlass, Jan; Biastoch, Arne</t>
  </si>
  <si>
    <t>Effects of prescribed CMIP6 ozone on simulating the Southern Hemisphere atmospheric circulation response to ozone depletion</t>
  </si>
  <si>
    <t>CHEMISTRY-CLIMATE MODEL; BREWER-DOBSON CIRCULATION; AGULHAS LEAKAGE; ANNULAR MODE; HOLE; INCREASE; SYSTEM; TRENDS; IMPACT</t>
  </si>
  <si>
    <t>The Antarctic ozone hole has led to substantial changes in the Southern Hemisphere atmospheric circulation, such as the strengthening and poleward shift of the mid-latitude westerly jet. Ozone recovery during the twenty-first century is expected to continue to affect the jet's strength and position, leading to changes in the opposite direction compared to the twentieth century and competing with the effect of increasing greenhouse gases. Simulations of the Earth's past and future climate, such as those performed for the Coupled Model Intercomparison Project Phase 6 (CMIP6), require an accurate representation of these ozone effects. Climate models that use prescribed ozone fields lack the important feedbacks between ozone chemistry, radiative heating, dynamics, and transport. In addition, when the prescribed ozone field was not generated by the same model to which it is prescribed, the imposed ozone hole is inconsistent with the simulated dynamics. These limitations ultimately affect the climate response to ozone depletion. This study investigates the impact of prescribing the ozone field recommended for CMIP6 on the simulated effects of ozone depletion in the Southern Hemisphere. We employ a new state-of-the-art coupled climate model, Flexible Ocean Climate Infrastructure (FOCI), to compare simulations in which the CMIP6 ozone is prescribed with simulations in which the ozone chemistry is calculated interactively. At the same time, we compare the roles played by ozone depletion and by increasing concentrations of greenhouse gases in driving changes in the Southern Hemisphere atmospheric circulation using a series of historical sensitivity simulations. FOCI captures the known effects of ozone depletion, simulating an austral spring and summer intensification of the midlatitude westerly winds and of the Brewer-Dobson circulation in the Southern Hemisphere. Ozone depletion is the primary driver of these historical circulation changes in FOCI. The austral spring cooling of the polar cap in the lower stratosphere in response to ozone depletion is weaker in the simulations that prescribe the CMIP6 ozone field. We attribute this weaker response to a prescribed ozone hole that is different to the model dynamics and is not collocated with the simulated polar vortex, altering the strength and position of the planetary wavenumber one. As a result, the dynamical contribution to the ozone-induced austral spring lower-stratospheric cooling is suppressed, leading to a weaker cooling trend. Consequently, the intensification of the polar night jet is also weaker in the simulations with prescribed CMIP6 ozone. In contrast, the differences in the tropospheric westerly jet response to ozone depletion fall within the internal variability present in the model. The persistence of the Southern Annular Mode is shorter in the prescribed ozone chemistry simulations. The results obtained with the FOCI model suggest that climate models that prescribe the CMIP6 ozone field still simulate a weaker Southern Hemisphere stratospheric response to ozone depletion compared to models that calculate the ozone chemistry interactively.</t>
  </si>
  <si>
    <t>[Ivanciu, Ioana; Matthes, Katja; Wahl, Sebastian; Harlass, Jan; Biastoch, Arne] GEOMAR Helmholtz Ctr Ocean Res Kiel, Kiel, Germany; [Matthes, Katja; Biastoch, Arne] Christian Albrechts Univ Kiel, Fac Math &amp; Nat Sci, Kiel, Germany</t>
  </si>
  <si>
    <t>Helmholtz Association; GEOMAR Helmholtz Center for Ocean Research Kiel; University of Kiel</t>
  </si>
  <si>
    <t>Ivanciu, I (corresponding author), GEOMAR Helmholtz Ctr Ocean Res Kiel, Kiel, Germany.</t>
  </si>
  <si>
    <t>iivanciu@geomar.de</t>
  </si>
  <si>
    <t>Biastoch, Arne/B-5219-2014; Wahl, Sebastian/AFI-1518-2022; Wahl, Sebastian/AAF-3644-2022; Harlass, Jan/P-4389-2019; Matthes, Katja/F-7361-2014</t>
  </si>
  <si>
    <t>Biastoch, Arne/0000-0003-3946-4390; Harlass, Jan/0000-0002-3993-6960; Ivanciu, Ioana/0000-0003-2878-7047; Matthes, Katja/0000-0003-1801-3072</t>
  </si>
  <si>
    <t>German Federal Ministry of Education and Research [03F0796A]</t>
  </si>
  <si>
    <t>German Federal Ministry of Education and Research(Federal Ministry of Education &amp; Research (BMBF))</t>
  </si>
  <si>
    <t>This research has been supported by the German Federal Ministry of Education and Research (grant no. 03F0796A).</t>
  </si>
  <si>
    <t>10.5194/acp-21-5777-2021</t>
  </si>
  <si>
    <t>RP8HP</t>
  </si>
  <si>
    <t>gold, Green Accepted</t>
  </si>
  <si>
    <t>WOS:000641964500001</t>
  </si>
  <si>
    <t>Choi, H; Kim, SS; Park, SH</t>
  </si>
  <si>
    <t>Choi, Hakkyum; Kim, Seung-Sep; Park, Sung-Hyun</t>
  </si>
  <si>
    <t>Tectonic constraints on formation and evolution of microplates in the Indian and Pacific Oceans: reviews and statistical inferences</t>
  </si>
  <si>
    <t>GEOSCIENCES JOURNAL</t>
  </si>
  <si>
    <t>microplate; ridge propagation; diffuse plate boundary; plate reorganization</t>
  </si>
  <si>
    <t>Oceanic plates are growing through narrow boundaries, such as mid-ocean ridges and transform faults. However, the discovery of diffuse plate boundary suggests another type of plate boundary that accommodates difference in plate motion via internal deformation. Along the Central and Southeast Indian ridges, for example, the Capricorn and Macquarie microplates exhibit widespread diffuse boundaries and hence divide the Indo-Australian Plate further into the Indian, Australian, Capricorn, and Macquarie plates. As for microplates distributed along the East Pacific Rise and Pacific-Antarctic Ridge in the Pacific Ocean, however, the typical plate boundaries surrounding the given microplate are distinctly established. Global plate reorganization involving the changes in plate motion or in spreading direction can be accommodated by forming a microplate through ridge extinction, ridge propagation, and pseudofault formation. However, relations between these tectonic processes have not been quantitatively assessed. In particular, we aim to examine tectonic constrains on the formation processes of microplates with diffuse plate boundary. In this study, we compare plate size, plate age, full-spreading rates, thermal structures, total rotation, and rotation rate for the 9 microplates including extinct plates (i.e., Capricorn, Macquarie, and Mammerickx* microplates in the Indian and Southern Oceans; Galapagos, Easter, Juan Fernandez, Bauer*, Friday*, and Selkirk* microplates in the Pacific Ocean; extinct plates are denoted with asterisks). From this comparison, we find that the microplate formation would require certain tectonic conditions (e.g., full-spreading rates faster than 70-80 mm/yr and rotation rates faster than 5-6 degrees/m.y.) to evolve into an independent and rigid plate with respect to the neighboring plates. If the conditions are not met, the same tectonic reorganization would result in a microplate with diffuse plate boundaries.</t>
  </si>
  <si>
    <t>[Choi, Hakkyum; Park, Sung-Hyun] Korea Polar Res Inst, Div Earth Sci, Incheon 21990, South Korea; [Kim, Seung-Sep] Chungnam Natl Univ, Dept Geol Sci, 99 Daehak Ro, Daejeon 34134, South Korea</t>
  </si>
  <si>
    <t>Korea Polar Research Institute (KOPRI); Chungnam National University</t>
  </si>
  <si>
    <t>Kim, SS (corresponding author), Chungnam Natl Univ, Dept Geol Sci, 99 Daehak Ro, Daejeon 34134, South Korea.</t>
  </si>
  <si>
    <t>seungsep@cnu.ac.kr</t>
  </si>
  <si>
    <t>Choi, Hakkyum/0000-0001-9440-3369</t>
  </si>
  <si>
    <t>Korea Polar Research Institute [PE20210, PE21050]; National Research Foundation of Korea (NRF) [MOE NRF-2017R1D1A1A02018632]</t>
  </si>
  <si>
    <t>Korea Polar Research Institute(Korea Polar Research Institute of Marine Research Placement (KOPRI)); National Research Foundation of Korea (NRF)(National Research Foundation of Korea)</t>
  </si>
  <si>
    <t>This study was supported by the Korea Polar Research Institute, under grant numbers PE20210 and PE21050. S.-S.K. acknowledges the support from the National Research Foundation of Korea (NRF) (MOE NRF-2017R1D1A1A02018632). We would like to thank two anonymous reviewers for critically reading the manuscript and suggesting substantial improvements.</t>
  </si>
  <si>
    <t>GEOLOGICAL SOCIETY KOREA</t>
  </si>
  <si>
    <t>SEOUL</t>
  </si>
  <si>
    <t>NEW BLD RM 813, 22, TEHERAN-RO 7-GIL, SEOUL, 06130, SOUTH KOREA</t>
  </si>
  <si>
    <t>1226-4806</t>
  </si>
  <si>
    <t>1598-7477</t>
  </si>
  <si>
    <t>GEOSCI J</t>
  </si>
  <si>
    <t>Geosci. J.</t>
  </si>
  <si>
    <t>DEC</t>
  </si>
  <si>
    <t>10.1007/s12303-021-0005-7</t>
  </si>
  <si>
    <t>WS2UC</t>
  </si>
  <si>
    <t>WOS:000640948000001</t>
  </si>
  <si>
    <t>Grüss, A; Thorson, JT; Stawitz, CC; Reum, JCP; Rohan, SK; Barnes, CL</t>
  </si>
  <si>
    <t>Gruss, Arnaud; Thorson, James T.; Stawitz, Christine C.; Reum, Jonathan C. P.; Rohan, Sean K.; Barnes, Cheryl L.</t>
  </si>
  <si>
    <t>Synthesis of interannual variability in spatial demographic processes supports the strong influence of cold-pool extent on eastern Bering Sea walleye pollock (Gadus chalcogrammus)</t>
  </si>
  <si>
    <t>PROGRESS IN OCEANOGRAPHY</t>
  </si>
  <si>
    <t>Empirical orthogonal functions; Spatio-temporal models; Walleye pollock; Cold-pool extent; Eastern Bering Sea</t>
  </si>
  <si>
    <t>THERAGRA-CHALCOGRAMMA; FUTURE CLIMATE; COMMON TRENDS; NORTH PACIFIC; ECOSYSTEM; TEMPERATURE; ABUNDANCE; IMPACTS; GROWTH; FISH</t>
  </si>
  <si>
    <t>Attributing variability in fish demographic processes to environmental conditions is helpful when assessing population status and forecasting changes in ecosystem function. Empirical orthogonal function (EOF) analysis has long been used to explore variability in physical processes, but has been only recently employed to study variability in biological processes. EOF analysis estimates dominant modes of variability (indices) and produces maps representing the spatial response for the dependent variable to each of these indices. In the eastern Bering Sea (EBS), research has linked demographic processes to the spatial extent of bottom temperatures less than or equal to 2 degrees C (the cold-pool extent or CPE), but has generally not compared effects among different demographic processes. We applied EOF analysis to four types of data measuring the outcome of demographic processes for EBS walleye pollock (Gadus chalcogrammus) over the period 1982-2019: numerical density (outcome of movement), morphometric condition (outcome of bioenergetics), length-at-age (outcome of growth), and prey-biomass-per-predator-mass (a proxy for stomach contents; outcome of consumption). We first designed exploratory factor analysis (EFA) models that did not include a CPE effect. We then applied confirmatory factor analysis (CFA), which differed from EFA by attributing observed patterns to a spatially varying response of demographic processes to CPE. We inferred that CPE was a proxy for demographic variability when there was a strong correlation between (1) the first or second mode of variability in the EFA and CPE or (2) the spatial map associated with the positive phase of the first or second mode of variability from the EFA model and the spatially varying response of CPE from the CFA model. Results showed that prey-biomass-per-predator-mass had the strongest correlation with CPE, numerical density and morphometric condition were also strongly correlated with CPE, and length-at-age was moderately correlated with CPE. The models also identified several anomalous years: 1999 and 2010, which were characterized by a very large CPE and high indices for variables related to demographic processes; and 2016-2019, which were characterized by a small CPE and low indices for variables related to demographic processes. We conclude that demographic processes for EBS walleye pollock show the finger-print of bottom-up environmental variation. Future research can employ CPE projections to forecast spatio-temporal changes in variables related to demographic processes, thereby informing estimates such as weight-at-age that are used in stock assessment models.</t>
  </si>
  <si>
    <t>[Gruss, Arnaud; Rohan, Sean K.] Univ Washington, Sch Aquat &amp; Fishery Sci, 1122 NE Boat St,Box 355020, Seattle, WA 98105 USA; [Gruss, Arnaud] Natl Inst Water &amp; Atmospher Res, 301 Evans Bay Parade, Wellington 6021, New Zealand; [Thorson, James T.] NOAA, Habitat &amp; Ecol Proc Res Program, Alaska Fisheries Sci Ctr, Natl Marine Fisheries Serv, 7600 Sand Point Way NE, Seattle, WA 98115 USA; [Stawitz, Christine C.] NOAA, Natl Stock Assessment Program, Off Sci &amp; Technol, Natl Marine Fisheries Serv, 1315 East West Blvd, Silver Spring, MD 20910 USA; [Reum, Jonathan C. P.] NOAA, Resource Ecol &amp; Fisheries Management Div, Alaska Fisheries Sci Ctr, Natl Marine Fisheries Serv, 7600 Sand Point Way NE, Seattle, WA 98115 USA; [Reum, Jonathan C. P.] Univ Tasmania, Inst Marine &amp; Antarctic Studies, Hobart, Tas, Australia; [Reum, Jonathan C. P.] Univ Tasmania, Ctr Marine Socioecol, Hobart, Tas, Australia; [Rohan, Sean K.] NOAA, Resource Assessment &amp; Conservat Engn Div, Alaska Fisheries Sci Ctr, Natl Marine Fisheries Serv, 7600 Sand Point Way NE, Seattle, WA 98115 USA; [Barnes, Cheryl L.] Univ Washington, Cooperat Inst Climate Ocean &amp; Ecosyst Studies, Seattle, WA 98195 USA</t>
  </si>
  <si>
    <t>University of Washington; University of Washington Seattle; National Institute of Water &amp; Atmospheric Research (NIWA) - New Zealand; National Oceanic Atmospheric Admin (NOAA) - USA; National Oceanic Atmospheric Admin (NOAA) - USA; National Oceanic Atmospheric Admin (NOAA) - USA; University of Tasmania; University of Tasmania; National Oceanic Atmospheric Admin (NOAA) - USA; University of Washington; University of Washington Seattle</t>
  </si>
  <si>
    <t>Grüss, A (corresponding author), Natl Inst Water &amp; Atmospher Res, 301 Evans Bay Parade, Wellington 6021, New Zealand.</t>
  </si>
  <si>
    <t>Arnaud.Gruss@niwa.co.nz; james.thorson@noaa.gov; christine.stawitz@noaa.gov; jonathan.reum@noaa.gov; sean.rohan@noaa.gov; cheryl.barnes@noaa.gov</t>
  </si>
  <si>
    <t>Thorson, James T/O-7937-2014</t>
  </si>
  <si>
    <t>Thorson, James T/0000-0001-7415-1010; Rohan, Sean/0000-0001-6626-658X</t>
  </si>
  <si>
    <t>0079-6611</t>
  </si>
  <si>
    <t>1873-4472</t>
  </si>
  <si>
    <t>PROG OCEANOGR</t>
  </si>
  <si>
    <t>Prog. Oceanogr.</t>
  </si>
  <si>
    <t>10.1016/j.pocean.2021.102569</t>
  </si>
  <si>
    <t>SF9YN</t>
  </si>
  <si>
    <t>WOS:000653103500001</t>
  </si>
  <si>
    <t>Acuña-Rodríguez, IS; Zúñiga-Venegas, LA; Molina-Montenegro, MA</t>
  </si>
  <si>
    <t>Acuna-Rodriguez, Ian S.; Zuniga-Venegas, Liliana A.; Molina-Montenegro, Marco A.</t>
  </si>
  <si>
    <t>Genotoxicity of oxidative stress and UV-B radiation in Antarctic vascular plants</t>
  </si>
  <si>
    <t>Antarctic plants; Comet assay; DNA damage; Oxidative stress; UV-B radiation</t>
  </si>
  <si>
    <t>For plants, reactive oxygen species (ROS) and ultraviolet B radiation (UV-B) stand out as important genotoxic agents. Hence, the genetic damage among the Antarctic vascular flora, whose individuals frequently experience these abiotic stresses, might be recurrent among their populations. To respond this, the genetic damage associated with these stress factors was evaluated in Colobanthus quitensis and Deschampsia antarctica for the first time in the field and compared with those showed by plants grown at laboratory under less stressful conditions. Fifteen individuals per species from Admiralty Bay populations at King George Island (Maritime Antarctica) were used to semi-quantitatively estimate the genetic damage at the whole genome level by the single-cell gel electrophoresis (SCGE) assay, revealing by means of specific enzymatic treatments the damage generated by oxidative stress (oxidized purines and pyrimidines) and UV-B radiation (pyrimidine dimmers). Compared with laboratory control individuals, the basal genetic damage observed in both species was significantly higher under field conditions. However, while for C. quitensis, oxidative stress (Ox) was more relevant than UV-B radiation (field relative revealed damage: Ox = 29% vs. UV-B = 25%), in D. antarctica, it was UV-B radiation the most relevant genotoxic factor (Ox = 10% vs. UV-B = 33%). This first approach to the genetic damage of the Antarctic vascular flora suggests that the conditions experienced on their natural ecosystems would constitute a genotoxic environment for these species, yet with differential impact between them.</t>
  </si>
  <si>
    <t>[Acuna-Rodriguez, Ian S.; Molina-Montenegro, Marco A.] Univ Talca, Inst Ciencias Biol, Lab Biol Vegetal, Avda Lircay S-N, Talca, Chile; [Zuniga-Venegas, Liliana A.; Molina-Montenegro, Marco A.] Univ Catolica Maule, Ctr Invest Estudios Avanzados Maule, Talca, Chile; [Molina-Montenegro, Marco A.] Univ Catolica Norte, Ctr Estudios Avanzados Zonas Aridas CEAZA, Fac Ciencias Mar, Coquimbo, Chile</t>
  </si>
  <si>
    <t>Universidad de Talca; Universidad Catolica del Maule; Universidad Catolica del Norte</t>
  </si>
  <si>
    <t>Acuña-Rodríguez, IS (corresponding author), Univ Talca, Inst Ciencias Biol, Lab Biol Vegetal, Avda Lircay S-N, Talca, Chile.</t>
  </si>
  <si>
    <t>iacuna@utalca.cl</t>
  </si>
  <si>
    <t>Zuniga-Venegas, Liliana A./0000-0001-8434-0704; Acuna, Ian/0000-0001-5380-895X</t>
  </si>
  <si>
    <t>Agencia Nacional de Investigacion y Desarrollo (ANID), Fondo Nacional de Desarrollo Cientifico y Tecnologico (FONDECYT) [3180441]</t>
  </si>
  <si>
    <t>Agencia Nacional de Investigacion y Desarrollo (ANID), Fondo Nacional de Desarrollo Cientifico y Tecnologico (FONDECYT)</t>
  </si>
  <si>
    <t>Agencia Nacional de Investigacion y Desarrollo (ANID), Fondo Nacional de Desarrollo Cientifico y Tecnologico (FONDECYT), Postdoctoral Project 3180441.</t>
  </si>
  <si>
    <t>10.1007/s00300-021-02860-1</t>
  </si>
  <si>
    <t>RX7BX</t>
  </si>
  <si>
    <t>WOS:000640863200001</t>
  </si>
  <si>
    <t>Stevens, MI; Greenslade, P; D'Haese, CA</t>
  </si>
  <si>
    <t>Stevens, Mark I.; Greenslade, Penelope; D'Haese, Cyrille A.</t>
  </si>
  <si>
    <t>Species diversity in Friesea (Neanuridae) reveals similar biogeographic patterns among Antarctic Collembola</t>
  </si>
  <si>
    <t>ZOOLOGICA SCRIPTA</t>
  </si>
  <si>
    <t>cryptic species; Cryptopgyus; DNA barcodes; Friesea grisea; springtails; Tullbergia; Xper2; Xper3</t>
  </si>
  <si>
    <t>SPRINGTAIL GOMPHIOCEPHALUS-HODGSONI; SOUTHERN VICTORIA LAND; GENETIC DIVERSITY; GLACIAL REFUGIA; ISLANDS; MOUNTAINS; MORPHOLOGY; REVISION; SCALES; MITES</t>
  </si>
  <si>
    <t>The pan-Antarctic distributions of several collembolan species have been supported by morphology for over 120 years. However, for most species where molecular data are available, these are now known to belong instead to several species, and most classified as short-range endemics. One such species, Friesea grisea, had a pan-Antarctic distribution that has been in question, but until recently, specimens of F. grisea from the type locality on South Georgia have not been included in any molecular appraisal. Here, we compare the molecular identity of specimens of F. grisea, from South Georgia, with other Antarctic and sub-Antarctic species using the mitochondrial COI gene. A Bayesian phylogenetic analysis for 14 species of Friesea from southern regions, including F. grisea sensu stricto with species previously identified as 'F. grisea' (F. antarctica, F. gretae and F. propria) confirms the distinctness of the South Georgian specimens based on molecular data, and these results are confirmed morphologically. The genus Friesea is one of the most speciose genera of Collembola known in the Antarctic region, and we provide an annotated key (dichotomous and interactive versions) to all Friesea species in the sub-Antarctic and Antarctica. We compare the biogeography of Friesea to other Collembola from the region to highlight our current understanding of species boundaries and island linkages.</t>
  </si>
  <si>
    <t>[Stevens, Mark I.] South Australian Museum, Biol &amp; Earth Sci, Adelaide, SA 5000, Australia; [Stevens, Mark I.] Univ Adelaide, Sch Biol Sci, Adelaide, SA, Australia; [Greenslade, Penelope] Federat Univ, Sch Sci Psychol &amp; Sport, Environm Management, Ballarat, Vic, Australia; [Greenslade, Penelope] Australian Natl Univ, Sch Biol, Canberra, ACT, Australia; [D'Haese, Cyrille A.] Museum Natl Hist Nat, MECADEV, UMR 7179, CNRS, Paris, France</t>
  </si>
  <si>
    <t>South Australian Museum; University of Adelaide; Federation University Australia; Australian National University; Centre National de la Recherche Scientifique (CNRS); CNRS - Institute of Ecology &amp; Environment (INEE); Museum National d'Histoire Naturelle (MNHN)</t>
  </si>
  <si>
    <t>Stevens, MI (corresponding author), South Australian Museum, Biol &amp; Earth Sci, Adelaide, SA 5000, Australia.</t>
  </si>
  <si>
    <t>mark.stevens@samuseum.sa.gov.au</t>
  </si>
  <si>
    <t>D'Haese, Cyrille/D-4896-2012</t>
  </si>
  <si>
    <t>D'Haese, Cyrille/0000-0001-6065-0927; Greenslade, Penelope/0000-0002-2123-5306</t>
  </si>
  <si>
    <t>Australian Antarctic Division [ASAC2355]; National Geographic CRE grant [7790-05]; NZ Foundation for Research, Science and Technology [MAUX0403]</t>
  </si>
  <si>
    <t>Australian Antarctic Division; National Geographic CRE grant; NZ Foundation for Research, Science and Technology(New Zealand Foundation for Research, Science and Technology)</t>
  </si>
  <si>
    <t>Financial and/or logistic support was provided by Australian Antarctic Division (ASAC2355), a National Geographic CRE grant (7790-05) and through a fellowship to MIS from the NZ Foundation for Research, Science and Technology (MAUX0403).</t>
  </si>
  <si>
    <t>0300-3256</t>
  </si>
  <si>
    <t>1463-6409</t>
  </si>
  <si>
    <t>ZOOL SCR</t>
  </si>
  <si>
    <t>Zool. Scr.</t>
  </si>
  <si>
    <t>10.1111/zsc.12490</t>
  </si>
  <si>
    <t>Evolutionary Biology; Zoology</t>
  </si>
  <si>
    <t>UD6YX</t>
  </si>
  <si>
    <t>WOS:000640808800001</t>
  </si>
  <si>
    <t>Nichols, EC; Lavers, JL; Archer-Rand, S; Bond, AL</t>
  </si>
  <si>
    <t>Nichols, Emma C.; Lavers, Jennifer L.; Archer-Rand, Simeon; Bond, Alexander L.</t>
  </si>
  <si>
    <t>Assessing plastic size distribution and quantity on a remote island in the South Pacific</t>
  </si>
  <si>
    <t>Anthropogenic debris; Henderson Island; Marine debris; Microplastic; Nanoparticle; Plastic pollution</t>
  </si>
  <si>
    <t>3-DIMENSIONAL DISTRIBUTION; MARINE-ENVIRONMENT; CHELONIA-MYDAS; MICROPLASTICS; DEBRIS; SEDIMENTS; IMPACTS; FRAGMENTATION; ACCUMULATION; GROWTH</t>
  </si>
  <si>
    <t>Plastics are an environmental threat; however, their fate once in the pelagic environment is poorly known. We compare results from assessments of floating plastics in the South Pacific Ocean with accumulated beach plastics from Henderson Island. We also compare accumulated plastic mass on Henderson during 2015 and 2019 and investigate the presence of nanoplastics. There were differences between the size classes of beach and pelagic plastics, and an increase in microplastics (0.33-5 mm) on the beach between 2015 and 2019. Micro- and nanoplastics were found at all sites (mean +/- SE: 1960 +/- 356 pieces/kg dw). Across the whole beach this translates to &gt;4 billion plastic particles in the upper 5 cm. This is concerning, particularly given Henderson is uninhabited and distant from urban centres (similar to 2350 km from Pape'ete, French Polynesia). The vast number of small particles on Henderson may make nearshore filter feeders susceptible to ingestion and subsequent detrimental impacts.</t>
  </si>
  <si>
    <t>[Nichols, Emma C.; Lavers, Jennifer L.; Bond, Alexander L.] Inst Marine &amp; Antarctic Studies, 20 Castray Esplanade, Battery Point, Tas 7004, Australia; [Archer-Rand, Simeon] Ctr Environm Fisheries &amp; Aquaculture Sci, Pakefield Rd, Lowestoft NR33 0HT, Suffolk, England; [Bond, Alexander L.] Nat Hist Museum, Dept Life Sci, Bird Grp, Akeman St, Tring HP23 6AP, Herts, England</t>
  </si>
  <si>
    <t>University of Tasmania; Centre for Environment Fisheries &amp; Aquaculture Science; Natural History Museum London</t>
  </si>
  <si>
    <t>Lavers, JL (corresponding author), Inst Marine &amp; Antarctic Studies, 20 Castray Esplanade, Battery Point, Tas 7004, Australia.</t>
  </si>
  <si>
    <t>Jennifer.Lavers@utas.edu.au</t>
  </si>
  <si>
    <t>Bond, Alexander L/A-3786-2010; Lavers, Jennifer/IWM-5417-2023; Archer-Rand, Simeon/HPC-9336-2023</t>
  </si>
  <si>
    <t>Archer-Rand, Simeon/0000-0001-8765-5656</t>
  </si>
  <si>
    <t>Royal Society for the Protection of Birds, Detached Cultural Organization; Natural History Museum; Howell Conservation Fund; Valpak; Toughsheet Environmental; Pew Trusts; CEFAS; UK Foreign and Commonwealth Office (Blue Belt Programme); UK Foreign and Commonwealth Office (Pitcairn Island Office); Architectural and Community Planning Inc.; Zoological Society of London; Schwab International</t>
  </si>
  <si>
    <t>We thank the Pitcairn community (especially S. O'Keefe, P. Warren, and J. Warren) and the 2015 and 2019 Henderson expedition teams (especially S. Oppel, M. Barker, J. Briggs, and R. Shackell) for providing logistical support. Funding for this study was generously provided (directly or inkind) by the Royal Society for the Protection of Birds, Detached Cultural Organization, Natural History Museum, Howell Conservation Fund, Valpak, Toughsheet Environmental, the Pew Trusts, CEFAS, the UK Foreign and Commonwealth Office (Blue Belt Programme and Pitcairn Island Office) , Architectural and Community Planning Inc., Zoological Society of London, and Schwab International. Comments from 2 anonymous reviewers improved this manuscript.</t>
  </si>
  <si>
    <t>10.1016/j.marpolbul.2021.112366</t>
  </si>
  <si>
    <t>SJ7FE</t>
  </si>
  <si>
    <t>WOS:000655695600005</t>
  </si>
  <si>
    <t>Moreno, PI; Videla, J; Kaffman, MJ; Henríquez, CA; Sagredo, EA; Jara-Arancio, P; Alloway, BV</t>
  </si>
  <si>
    <t>Moreno, Patricio I.; Videla, Javiera; Kaffman, Maria Jose; Henriquez, Carla A.; Sagredo, Esteban A.; Jara-Arancio, Paola; Alloway, Brent V.</t>
  </si>
  <si>
    <t>Vegetation, disturbance, and climate history since the onset of ice-free conditions in the Lago Rosselot sector of Chiloe continental (44°S), northwestern Patagonia</t>
  </si>
  <si>
    <t>Vegetation and fire history; Disturbance paleoecology; Postglacial explosive volcanism; Glacier advance during the Antarctic Cold Reversal; Recession and stabilization during Younger Dryas; Chiloe continental; Northwestern Patagonia</t>
  </si>
  <si>
    <t>TEMPERATE RAIN-FOREST; LAST GLACIAL MAXIMUM; ANTARCTIC COLD REVERSAL; ISLA-GRANDE; RADIOCARBON CHRONOLOGY; SOUTHERN CHILE; GENETIC-VARIATION; LAKE DISTRICT; FIRE REGIMES; DE-CHILOE</t>
  </si>
  <si>
    <t>We present results from Lago Negro, a small closed-basin lake adjacent to Lago Rosselot, to examine the vegetation and environmental history of an insufficiently studied sector of Chiloe Continental (41 degrees 30'-44 degrees S) in northwestern Patagonia. Lake sediment cores from Lago Negro reveal 27 tephra deposited since similar to 12.7 ka, including two prominent rhyodacite tephra marker beds erupted from Volcan Melimoyu, and a stratified basal clastic unit we attribute to meltwater discharge from an ice tongue that originated from Monte Queulat and covered Lago Rosselot during its expanded position, presumably Antarctic Cold Reversal in age. The pollen record shows closed-canopy North Patagonian rainforests since similar to 12.7 ka, with variations in species composition and structure that suggest dynamic responses of the vegetation to past environmental changes. Vegetation responses to climate in the Lago Negro record were modulated, sometimes interrupted, by high magnitude and frequent disturbance regimes, most notably during maxima in explosive volcanic activity (similar to 9.5-7.2 ka and similar to 3.6-1.6 ka) and heightened fire activity. Since Lago Negro is the southernmost palynological site so far investigated in the region and is located within a volcanically active sector, it provides a valuable perspective for assessing past vegetation responses along environmental gradients since the last glaciation. When compared with other sites throughout northwestern Patagonia, our record reveals a distinct north-to-south gradient in temperature and precipitation, with peak temperature and rainfall seasonality in the north, and a west-to-east gradient in disturbance regimes, with maximum frequency and magnitude of explosive volcanic events in the east. These gradients have modulated the response of rainforest vegetation to climate forcing at regional scale since similar to 12.7 ka. We identify negligible differences in timing for the majority of key vegetation signals during the initial phase of the Lago Negro record, and propose that plant colonization and expansion along the similar to 360 km long corridor through the Pacific slope of the northwestern Patagonian Andes was a rapid process during the Last Glacial Termination. (C) 2021 Elsevier Ltd. All rights reserved.</t>
  </si>
  <si>
    <t>[Moreno, Patricio I.; Videla, Javiera; Kaffman, Maria Jose; Henriquez, Carla A.; Sagredo, Esteban A.; Alloway, Brent V.] Univ Chile, Millennium Nucleus Paleoclimate, Santiago, Chile; [Moreno, Patricio I.; Henriquez, Carla A.] Univ Chile, Ctr Climate Res &amp; Resilience, Santiago, Chile; [Moreno, Patricio I.; Videla, Javiera; Henriquez, Carla A.; Jara-Arancio, Paola] Univ Chile, Inst Ecol &amp; Biodivers, Santiago, Chile; [Moreno, Patricio I.; Kaffman, Maria Jose; Henriquez, Carla A.] Univ Chile, Dept Ciencias Ecol, Santiago, Chile; [Sagredo, Esteban A.] Pontificia Univ Catolica Chile, Inst Geog, Santiago, Chile; [Sagredo, Esteban A.] Pontificia Univ Catolica Chile, Estn Patagonia Invest Interdisciplinarias UC, Santiago, Chile; [Jara-Arancio, Paola] Univ Andres Bello, Fac Ciencias Vida, Dept Ciencias Biol, Santiago, Chile; [Jara-Arancio, Paola] Univ Andres Bello, Fac Ciencias Vida, Dept Ecol &amp; Biodiversidad, Santiago, Chile; [Alloway, Brent V.] Univ Auckland, Sch Environm, Private Bag, Auckland 92019, New Zealand</t>
  </si>
  <si>
    <t>Universidad de Chile; Universidad de Chile; Universidad de Chile; Universidad de Chile; Pontificia Universidad Catolica de Chile; Pontificia Universidad Catolica de Chile; Universidad Andres Bello; Universidad Andres Bello; University of Auckland</t>
  </si>
  <si>
    <t>Moreno, PI (corresponding author), Univ Chile, Dept Ciencias Ecol, Santiago, Chile.</t>
  </si>
  <si>
    <t>pimoreno@uchile.cl</t>
  </si>
  <si>
    <t>Jara-Arancio, Paola/ABG-2884-2021; SAGREDO, ESTEBAN A/B-7280-2016; Moreno, Patricio/D-2317-2012</t>
  </si>
  <si>
    <t>, Estacion Patagonia UC/0000-0002-6443-0646; Jara-Arancio, Paola/0000-0002-5835-2768; Videla Contreras, Javiera/0009-0004-3415-8890; Moreno, Patricio/0000-0002-1333-6238</t>
  </si>
  <si>
    <t>Fondecyt [1191435]; ANID Millennium Science Initiative/Millennium Nucleus Paleoclimate [NCN17_079]; ANID PIA CCTE [AFB170008]</t>
  </si>
  <si>
    <t>Fondecyt(Comision Nacional de Investigacion Cientifica y Tecnologica (CONICYT)CONICYT FONDECYT); ANID Millennium Science Initiative/Millennium Nucleus Paleoclimate; ANID PIA CCTE</t>
  </si>
  <si>
    <t>We thank J.P. Guerrero, E. Sepulveda, M.H. Rojas, and R. Villa for help during field work, L. Hernandez for laboratory assistance, E. Fercovic for drafting Fig. 1, and T. Guilderson for analyzing the radiocarbon samples. BVA thanks Raul Ugalde (Universidad Mayor, Santiago) for assistance in the field. We acknowledge funding from Fondecyt 1191435, the ANID Millennium Science Initiative/Millennium Nucleus Paleoclimate NCN17_079, and ANID PIA CCTE AFB170008. We thank M. McGlone and an anonymous reviewer for constructive comments that improved the submitted version of this manuscript.</t>
  </si>
  <si>
    <t>MAY 15</t>
  </si>
  <si>
    <t>10.1016/j.quascirev.2021.106924</t>
  </si>
  <si>
    <t>SB0XO</t>
  </si>
  <si>
    <t>WOS:000649726600003</t>
  </si>
  <si>
    <t>Oliva, M; Fernandes, M; Palacios, D; Fernández-Fernández, JM; Schimmelpfennig, I; Antoniades, D; Aumaître, G; Bourlès, D; Keddadouche, K</t>
  </si>
  <si>
    <t>Oliva, M.; Fernandes, M.; Palacios, D.; Fernandez-Fernandez, J-M; Schimmelpfennig, I; Antoniades, D.; Aumaitre, Georges; Bourles, Didier; Keddadouche, Karim</t>
  </si>
  <si>
    <t>ASTER Team</t>
  </si>
  <si>
    <t>Rapid deglaciation during the Balling-Allerod Interstadial in the Central Pyrenees and associated glacial and periglacial landforms</t>
  </si>
  <si>
    <t>GEOMORPHOLOGY</t>
  </si>
  <si>
    <t>Central Pyrenees; Bolling-Allerod; Deglaciation; Cosmic-Ray Exposure dating; Moraines; Polished bedrock; Paraglacial processes</t>
  </si>
  <si>
    <t>EQUILIBRIUM-LINE ALTITUDES; LATE QUATERNARY GLACIERS; DEBRIS-COVERED GLACIERS; LATE PLEISTOCENE; ROCK GLACIERS; ENVIRONMENTAL EVOLUTION; HOLOCENE TRANSITION; COSMOGENIC NUCLIDES; LAST DEGLACIATION; MOUNTAIN GLACIERS</t>
  </si>
  <si>
    <t>The Central Pyrenees hosted a large ice cap during the Late Pleistocene. The cirques under relatively low-altitude peaks (2200-2800 m) include the greatest variety of glacial landforms (moraines, fossil debris-covered glaciers and rock glaciers), but their age and formation process are poorly known. Here, we focus on the headwaters of the Garonne River. namely on the low-altitude Baciver Cirque (highest peaks at similar to 2600 m), with widespread erosive and depositional glacial and periglacial landforms. We reconstruct the pattern of deglaciation from geomorphological observations and a 17-sample dataset of Be-10 Cosmic-Ray Exposure (CRE) ages. Ice thickness in the Baciver Cirque must have reached similar to 200 m during the maximum ice extent of the last glacial cycle, when it flowed down towards the Garonne paleoglader. However, by similar to 15 ka, during the Belling-Allered (B-A) Interstadial, the mouth of the cirque was deglaciated as the tributary glacier shrank and disconnected from the Garonne paleoglader. Glacial retreat was rapid, and the whole cirque was likely to have been degladated in only a few centuries, while paraglacial processes accelerated, leading to the transformation of debris-free glaciers into debris-covered and rock glaciers in their final stages. Climate conditions prevailing at the transition between the B-A and the Younger Dryas (YD) favored glacial growth and the likely development of small moraines within the slopes of the cirque walls by similar to 12.9 ka, but the dating uncertainties make it impossible to state whether these moraines formed during the B-A or the YD. The melting of these glaciers favored paraglacial dynamics, which promoted the development of rock glaciers as well as debris-covered glaciers. These remained active throughout the Early Holocene until at least similar to 7 ka. Since then, the landscape of the Baciver Cirque has seen a period of relative stability. A similar chronological sequence of deglaciation has been also detected in other cirques of the Pyrenees below 3000 m. As in other mid-latitude mountain regions, the B-A triggered the complete deglaciation of the Garonne paleoglacier and promoted the development of the wide variety of glacial and periglacial landforms existing in the Baciver cirque. (C) 2021 Elsevier B.V. All rights reserved.</t>
  </si>
  <si>
    <t>[Oliva, M.] Univ Barcelona, Dept Geog, Catalonia, Spain; [Fernandes, M.; Fernandez-Fernandez, J-M] Univ Lisbon, Ctr Geog Studies, IGOT, Lisbon, Portugal; [Palacios, D.] Univ Complutense Madrid, Dept Geog, Madrid, Spain; [Schimmelpfennig, I; Aumaitre, Georges] Aix Marseille Univ, CNRS, IRD, INRAE,Coll France 34 CEREGE, Aix En Provence, France; [Antoniades, D.] Univ Laval, Dept Geog, Laval, PQ, Canada; [Antoniades, D.] Univ Laval, Ctr Northern Studies, Laval, PQ, Canada</t>
  </si>
  <si>
    <t>University of Barcelona; Universidade de Lisboa; Complutense University of Madrid; Aix-Marseille Universite; Universite PSL; College de France; INRAE; Institut de Recherche pour le Developpement (IRD); Centre National de la Recherche Scientifique (CNRS); Laval University; Laval University</t>
  </si>
  <si>
    <t>Oliva, M (corresponding author), Univ Barcelona, Dept Geog, Catalonia, Spain.</t>
  </si>
  <si>
    <t>marcoliva@ub.edu</t>
  </si>
  <si>
    <t>Oliva, Marc/K-5423-2014; Fernández-Fernández, Jose M./H-5801-2017; PALACIOS, DAVID/H-3737-2015</t>
  </si>
  <si>
    <t>Fernandes, Marcelo/0000-0001-6840-4317</t>
  </si>
  <si>
    <t>Research Group ANTALP (Antarctic, Arctic, Alpine Environments) - Government of Catalonia [2017-SGR-1102]; Research Group ZEPHYRUS (Climate Change and Environmental Systems) of the Universidade de Lisboa; Spanish Ministry of Economy and Competitiveness [CTM201787976-P]; Fundacao para a Ciencia e Tecnologia of Portugal [02/SAICT/2017 -32002]; Ramon y Cajal Program [RYC-2015-17597]; INSU/CNRS; ANR; College on Polar and Extreme Environments (Polar2E) of the University of Lisbon; postdoctoral grant within the NUNANTAR project, Fundacao para a Ciencia e Tecnologia of Portugal [FCT - UIDB/00295/2020]</t>
  </si>
  <si>
    <t>Research Group ANTALP (Antarctic, Arctic, Alpine Environments) - Government of Catalonia; Research Group ZEPHYRUS (Climate Change and Environmental Systems) of the Universidade de Lisboa; Spanish Ministry of Economy and Competitiveness(Spanish Government); Fundacao para a Ciencia e Tecnologia of Portugal(Fundacao para a Ciencia e a Tecnologia (FCT)); Ramon y Cajal Program(Spanish Government); INSU/CNRS(Centre National de la Recherche Scientifique (CNRS)); ANR(Agence Nationale de la Recherche (ANR)); College on Polar and Extreme Environments (Polar2E) of the University of Lisbon; postdoctoral grant within the NUNANTAR project, Fundacao para a Ciencia e Tecnologia of Portugal</t>
  </si>
  <si>
    <t>This research was funded by the Research Group ANTALP (Antarctic, Arctic, Alpine Environments; 2017-SGR-1102) funded by the Government of Catalonia and by the Research Group ZEPHYRUS (Climate Change and Environmental Systems) of the Universidade de Lisboa. The study topics complement those of the project PALEOGREEN (CTM201787976-P) funded by the Spanish Ministry of Economy and Competitiveness and the NUNANTAR project funded by the Fundacao para a Ciencia e Tecnologia of Portugal (02/SAICT/2017 -32002). Marc Oliva is supported by the Ramon y Cajal Program (RYC-2015-17597). Jose Maria Fernandez-Fernandez is supported by a postdoctoral grant within the NUNANTAR project, whereas Marcelo Fernandes holds a PhD fellowship of the Fundacao para a Ciencia e Tecnologia of Portugal (FCT -UIDB/00295/2020). The 10Be and 36Cl measurements were performed at the ASTER AMS national facility (CEREGE, Aix en Provence), which is supported by the INSU/CNRS and the ANR through the Projets thematiques d'excellence program for the Equipements d'excellence ASTERCEREGE action and IRD. This research is also supported and framedwithin the College on Polar and Extreme Environments (Polar2E) of the University of Lisbon. We thank Jesus Ruiz-Fernandez and Maria Palacios for their support in the field. We also thank Matteo Spagnolo and an anonymous reviewer for their comments on a draft of this paper.</t>
  </si>
  <si>
    <t>0169-555X</t>
  </si>
  <si>
    <t>1872-695X</t>
  </si>
  <si>
    <t>Geomorphology</t>
  </si>
  <si>
    <t>JUL 15</t>
  </si>
  <si>
    <t>10.1016/j.geomorph.2021.107735</t>
  </si>
  <si>
    <t>RZ8MI</t>
  </si>
  <si>
    <t>WOS:000648853800001</t>
  </si>
  <si>
    <t>An, CL; Hou, SG; Jiang, S; Li, YS; Ma, TM; Curran, MAJ; Pang, HX; Zhang, ZR; Zhang, WB; Yu, JH; Liu, K; Shi, GT; Ma, HM; Sun, B</t>
  </si>
  <si>
    <t>An, Chunlei; Hou, Shugui; Jiang, Su; Li, Yuansheng; Ma, Tianming; Curran, Mark A. J.; Pang, Hongxi; Zhang, Zhaoru; Zhang, Wangbin; Yu, Jinhai; Liu, Ke; Shi, Guitao; Ma, Hongmei; Sun, Bo</t>
  </si>
  <si>
    <t>The Long-Term Cooling Trend in East Antarctic Plateau Over the Past 2000 Years Is Only Robust Between 550 and 1550 CE</t>
  </si>
  <si>
    <t>Dome A; East Antarctic Plateau; ice core; past 2000 years; temperature variability</t>
  </si>
  <si>
    <t>SOUTHERN ANNULAR MODE; ICE CORE; CLIMATE-CHANGE; EXPLOSIVE VOLCANISM; SNOW ACCUMULATION; HOLOCENE CLIMATE; WEST ANTARCTICA; WAIS DIVIDE; DOME ARGUS; VARIABILITY</t>
  </si>
  <si>
    <t>The uncertainties in Antarctic climate reconstructions due to scarcity of proxy records have restricted the understanding of mechanisms of climate change, and further hindered the improvement of climate models. Here, we provide a new climate record derived from water stable isotopes in a Dome A, East Antarctica ice core. Together with six other ice core records, the Dome A record is used to investigate temperature changes in East Antarctic Plateau (EAP) during period 1-1900 CE. Our results show that, a previously reported long-term cooling trend in EAP during the recent (pre-1900 CE) 1900 years is only robust between 550 and 1550 CE. A combination of solar and volcanic forcing may have induced the EAP centennial-scale cold events, and further caused the long-term cooling trend from 550 to 1550 CE with a small contribution from orbital forcing.</t>
  </si>
  <si>
    <t>[An, Chunlei; Hou, Shugui; Pang, Hongxi; Zhang, Wangbin; Yu, Jinhai; Liu, Ke] Nanjing Univ, Key Lab Coast &amp; Isl Dev, Minist Educ, Sch Geog &amp; Ocean Sci, Nanjing, Peoples R China; [An, Chunlei; Jiang, Su; Li, Yuansheng; Ma, Hongmei; Sun, Bo] Polar Res Inst China, Key Lab Polar Sci MNR, Shanghai, Peoples R China; [Hou, Shugui; Zhang, Zhaoru] Shanghai Jiao Tong Univ, Sch Oceanog, Shanghai, Peoples R China; [Ma, Tianming] Univ Sci &amp; Technol China, Sch Earth &amp; Space Sci, Hefei, Peoples R China; [Curran, Mark A. J.] Div Australian Antarctic, Channel Highway, Kingston, Tas, Australia; [Curran, Mark A. J.] Univ Tasmania, Inst Marine &amp; Antarctic Studies, Australian Antarctic Program Partnership, Hobart, Tas, Australia; [Shi, Guitao] East China Normal Univ, Minist Educ, Key Lab Geog Informat Sci, Sch Geog Sci, Shanghai, Peoples R China; [Shi, Guitao] East China Normal Univ, State Key Lab Estuarine &amp; Coastal Res, Shanghai, Peoples R China</t>
  </si>
  <si>
    <t>Nanjing University; Polar Research Institute of China; Shanghai Jiao Tong University; Chinese Academy of Sciences; University of Science &amp; Technology of China, CAS; University of Tasmania; East China Normal University; East China Normal University</t>
  </si>
  <si>
    <t>An, CL; Hou, SG (corresponding author), Nanjing Univ, Key Lab Coast &amp; Isl Dev, Minist Educ, Sch Geog &amp; Ocean Sci, Nanjing, Peoples R China.;An, CL (corresponding author), Polar Res Inst China, Key Lab Polar Sci MNR, Shanghai, Peoples R China.;Hou, SG (corresponding author), Shanghai Jiao Tong Univ, Sch Oceanog, Shanghai, Peoples R China.</t>
  </si>
  <si>
    <t>anchunlei@pric.org.cn; shugui@nju.edu.cn</t>
  </si>
  <si>
    <t>sun, bo/JFA-9978-2023; LIU, JIALIN/JXN-8034-2024</t>
  </si>
  <si>
    <t>Hou, Shugui/0000-0002-0905-3542; An, Chunlei/0000-0002-8579-2400; Yu, Jinhai/0000-0003-4945-9405</t>
  </si>
  <si>
    <t>Natural Science Foundation of China [41830644, 91837102, 41771031, 41622605]; Natural Science Foundation of Shanghai [17ZR1433200]; National Key R&amp;D Program of China [2016YFC1400302]; Chinese Arctic and Antarctic Administration [CXPT2020012]; Chinese National Antarctic Research Expedition</t>
  </si>
  <si>
    <t>Natural Science Foundation of China(National Natural Science Foundation of China (NSFC)); Natural Science Foundation of Shanghai(Natural Science Foundation of Shanghai); National Key R&amp;D Program of China; Chinese Arctic and Antarctic Administration; Chinese National Antarctic Research Expedition</t>
  </si>
  <si>
    <t>This study was supported by the Natural Science Foundation of China (41830644, 91837102, 41771031, and 41622605), the Natural Science Foundation of Shanghai (17ZR1433200), the National Key R&amp;D Program of China (2016YFC1400302), the Chinese Arctic and Antarctic Administration (CXPT2020012), and the Chinese National Antarctic Research Expedition. The authors sincerely thank Professor Jihong Cole-Dai for his constructive suggestions. The authors' thanks also go to editor Mathieu Morlighem and two anonymous reviewers for their helpful comments and suggestions.</t>
  </si>
  <si>
    <t>APR 16</t>
  </si>
  <si>
    <t>e2021GL092923</t>
  </si>
  <si>
    <t>10.1029/2021GL092923</t>
  </si>
  <si>
    <t>RP8LM</t>
  </si>
  <si>
    <t>WOS:000641974600001</t>
  </si>
  <si>
    <t>Hallegraeff, GM; Schweibold, L; Jaffrezic, E; Rhodes, L; MacKenzie, L; Hay, B; Farrell, H</t>
  </si>
  <si>
    <t>Hallegraeff, Gustaaf M.; Schweibold, Laura; Jaffrezic, Enora; Rhodes, Lesley; MacKenzie, Lincoln; Hay, Brenda; Farrell, Hazel</t>
  </si>
  <si>
    <t>Overview of Australian and New Zealand harmful algal species occurrences and their societal impacts in the period 1985 to 2018, including a compilation of historic records</t>
  </si>
  <si>
    <t>HARMFUL ALGAE</t>
  </si>
  <si>
    <t>HABs; Water discolorations; Seafood biotoxins; Ichthyotoxins; Aerosol poisoning; Australia; New Zealand</t>
  </si>
  <si>
    <t>NEW-SOUTH-WALES; SP-NOV GYMNODINIALES; PSEUDO-NITZSCHIA BACILLARIOPHYCEAE; DINOFLAGELLATE GENUS ALEXANDRIUM; COOLIA-MONOTIS DINOPHYCEAE; OSTREOPSIS-SIAMENSIS; MOLECULAR PHYLOGENY; WELLINGTON HARBOR; BLOOM; SHELLFISH</t>
  </si>
  <si>
    <t>Similarities and differences between Australia and New Zealand in Harmful Algal species occurrences and Harmful Algal Events impacting on human society (HAEDAT) are reported and factors that explain their differences explored. Weekly monitoring of harmful phytoplankton and biotoxins commenced in Australia in 1986 and in New Zealand in 1993. Anecdotal historic HAB records in both countries are also catalogued. In Australia, unprecedented highly toxic Paralytic Shellfish Toxin (PST)-producing blooms of Alexandrium catenella have impacted the seafood industry along the 200 km east coast of Tasmania from 2012 to present. Toxic blooms in 1986-1993 by Gymnodinium catenatum in Tasmania were effectively mitigated by closing the affected area for shellfish farming, while a bloom by this same species in 2000 in New Zealand caused significant economic damage from restrictions on the movement of greenshell mussel spat. The biggest biotoxin event in New Zealand was an unexpected outbreak of Neurotoxic Shellfish Poisoning (NSP) in 1993 in Hauraki Gulf (putatively due to Karenia cf. mikimotoi) with 180 reported cases of human poisonings as well as reports of respiratory irritation north of Auckland. Strikingly, NSP never recurred in New Zealand since and no NSP events have ever been reported in Australia. In New Zealand, Paralytic Shellfish Poisoning (PSP) was the predominant seafood toxin syndrome, while in Australia Ciguatera Fish Poisoning (CFP) was the major reported seafood toxin syndrome, while no CFP has been recorded from consumption of New Zealand fish. In Australia, Diarrhetic Shellfish Poisoning (DSP) illnesses were recorded from two related outbreaks in 1997/98 following consumption of beach harvested clams (pipis) from a previously non-monitored area, whereas in New Zealand limited DSP illnesses are known. No human illnesses from Amnesic Shellfish Poisoning (ASP) have been reported in either Australia or New Zealand. Selected examples of HABs appearing and disappearing (NSP in New Zealand, Alexandrium catenella in Tasmania), species expanding their ranges (Noctiluca, Gambierdiscus), and reputed ballast water introductions (Gymnodinium catenatum) are discussed. Eutrophication has rarely been invoked as a cause except for confined estuaries and fish ponds and estuarine cyanobacterial blooms. No trend in the number of HAEDAT events from 1985 to 2018 was discernible.</t>
  </si>
  <si>
    <t>[Hallegraeff, Gustaaf M.; Schweibold, Laura] Univ Tasmania, Inst Marine &amp; Antarctic Studies, Private Bag 129, Hobart, Tas 7001, Australia; [Schweibold, Laura; Jaffrezic, Enora] Inst Univ Europeen Mer, Plouzane, France; [Jaffrezic, Enora; Rhodes, Lesley; MacKenzie, Lincoln] Cawthron Inst, Nelson 7010, New Zealand; [Hay, Brenda] AquaBio Consultants Ltd, 102 McLeod Rd,RD1, Helensville 0874, New Zealand; [Farrell, Hazel] NSW Food Author, POB 6682, Silverwater, NSW 811, Australia</t>
  </si>
  <si>
    <t>University of Tasmania; Universite de Bretagne Occidentale; Institut Universitaire Europeen de la Mer (IUEM); Cawthron Institute</t>
  </si>
  <si>
    <t>Hallegraeff, GM (corresponding author), Univ Tasmania, Inst Marine &amp; Antarctic Studies, Private Bag 129, Hobart, Tas 7001, Australia.</t>
  </si>
  <si>
    <t>Hallegraeff@utas.edu.au</t>
  </si>
  <si>
    <t>Schweibold, Laura/IUP-6727-2023; Farrell, Hazel/H-1745-2013; Hallegraeff, Gustaaf/C-8351-2013</t>
  </si>
  <si>
    <t>Schweibold, Laura/0000-0001-5513-045X; Farrell, Hazel/0000-0003-0890-7953; Hallegraeff, Gustaaf/0000-0001-8464-7343</t>
  </si>
  <si>
    <t>1568-9883</t>
  </si>
  <si>
    <t>1878-1470</t>
  </si>
  <si>
    <t>Harmful Algae</t>
  </si>
  <si>
    <t>10.1016/j.hal.2020.101848</t>
  </si>
  <si>
    <t>RP0XE</t>
  </si>
  <si>
    <t>WOS:000641459100004</t>
  </si>
  <si>
    <t>Hu, S; Zhu, YN; Rosenfeld, D; Mao, FY; Lu, X; Pan, ZX; Zang, L; Gong, W</t>
  </si>
  <si>
    <t>Hu, Shuang; Zhu, Yannian; Rosenfeld, Daniel; Mao, Feiyue; Lu, Xin; Pan, Zengxin; Zang, Lin; Gong, Wei</t>
  </si>
  <si>
    <t>The Dependence of Ship-Polluted Marine Cloud Properties and Radiative Forcing on Background Drop Concentrations</t>
  </si>
  <si>
    <t>AEROSOL INFLUENCE; COVER; ALBEDO</t>
  </si>
  <si>
    <t>Marine low clouds of the busy shipping lane in the southeast Atlantic during the springs of 2003-2015 were analyzed to study the dependence of their properties and radiative forcing on the background cloud drop concentrations (Nd-bg). The overall average cloud radiative effect within the shipping lane was larger by only -1 Wm(-2) compared to the adjacent clouds. However, this near-zero averaged effect was composed of large negative cloud radiative forcing (CRF) for the cleanest (13%) of the cases with Nd-bg &lt; 50 cm(-3), which was almost neutralized by a positive CRF for the 40% of the cases with Nd-bg &gt; 70 cm(-3). A possible explanation for this positive forcing is the cloud burning effect of the black carbon from ship emissions. The negative forcing was composed of 45% for the cloud fraction (Cf) effect and 55% for the albedo effects, which included a small contribution of the liquid water path (LWP) effect. Positive Cf susceptibility to Nd-core was at maximum for the lowest Nd-bg and disappeared near 60 cm(-3). The albedo susceptibility to Nd-core reached its theoretical limit of 1/3 for constant LWP when Nd-bg &lt;40 cm(-3), and diminishes to 0.2 when Nd-bg = 60 cm(-3). These susceptibilities represent cause and effect relationships because the differences of aerosols caused by the ship emissions vary at a much smaller scale than meteorology. Globally, under similar environmental conditions, nearly half of the area has N-d &lt; 50 cm(-3), thus possessing the indicated large susceptibility of negative radiative forcing to anthropogenic aerosols.</t>
  </si>
  <si>
    <t>[Hu, Shuang] Wuhan Univ, Sch Remote Sensing &amp; Informat Engn, Wuhan, Peoples R China; [Zhu, Yannian; Rosenfeld, Daniel] Nanjing Univ, Sch Atmospher Sci, Nanjing, Jiangsu, Peoples R China; [Zhu, Yannian] Nanjing Univ, Joint Int Res Lab Atmospher &amp; Earth Syst Sci, Nanjing, Peoples R China; [Zhu, Yannian] Nanjing Univ, Inst Climate &amp; Global Change Res, Nanjing, Peoples R China; [Rosenfeld, Daniel; Pan, Zengxin] Hebrew Univ Jerusalem, Inst Earth Sci, Jerusalem, Israel; [Rosenfeld, Daniel; Mao, Feiyue; Lu, Xin; Gong, Wei] Wuhan Univ, State Key Lab Informat Engn Surveying Mapping &amp; R, Wuhan, Peoples R China; [Zang, Lin] Wuhan Univ, Chinese Antarctic Ctr Surveying &amp; Mapping, Wuhan, Peoples R China</t>
  </si>
  <si>
    <t>Wuhan University; Nanjing University; Nanjing University; Nanjing University; Hebrew University of Jerusalem; Wuhan University; Wuhan University</t>
  </si>
  <si>
    <t>Zhu, YN (corresponding author), Nanjing Univ, Sch Atmospher Sci, Nanjing, Jiangsu, Peoples R China.;Zhu, YN (corresponding author), Nanjing Univ, Joint Int Res Lab Atmospher &amp; Earth Syst Sci, Nanjing, Peoples R China.;Zhu, YN (corresponding author), Nanjing Univ, Inst Climate &amp; Global Change Res, Nanjing, Peoples R China.</t>
  </si>
  <si>
    <t>yannianzhu@gmail.com</t>
  </si>
  <si>
    <t>Zhu, Yannian/GYE-1080-2022; Rosenfeld, Daniel/F-6077-2016</t>
  </si>
  <si>
    <t>Rosenfeld, Daniel/0000-0002-0784-7656; Hu, Shuang/0000-0003-0303-9659; Zhu, Yannian/0000-0002-8371-1830</t>
  </si>
  <si>
    <t>National Natural Science Foundation of China [41627804, 42075093, 41971285]; National Key R&amp;D Program of China [2017YFC0212600]</t>
  </si>
  <si>
    <t>National Natural Science Foundation of China(National Natural Science Foundation of China (NSFC)); National Key R&amp;D Program of China</t>
  </si>
  <si>
    <t>This study is supported by the National Natural Science Foundation of China (41627804, 42075093, 41971285) and the National Key R&amp;D Program of China (2017YFC0212600).</t>
  </si>
  <si>
    <t>e2020JD033852</t>
  </si>
  <si>
    <t>10.1029/2020JD033852</t>
  </si>
  <si>
    <t>RO3TS</t>
  </si>
  <si>
    <t>WOS:000640969000025</t>
  </si>
  <si>
    <t>Loeb, NA; Kennedy, A</t>
  </si>
  <si>
    <t>Loeb, Nicole A.; Kennedy, Aaron</t>
  </si>
  <si>
    <t>Blowing Snow at McMurdo Station, Antarctica During the AWARE Field Campaign: Surface and Ceilometer Observations</t>
  </si>
  <si>
    <t>AWARE; blowing snow; ceilometer; lidar; McMurdo station</t>
  </si>
  <si>
    <t>ROSS ISLAND REGION; SNOWDRIFT SUBLIMATION; MASS-BALANCE; ICE-SHELF; TRANSPORT</t>
  </si>
  <si>
    <t>Blowing snow (BLSN) is an impactful process in cold climates, affecting regional thermodynamics, radiation properties, and the surface mass balance of snow. Though it has significant climatic impacts, the process is still poorly understood and not widely included in weather and climate models. In 2016, the AWARE Field Campaign saw the deployment of a large suite of in situ and remote sensing instruments to McMurdo Station, Antarctica allowing for investigation of BLSN. A ceilometer-based BLSN detection algorithm used elsewhere in Antarctica is applied to data from AWARE, yielding a BLSN frequency of 14.1% compared to 8.2% as detected by human observers. To increase confidence in detections, the algorithm is updated to have shorter temporal averaging and to include a variety of meteorological thresholds to limit false detections due to fog. Efforts to incorporate a laser disdrometer into the algorithm were unsuccessful. An unphysical dependence of particle size distributions on wind speed is found suggesting observations are problematic at wind speeds greater than 10 m s(-1). The revised algorithm detected a BLSN frequency of 7.4%, increasing agreement with human observations and confidence that the process is actively occurring at the observation site. These observations are put into context of a climatology of human observations of BLSN at McMurdo station from 2002-2018. An annual average of 8.0%-14.0% is estimated, with a total annual range of 3.4%-21.3%. Regardless of whether BLSN is observed by humans or instrument, the majority of cases at this location are associated with ongoing precipitation. Plain Language Summary This study investigated the occurrence of blowing snow (BLSN) at McMurdo Station in Antarctica. Understanding this process is important for reasons ranging from immediate travel impacts (e.g., whiteout conditions) to long-term changes in ice sheet surface mass balance. We used a number of meteorological instruments and human observations to estimate how often BLSN occurs. We provide a range in BLSN frequencies because we don't know what ground truth is. The instrument we hoped would provide this information struggles during periods of strong winds. Because BLSN is associated with strong winds, this is problematic.</t>
  </si>
  <si>
    <t>[Loeb, Nicole A.] Univ Manitoba, Dept Geog &amp; Environm, Winnipeg, MB, Canada; [Kennedy, Aaron] Univ North Dakota, Dept Atmospher Sci, Grand Forks, ND 58202 USA</t>
  </si>
  <si>
    <t>University of Manitoba; University of North Dakota Grand Forks</t>
  </si>
  <si>
    <t>Kennedy, A (corresponding author), Univ North Dakota, Dept Atmospher Sci, Grand Forks, ND 58202 USA.</t>
  </si>
  <si>
    <t>aaron.kennedy@und.edu</t>
  </si>
  <si>
    <t>Loeb, Nicole/0000-0003-3852-5913</t>
  </si>
  <si>
    <t>DOE ASR grant [DE-SC0019392]; U.S. Department of Energy (DOE) [DE-SC0019392] Funding Source: U.S. Department of Energy (DOE)</t>
  </si>
  <si>
    <t>DOE ASR grant; U.S. Department of Energy (DOE)(United States Department of Energy (DOE))</t>
  </si>
  <si>
    <t>This research is funded by DOE ASR grant DE-SC0019392. The authors would like to thank Michael Ritsche and his colleagues at ARM for reprocessing the ceilometer data, Alexandra Gossart for assistance with the ceilometer BLSN detection algorithm, the Antarctic Meteorological Research Center (AMRC) and the McMurdo Station Meteorology Office for the human observation data, Mark Seefeldt for sharing Parsivel2 data from the Phoenix site, and the lidar group at the University of Wisconsin-Madison for providing the high-resolution HSRL data shown in Figure 14. Finally, the authors would like to Alexendra Gossart and one anonymous reviewer who provided a number of helpful comments that improved the analysis and clarity of the manuscript.</t>
  </si>
  <si>
    <t>e2020JD033935</t>
  </si>
  <si>
    <t>10.1029/2020JD033935</t>
  </si>
  <si>
    <t>WOS:000640969000049</t>
  </si>
  <si>
    <t>Vignon, É; Alexander, SP; DeMott, PJ; Sotiropoulou, G; Gerber, F; Hill, TCJ; Marchand, R; Nenes, A; Berne, A</t>
  </si>
  <si>
    <t>Vignon, E.; Alexander, S. P.; DeMott, P. J.; Sotiropoulou, G.; Gerber, F.; Hill, T. C. J.; Marchand, R.; Nenes, A.; Berne, A.</t>
  </si>
  <si>
    <t>Challenging and Improving the Simulation of Mid-Level Mixed-Phase Clouds Over the High-Latitude Southern Ocean</t>
  </si>
  <si>
    <t>Antarctica; ice nuclei particles; microphysics; mixed-phase clouds; Southern Ocean</t>
  </si>
  <si>
    <t>POLAR WEATHER RESEARCH; BOUNDARY-LAYER; PART I; TOPPED MARINE; ADELIE LAND; MODEL; MICROPHYSICS; ENTRAINMENT; RADIATION; RADAR</t>
  </si>
  <si>
    <t>Climate models exhibit major radiative biases over the Southern Ocean owing to a poor representation of mixed-phase clouds. This study uses the remote-sensing dataset from the Measurements of Aerosols, Radiation and Clouds over the Southern Ocean (MARCUS) campaign to assess the ability of the Weather Research and Forecasting (WRF) model to reproduce frontal clouds off Antarctica. It focuses on the modeling of thin mid-level supercooled liquid water layers which precipitate ice. The standard version of WRF produces almost fully glaciated clouds and cannot reproduce cloud top turbulence. Our work demonstrates the importance of adapting the ice nucleation parameterization to the pristine austral atmosphere to reproduce the supercooled liquid layers. Once simulated, droplets significantly impact the cloud radiative effect by increasing downwelling longwave fluxes and decreasing downwelling shortwave fluxes at the surface. The net radiative effect is a warming of snow and ice covered surfaces and a cooling of the ocean. Despite improvements in our simulations, the local turbulent circulation related to cloud-top radiative cooling is not properly reproduced, advocating for the need to develop a parameterization for top-down convection to capture the turbulence-microphysics interplay at cloud top. Plain Language Summary Among the major shortcomings of climate models is a poor representation of clouds over the Southern Ocean. Thanks to new measurements from the Measurements of Aerosols, Radiation and Clouds over the Southern Ocean campaign that took place aboard the Aurora Australia ice breaker, we can now better assess the ability of models to represent clouds off Antarctica. In particular, we focus here on clouds that are mostly composed of ice crystals but that are topped by a thin layer of so-called supercooled liquid droplets that form at temperatures below zero Celsius. While the standard version of the model produces clouds composed only of ice, we show that by adapting the formulation of ice crystal formation to the very pristine atmospheric conditions peculiar to the Southern Ocean it is possible to successfully reproduce thin layers of supercooled liquid droplets observed in mixed-phase clouds. The latter significantly changes how much sunlight these clouds reflect to space, which is critical to understanding the climate. Compared to ice crystals, liquid droplets tend to reflect more solar energy toward space and at the same time, they enhance the cloud infrared emission toward the surface of the Antarctic ice sheet.</t>
  </si>
  <si>
    <t>[Vignon, E.; Berne, A.] Ecole Polytech Fed Lausanne EPFL, Environm Remote Sensing Lab LTE, Lausanne, Switzerland; [Vignon, E.] Sorbone Univ, CNRS, IPSL, Lab Meteorol Dynam,UMR 8539, Paris, France; [Alexander, S. P.] Australian Antarctic Div, Kingston, Tas, Australia; [Alexander, S. P.] Univ Tasmania, Australian Antarctic Program Partnership, Inst Marine &amp; Antarctic Sci, Hobart, Tas, Australia; [DeMott, P. J.; Hill, T. C. J.] Colorado State Univ, Dept Atmospher Sci, Ft Collins, CO 80523 USA; [Sotiropoulou, G.; Nenes, A.] Ecole Polytech Fed Lausanne EPFL, Lab Atmospher Proc &amp; Their Impacts LAPI, Lausanne, Switzerland; [Sotiropoulou, G.] Stockholm Univ, Dept Meteorol, Stockholm, Sweden; [Sotiropoulou, G.] Stockholm Univ, Bolin Ctr Climate Res, Stockholm, Sweden; [Gerber, F.] WSL Inst Snow &amp; Avalanche Res SLF, Davos, Switzerland; [Gerber, F.] Ecole Polytech Fed Lausanne EPFL, Lab Cryospher Sci CRYOS, Lausanne, Switzerland; [Marchand, R.] Univ Washington, Dept Atmospher Sci, Seattle, WA 98195 USA; [Nenes, A.] Fdn Res &amp; Technol Hellas ICE HT FORTH, Inst Chem Engn Sci, Ctr Study Air Qual &amp; Climate Change C STACC, Patras, Greece</t>
  </si>
  <si>
    <t>Swiss Federal Institutes of Technology Domain; Ecole Polytechnique Federale de Lausanne; Centre National de la Recherche Scientifique (CNRS); CNRS - National Institute for Earth Sciences &amp; Astronomy (INSU); Sorbonne Universite; Universite Paris Cite; Australian Antarctic Division; University of Tasmania; Colorado State University; Swiss Federal Institutes of Technology Domain; Ecole Polytechnique Federale de Lausanne; Stockholm University; Swiss Federal Institutes of Technology Domain; Swiss Federal Institute for Forest, Snow &amp; Landscape Research; Swiss Federal Institutes of Technology Domain; Ecole Polytechnique Federale de Lausanne; University of Washington; University of Washington Seattle; Foundation for Research &amp; Technology - Hellas (FORTH); Institute of Chemical Engineering Sciences (ICE-HT)</t>
  </si>
  <si>
    <t>Vignon, É (corresponding author), Ecole Polytech Fed Lausanne EPFL, Environm Remote Sensing Lab LTE, Lausanne, Switzerland.;Vignon, É (corresponding author), Sorbone Univ, CNRS, IPSL, Lab Meteorol Dynam,UMR 8539, Paris, France.</t>
  </si>
  <si>
    <t>Gerber, Franziska/AAD-6765-2019; DeMott, Paul J/C-4389-2011; Nenes, Athanasios/ABE-6478-2020</t>
  </si>
  <si>
    <t>Gerber, Franziska/0000-0002-1783-5093; DeMott, Paul J/0000-0002-3719-1889; Nenes, Athanasios/0000-0003-3873-9970; Hill, Thomas/0000-0002-5293-3959; VIGNON, Etienne/0000-0003-3801-9367; Alexander, Simon/0000-0001-6823-8857; Berne, Alexis/0000-0003-4977-1204</t>
  </si>
  <si>
    <t>EPFL-LO-SUMEA project; Australia Antarctic Science projects [4292, 4387]; U.S. Department of Energy's (DOE) Atmospheric System Research, an Office of Science Biological and Environmental Research program [DE-SC0018929]; AAD through Australian Antarctic Science projects [4292, 4387]; U.S. Department of Energy (DOE) [DE-SC0018929] Funding Source: U.S. Department of Energy (DOE)</t>
  </si>
  <si>
    <t>EPFL-LO-SUMEA project; Australia Antarctic Science projects; U.S. Department of Energy's (DOE) Atmospheric System Research, an Office of Science Biological and Environmental Research program(United States Department of Energy (DOE)); AAD through Australian Antarctic Science projects; U.S. Department of Energy (DOE)(United States Department of Energy (DOE))</t>
  </si>
  <si>
    <t>This work was funded by the EPFL-LO-SUMEA project. The contribution of S.A. was supported through Australia Antarctic Science projects 4292 and 4387. P. J. DeMott, acknowledges support from the U.S. Department of Energy's (DOE) Atmospheric System Research, an Office of Science Biological and Environmental Research program, under Grant No. DE-SC0018929, and use of data obtained from the DOE Atmospheric Radiation Measurement (ARM) User Facility. The authors thank Constantino Listowski, Jean-Baptiste Madeleine, Noemie Planat, Michael Lehning and Varun Sharma for fruitful discussions, Josue Gehring for his help for the turbulence dissipation rate estimations from radar data and Jay Mace for helping calibrate the radar measurements. The authors also gratefully thank Kevin Barry for assisting with processing of the INP samples. Technical, logistical and ship support for MARCUS were provided by the AAD through Australian Antarctic Science projects 4292 and 4387 and they thank Steven Whiteside, Lloyd Symonds, Rick van den Enden, Peter de Vries, Chris Young and Chris Richards for assistance. They also thank four anonymous reviewers whose insightful comments helped to improve the manuscript.</t>
  </si>
  <si>
    <t>e2020JD033490</t>
  </si>
  <si>
    <t>10.1029/2020JD033490</t>
  </si>
  <si>
    <t>WOS:000640969000016</t>
  </si>
  <si>
    <t>Vanková, I; Cook, S; Winberry, JP; Nicholls, KW; Galton-Fenzi, BK</t>
  </si>
  <si>
    <t>Vankova, Irena; Cook, Sue; Winberry, J. Paul; Nicholls, Keith W.; Galton-Fenzi, Benjamin K.</t>
  </si>
  <si>
    <t>Deriving Melt Rates at a Complex Ice Shelf Base Using In Situ Radar: Application to Totten Ice Shelf</t>
  </si>
  <si>
    <t>ApRES; basal melt; ground‐ based radar; ice shelves; Totten</t>
  </si>
  <si>
    <t>PHASE-SENSITIVE RADAR; GLACIER</t>
  </si>
  <si>
    <t>A phase-sensitive radar (ApRES) was deployed on Totten Ice Shelf to provide the first in situ basal melt estimate at this dynamic East Antarctic ice shelf. Observations of internal ice dynamics at tidal time scales showed that early arrivals from off-nadir reflectors obscure the true depth of the ice shelf base. Using the observed tidal deformation, the true base was found to lie at 1,910-1,950-m depth, at 350-400 m greater range than the first reflection from an ice-ocean interface. The robustness of the basal melt rate estimate was increased by using multiple basal reflections over the radar footprint, yielding a melt rate of 22 +/- 2.1 m a(-1). The ApRES estimate is over 40% lower than the three existing satellite estimates covering Totten Ice Shelf. This difference in basal melt is dynamically significant and highlights the need for independent melt rate estimates using complementary instrumentation and techniques that rely on different sets of assumptions.</t>
  </si>
  <si>
    <t>[Vankova, Irena; Nicholls, Keith W.] British Antarctic Survey, Nat Environm Res Council, Cambridge, England; [Cook, Sue; Galton-Fenzi, Benjamin K.] Univ Tasmania, Inst Marine &amp; Antarctic Studies, Australian Antarctic Program Partnership, Hobart, Tas, Australia; [Winberry, J. Paul] Cent Washington Univ, Dept Geol Sci, Ellensburg, WA USA; [Galton-Fenzi, Benjamin K.] Australian Antarctic Div, Kingston, Tas, Australia</t>
  </si>
  <si>
    <t>UK Research &amp; Innovation (UKRI); Natural Environment Research Council (NERC); NERC British Antarctic Survey; University of Tasmania; Central Washington University; Australian Antarctic Division</t>
  </si>
  <si>
    <t>Vanková, I (corresponding author), British Antarctic Survey, Nat Environm Res Council, Cambridge, England.</t>
  </si>
  <si>
    <t>irkova@bas.ac.uk</t>
  </si>
  <si>
    <t>Winberry, Paul/HLQ-2673-2023; Cook, Sue/E-8390-2018</t>
  </si>
  <si>
    <t>Winberry, Paul/0000-0003-1205-0745; Galton-Fenzi, Benjamin Keith/0000-0003-1404-4103; Cook, Sue/0000-0001-9878-4218</t>
  </si>
  <si>
    <t>Australian Government as part of the Antarctic Science Collaboration Initiative program; Australian Research Council's Special Research Initiative for Antarctic Gateway Partnership [SR140300001]; Australian Antarctic Science Program [4287]; European Union's Horizon 2020 research and innovation programme under the Marie Sklodowska-Curie grant [790062]; Marie Curie Actions (MSCA) [790062] Funding Source: Marie Curie Actions (MSCA); NERC [bas0100033] Funding Source: UKRI</t>
  </si>
  <si>
    <t>Australian Government as part of the Antarctic Science Collaboration Initiative program(Australian Government); Australian Research Council's Special Research Initiative for Antarctic Gateway Partnership(Australian Research Council); Australian Antarctic Science Program; European Union's Horizon 2020 research and innovation programme under the Marie Sklodowska-Curie grant(Marie Curie Actions); Marie Curie Actions (MSCA)(Marie Curie Actions); NERC(UK Research &amp; Innovation (UKRI)Natural Environment Research Council (NERC))</t>
  </si>
  <si>
    <t>This project received grant funding from the Australian Government as part of the Antarctic Science Collaboration Initiative program and the Australian Research Council's Special Research Initiative for Antarctic Gateway Partnership (Project ID SR140300001). Field activities were supported through the Australian Antarctic Science Program grant number 4287. I. Vankova has received funding from the European Union's Horizon 2020 research and innovation programme under the Marie Sklodowska-Curie grant agreement 790062. We thank two anonymous reviewers for their detailed review which significantly improved the paper.</t>
  </si>
  <si>
    <t>e2021GL092692</t>
  </si>
  <si>
    <t>10.1029/2021GL092692</t>
  </si>
  <si>
    <t>Green Published, Green Accepted, hybrid</t>
  </si>
  <si>
    <t>WOS:000641974600083</t>
  </si>
  <si>
    <t>Verjans, V; Leeson, AA; McMillan, M; Stevens, CM; van Wessem, JM; van de Berg, WJ; van den Broeke, MR; Kittel, C; Amory, C; Fettweis, X; Hansen, N; Boberg, F; Mottram, R</t>
  </si>
  <si>
    <t>Verjans, V.; Leeson, A. A.; McMillan, M.; Stevens, C. M.; van Wessem, J. M.; van de Berg, W. J.; van den Broeke, M. R.; Kittel, C.; Amory, C.; Fettweis, X.; Hansen, N.; Boberg, F.; Mottram, R.</t>
  </si>
  <si>
    <t>Uncertainty in East Antarctic Firn Thickness Constrained Using a Model Ensemble Approach</t>
  </si>
  <si>
    <t>east Antarctic ice sheet; firn; model‐ ensemble</t>
  </si>
  <si>
    <t>SURFACE MASS-BALANCE; ICE-SHEET; CLIMATE MODELS; POLAR SNOW; DENSIFICATION; GREENLAND; ELEVATION; TEMPERATURE; COMPACTION; GAINS</t>
  </si>
  <si>
    <t>Mass balance assessments of the East Antarctic ice sheet (EAIS) are highly sensitive to changes in firn thickness, causing substantial disagreement in estimates of its contribution to sea-level. To better constrain the uncertainty in recent firn thickness changes, we develop an ensemble of 54 model scenarios of firn evolution between 1992 and 2017. Using statistical emulation of firn-densification models, we quantify the impact of firn compaction formulation, differing climatic forcing, and surface snow density on firn thickness evolution. At basin scales, the ensemble uncertainty in firn thickness change ranges between 0.2 and 1.0 cm yr(-1) (15%-300% relative uncertainty), with the choice of climate forcing having the largest influence on the spread. Our results show the regions of the ice sheet where unexplained discrepancies exist between observed elevation changes and an extensive set of modeled firn thickness changes estimates, marking an important step toward more accurately constraining ice sheet mass balance.</t>
  </si>
  <si>
    <t>[Verjans, V.; Leeson, A. A.; McMillan, M.] Univ Lancaster, Lancaster Environm Ctr, Lancaster, England; [Stevens, C. M.] Univ Washington, Dept Earth &amp; Space Sci, Seattle, WA 98195 USA; [Stevens, C. M.] Univ Maryland, Earth Syst Sci Interdisciplinary Ctr, College Pk, MD 20742 USA; [Stevens, C. M.] Dept NASA Goddard Space Flight Ctr, Greenbelt, MD USA; [van Wessem, J. M.; van de Berg, W. J.; van den Broeke, M. R.] Univ Utrecht, Inst Marine &amp; Atmospher Res Utrecht, Utrecht, Netherlands; [Kittel, C.; Amory, C.; Fettweis, X.] Univ Liege, Dept Geog, SPHERES Res Unit, Lab Climatol, Liege, Belgium; [Amory, C.] Univ Grenoble Alpes, Inst Geosci Environm, CNRS, Grenoble, France; [Hansen, N.; Boberg, F.; Mottram, R.] Danish Meteorol Inst, Copenhagen, Denmark; [Hansen, N.] Tech Univ Denmark, Dept Geodynam, DTU Space, Lyngby, Denmark</t>
  </si>
  <si>
    <t>Lancaster University; University of Washington; University of Washington Seattle; University System of Maryland; University of Maryland College Park; Utrecht University; University of Liege; Centre National de la Recherche Scientifique (CNRS); Communaute Universite Grenoble Alpes; Universite Grenoble Alpes (UGA); Danish Meteorological Institute DMI; Technical University of Denmark</t>
  </si>
  <si>
    <t>Verjans, V (corresponding author), Univ Lancaster, Lancaster Environm Ctr, Lancaster, England.</t>
  </si>
  <si>
    <t>v.verjans@lancaster.ac.uk</t>
  </si>
  <si>
    <t>Hansen, Nicolaj/AAP-8709-2021; van de Berg, Willem Jan/H-4385-2011; McMillan, Malcolm/HLQ-1163-2023; Van den Broeke, Michiel R./F-7867-2011; Leeson, Amber/JFA-1001-2023</t>
  </si>
  <si>
    <t>Hansen, Nicolaj/0000-0002-4448-8891; van de Berg, Willem Jan/0000-0002-8232-2040; Van den Broeke, Michiel R./0000-0003-4662-7565; Boberg, Fredrik/0000-0002-2589-8422; Verjans, Vincent/0000-0002-3928-9556; Stevens, Christopher Max/0000-0003-2005-0876; Amory, Charles/0000-0002-5906-4303; Fettweis, Xavier/0000-0002-4140-3813; McMillan, Malcolm/0000-0002-5113-0177; Leeson, Amber/0000-0001-8720-9808; Kittel, Christoph/0000-0001-6586-9784</t>
  </si>
  <si>
    <t>EPSRC, A Data Science for the Natural Environment [EP/R01860X/1]; UK Natural Environment Research Council Centre for Polar Observation and Modeling [cpom300001]; Netherlands Earth System Science Centre (NESSC); NERC [cpom30001, NE/T009470/1] Funding Source: UKRI</t>
  </si>
  <si>
    <t>EPSRC, A Data Science for the Natural Environment; UK Natural Environment Research Council Centre for Polar Observation and Modeling; Netherlands Earth System Science Centre (NESSC); NERC(UK Research &amp; Innovation (UKRI)Natural Environment Research Council (NERC))</t>
  </si>
  <si>
    <t>The authors thank Andrew Shepherd for constructive discussions about our results. AL acknowledges support from EPSRC, A Data Science for the Natural Environment (EP/R01860X/1). M. McMillan was supported by the UK Natural Environment Research Council Centre for Polar Observation and Modeling (grant number cpom300001). MvdB acknowledges support from the Netherlands Earth System Science Centre (NESSC). The authors thank editor Mathieu Morlighem, reviewer Eric Keenan and one anonymous reviewer for providing insightful comments and for their handling of the review process.</t>
  </si>
  <si>
    <t>e2020GL092060</t>
  </si>
  <si>
    <t>10.1029/2020GL092060</t>
  </si>
  <si>
    <t>WOS:000641974600074</t>
  </si>
  <si>
    <t>Yu, LJ; Zhong, SY; Vihma, T; Sui, CJ; Sun, B</t>
  </si>
  <si>
    <t>Yu, Lejiang; Zhong, Shiyuan; Vihma, Timo; Sui, Cuijuan; Sun, Bo</t>
  </si>
  <si>
    <t>Sea Ice Changes in the Pacific Sector of the Southern Ocean in Austral Autumn Closely Associated With the Negative Polarity of the South Pacific Oscillation</t>
  </si>
  <si>
    <t>Antarctic sea ice; planetary wavetrains; sea surface temperature anomalies; South Pacific Oscillation (SPO); Southern Annular Mode (SAM)</t>
  </si>
  <si>
    <t>SURFACE-TEMPERATURE; TRENDS; EXTENT</t>
  </si>
  <si>
    <t>We present an explanation for the sea ice concentration trends in the Pacific sector of the Southern Ocean (PSSO) in austral autumn (April-June) during 1979-2018. Sea ice has decreased in the Bellingshausen Sea and increased in the Ross Sea, concurrently with a negative trend in the South Pacific Oscillation (SPO). SPO statistically explains 43% of the sea ice concentration trend averaged over PSSO. Convective activities over East Africa and the southwestern Indian Ocean, the Interdecadal Pacific Oscillation (IPO), and extratropical processes excite a wavetrain that propagates from the Indian Ocean to the Southern Ocean and South America. The wavetrain contributes to the decrease of the autumn SPO index, which influences sea ice changes over PSSO. During the negative phase of SPO, an anomalous surface anticyclonic wind field over high-latitude South Pacific Ocean generates anomalous sea ice concentrations via heat advection and wind forcing on ice drift.</t>
  </si>
  <si>
    <t>[Yu, Lejiang; Sun, Bo] Polar Res Inst China, MNR Key Lab Polar Sci, Shanghai, Peoples R China; [Zhong, Shiyuan] Michigan State Univ, Dept Geog Environm &amp; Spatial Sci, E Lansing, MI 48824 USA; [Vihma, Timo] Finnish Meteorol Inst, Helsinki, Finland; [Sui, Cuijuan] Natl Marine Environm Forecasting Ctr, Beijing, Peoples R China</t>
  </si>
  <si>
    <t>Polar Research Institute of China; Michigan State University; Finnish Meteorological Institute; National Marine Environmental Forecasting Center</t>
  </si>
  <si>
    <t>Yu, LJ (corresponding author), Polar Res Inst China, MNR Key Lab Polar Sci, Shanghai, Peoples R China.</t>
  </si>
  <si>
    <t>yulejiang@sina.com.cn</t>
  </si>
  <si>
    <t>sun, bo/JFA-9978-2023</t>
  </si>
  <si>
    <t>Yu, Lejiang/0000-0003-0535-1937</t>
  </si>
  <si>
    <t>National Key R&amp;D Program of China [2019YFC1509102, 2018YFA0605701]; National Natural Science Foundation of China [41941009]; Academy of Finland [304345]; Academy of Finland (AKA) [304345] Funding Source: Academy of Finland (AKA)</t>
  </si>
  <si>
    <t>National Key R&amp;D Program of China; National Natural Science Foundation of China(National Natural Science Foundation of China (NSFC)); Academy of Finland(Research Council of Finland); Academy of Finland (AKA)</t>
  </si>
  <si>
    <t>The authors thank the European Centre for Medium-Range Weather Forecasts (ECMWF) for the ERA-Interim data. This study is financially supported by the National Key R&amp;D Program of China (2019YFC1509102; 2018YFA0605701), the National Natural Science Foundation of China (41941009), and the Academy of Finland (304345).</t>
  </si>
  <si>
    <t>e2021GL092409</t>
  </si>
  <si>
    <t>10.1029/2021GL092409</t>
  </si>
  <si>
    <t>WOS:000641974600062</t>
  </si>
  <si>
    <t>Bakke, J; Paasche, O; Schaefer, JM; Timmermann, A</t>
  </si>
  <si>
    <t>Bakke, Jostein; Paasche, Oyvind; Schaefer, Joerg M.; Timmermann, Axel</t>
  </si>
  <si>
    <t>Long-term demise of sub-Antarctic glaciers modulated by the Southern Hemisphere Westerlies</t>
  </si>
  <si>
    <t>ICE-SHELF; HOLOCENE CLIMATE; GEORGIA; PENINSULA; GEOMORPHOLOGY; FLUCTUATIONS; DEGLACIATION; VARIABILITY; ADVANCE; HISTORY</t>
  </si>
  <si>
    <t>The accelerated melting of ice on the Antarctic Peninsula and islands in the sub-Antarctic suggests that the cryosphere is edging towards an irreversible tipping point. How unusual is this trend of ice loss within the frame of natural variability, and to what extent can it be explained by underlying climate dynamics? Here, we present new high-resolution reconstructions of long-term changes in the extents of three glaciers on the island of South Georgia (54 degrees S, 36 degrees W), combining detailed analyses of glacial-derived sediments deposited in distal glacier-fed lakes and cosmogenic exposure dating of moraines. We document that the glaciers of South Georgia have gradually retracted since the Antarctic cold reversal (ACR, 14.5-12.8 ka), culminating in the disappearance of at least one of the reconstructed glaciers. The glacier retreat pattern observed in South Georgia suggests a persistent link to summer insolation at 55 degrees S, which intensified during the period from the ACR to approximately 2 ka. It also reveals multi-decadal to centennial climate shifts superimposed on this long-term trend that have resulted in at least nine glacier readvances during the last 10.5 ka. Accompanying meridional changes in the Southern Hemisphere westerlies and their interconnection with local topography may explain these glacier readvances.</t>
  </si>
  <si>
    <t>[Bakke, Jostein; Paasche, Oyvind] Bjerknes Ctr Climate Res, Allegaten 70, N-5007 Bergen, Norway; [Bakke, Jostein] Univ Bergen, Dept Earth Sci, Allegaten 41, N-5020 Bergen, Norway; [Paasche, Oyvind] NORCE Climate, Allegaten 70, N-5007 Bergen, Norway; [Schaefer, Joerg M.] Columbia Univ, Lamont Doherty Earth Observ, Palisades, NY 10027 USA; [Timmermann, Axel] Inst Basic Sci, IBS Ctr Climate Phys, Busan, South Korea; [Timmermann, Axel] Pusan Natl Univ, Busan, South Korea</t>
  </si>
  <si>
    <t>Bjerknes Centre for Climate Research; University of Bergen; Norwegian Research Centre (NORCE); Columbia University; Institute for Basic Science - Korea (IBS); Pusan National University</t>
  </si>
  <si>
    <t>Bakke, J (corresponding author), Bjerknes Ctr Climate Res, Allegaten 70, N-5007 Bergen, Norway.;Bakke, J (corresponding author), Univ Bergen, Dept Earth Sci, Allegaten 41, N-5020 Bergen, Norway.</t>
  </si>
  <si>
    <t>Jostein.Bakke@uib.no</t>
  </si>
  <si>
    <t>Timmermann, Axel/Y-2799-2019; Timmermann, Axel/F-4977-2011</t>
  </si>
  <si>
    <t>Timmermann, Axel/0000-0003-0657-2969; Paasche, Oyvind/0000-0003-0329-9063</t>
  </si>
  <si>
    <t>Norwegian Research Council (NCR) [210004]; Institute for Basic Science [IBS-R028-D1]; Vetlesen Foundation; Columbia Climate Center; Columbia Center for Climate and Life</t>
  </si>
  <si>
    <t>Norwegian Research Council (NCR)(Research Council of Norway); Institute for Basic Science; Vetlesen Foundation; Columbia Climate Center; Columbia Center for Climate and Life</t>
  </si>
  <si>
    <t>This is a contribution to SHIFTS and SOUTHSPHERE financially supported by the Norwegian Research Council (NCR) (210004). A.T. was supported by the Institute for Basic Science (project code IBS-R028-D1). JMS gratefully acknowledges support by the Vetlesen Foundation, the Columbia Climate Center and the Columbia Center for Climate and Life.</t>
  </si>
  <si>
    <t>10.1038/s41598-021-87317-5</t>
  </si>
  <si>
    <t>RP5VC</t>
  </si>
  <si>
    <t>WOS:000641795600004</t>
  </si>
  <si>
    <t>Zwerschke, N; Morley, SA; Peck, LS; Barnes, DKA</t>
  </si>
  <si>
    <t>Zwerschke, Nadescha; Morley, Simon A.; Peck, Lloyd S.; Barnes, David K. A.</t>
  </si>
  <si>
    <t>Can Antarctica's shallow zoobenthos 'bounce back' from iceberg scouring impacts driven by climate change?</t>
  </si>
  <si>
    <t>GLOBAL CHANGE BIOLOGY</t>
  </si>
  <si>
    <t>benthos; disturbance; polar; recovery; resilience; sea‐ ice</t>
  </si>
  <si>
    <t>ICE-SCOUR; SEA-ICE; DISTURBANCE; COMMUNITY; BENTHOS; BIODIVERSITY; DISPERSAL; DIVERSITY; RESPONSES; RECOVERY</t>
  </si>
  <si>
    <t>All coastal systems experience disturbances and many across the planet are under unprecedented threat from an intensification of a variety of stressors. The West Antarctic Peninsula is a hotspot of physical climate change and has experienced a dramatic loss of sea-ice and glaciers in recent years. Among other things, sea-ice immobilizes icebergs, reducing collisions between icebergs and the seabed, thus decreasing ice-scouring. Ice disturbance drives patchiness in successional stages across seabed assemblages in Antarctica's shallows, making this an ideal system to understand the ecosystem resilience to increasing disturbance with climate change. We monitored a shallow benthic ecosystem before, during and after a 3-year pulse of catastrophic ice-scouring events and show that such systems can return, or bounce back, to previous states within 10 years. Our long-term data series show that recovery can happen more rapidly than expected, when disturbances abate, even in highly sensitive cold, polar environments.</t>
  </si>
  <si>
    <t>[Zwerschke, Nadescha; Morley, Simon A.; Peck, Lloyd S.; Barnes, David K. A.] British Antarctic Survey, Madingley Rd, Cambridge CB3 0ET, England; [Zwerschke, Nadescha] Joint Nat Conservat Comm, Aberdeen, Scotland</t>
  </si>
  <si>
    <t>UK Research &amp; Innovation (UKRI); Natural Environment Research Council (NERC); NERC British Antarctic Survey</t>
  </si>
  <si>
    <t>Zwerschke, N (corresponding author), British Antarctic Survey, Madingley Rd, Cambridge CB3 0ET, England.</t>
  </si>
  <si>
    <t>nzwerschke01@qub.ac.uk</t>
  </si>
  <si>
    <t>Zwerschke, Nadescha/0000-0003-4099-8269; Barnes, David/0000-0002-9076-7867</t>
  </si>
  <si>
    <t>NERC Core funding; NERC [bas0100036] Funding Source: UKRI</t>
  </si>
  <si>
    <t>NERC Core funding; NERC(UK Research &amp; Innovation (UKRI)Natural Environment Research Council (NERC))</t>
  </si>
  <si>
    <t>NERC Core funding</t>
  </si>
  <si>
    <t>1354-1013</t>
  </si>
  <si>
    <t>1365-2486</t>
  </si>
  <si>
    <t>GLOBAL CHANGE BIOL</t>
  </si>
  <si>
    <t>Glob. Change Biol.</t>
  </si>
  <si>
    <t>10.1111/gcb.15617</t>
  </si>
  <si>
    <t>Biodiversity Conservation; Ecology; Environmental Sciences</t>
  </si>
  <si>
    <t>SM3AU</t>
  </si>
  <si>
    <t>WOS:000640618500001</t>
  </si>
  <si>
    <t>Hallegraeff, G; Enevoldsen, H; Zingone, A</t>
  </si>
  <si>
    <t>Hallegraeff, Gustaaf; Enevoldsen, Henrik; Zingone, Adriana</t>
  </si>
  <si>
    <t>Global harmful algal bloom status reporting</t>
  </si>
  <si>
    <t>An extremely variegated picture of harmful algal bloom types and their socio-economic impacts at the regional and subregional scale emerges from the overviews presented in this special issue. The diversity of the HAB events parallels that of the causative species, which show different ranges and ecological characteristics, as well as highly variable responses to environmental changes. The intensity and frequency of specific blooms vary at regional and local scale, with increasing or decreasing trends and sudden occasional outbursts, but with no general uniform trend that can be discerned from that of increased observational efforts. In many cases intoxications and other adverse effects on human health are kept under control through increased monitoring activities, but impacts on human activities such as aquaculture, fishery, use of natural marine resources and tourism keep on posing economic activities at risk in many regions.</t>
  </si>
  <si>
    <t>[Hallegraeff, Gustaaf] Univ Tasmania, Inst Marine &amp; Antarctic Studies, Private Bag 129, Hobart, Tas 7001, Australia; [Enevoldsen, Henrik] Univ Copenhagen, IOC Sci &amp; Commun Ctr Harmful Algae, Intergovt Oceanog Commiss IOC UNESCO, Copenhagen, Denmark; [Zingone, Adriana] Stazione Zool Anton Dohrn, Naples, Italy</t>
  </si>
  <si>
    <t>University of Tasmania; University of Copenhagen; Stazione Zoologica Anton Dohrn di Napoli</t>
  </si>
  <si>
    <t>Hallegraeff, G (corresponding author), Univ Tasmania, Inst Marine &amp; Antarctic Studies, Private Bag 129, Hobart, Tas 7001, Australia.</t>
  </si>
  <si>
    <t>gustaaf.hallegraeff@utas.edu.au</t>
  </si>
  <si>
    <t>Zingone, Adriana/E-4518-2010; Hallegraeff, Gustaaf/C-8351-2013</t>
  </si>
  <si>
    <t>Schweibold, Laura/0000-0001-5513-045X; Hallegraeff, Gustaaf/0000-0001-8464-7343</t>
  </si>
  <si>
    <t>10.1016/j.hal.2021.101992</t>
  </si>
  <si>
    <t>YJ3KD</t>
  </si>
  <si>
    <t>WOS:000744431800006</t>
  </si>
  <si>
    <t>Marsh, OJ; Price, D; Courville, ZR; Floricioiu, D</t>
  </si>
  <si>
    <t>Marsh, O. J.; Price, D.; Courville, Z. R.; Floricioiu, D.</t>
  </si>
  <si>
    <t>Crevasse and rift detection in Antarctica from TerraSAR-X satellite imagery</t>
  </si>
  <si>
    <t>COLD REGIONS SCIENCE AND TECHNOLOGY</t>
  </si>
  <si>
    <t>Ice shelf; Shear zone; Fracture; Traverse; Polarization; Backscatter; Brunt Ice Shelf; McMurdo Shear Zone</t>
  </si>
  <si>
    <t>PENETRATION DEPTH; RADAR; SNOW</t>
  </si>
  <si>
    <t>Surface crevasses covered by snow bridges can be mapped remotely on ice sheets and glaciers using active microwave synthetic aperture radar. They are highlighted against the surrounding snow due to increased scattering from the side-walls and base of snow bridges and usually appear as linear features. The contrast between crevasses and crevasse-free regions depends on the design of the sensor, the image acquisition parameters and the properties of the snow. Here we quantify how crevassed regions are represented at X-band for different polarizations, look directions and incidence angles, and discuss whether additional information about their physical properties can be gained from their radar signature. Snow bridge thicknesses and crevasse widths are measured on the ground in the McMurdo Shear Zone and Brunt Ice Shelf by ground-penetrating radar and excavation. TerraSAR-X is shown to reliably distinguish crevasse location, balancing penetration into the snow and horizontal resolution. We provide recommendations for radar imaging parameters that optimize the identification of individual crevasses and crevassed regions.</t>
  </si>
  <si>
    <t>[Marsh, O. J.] British Antarcitc Survey, Cambridge, England; [Price, D.] Antarct New Zealand, Christchurch, New Zealand; [Price, D.] Univ Canterbury, Gateway Antarctica, Christchurch, New Zealand; [Courville, Z. R.] US Army, ERDC Cold Reg Res &amp; Engn Lab, Hanover, NH USA; [Floricioiu, D.] German Aerosp Ctr, DLR, Oberpfaffenhofen, Germany</t>
  </si>
  <si>
    <t>University of Canterbury; United States Department of Defense; United States Army; U.S. Army Corps of Engineers; U.S. Army Engineer Research &amp; Development Center (ERDC); Cold Regions Research &amp; Engineering Laboratory (CRREL); Helmholtz Association; German Aerospace Centre (DLR)</t>
  </si>
  <si>
    <t>Marsh, OJ (corresponding author), British Antarcitc Survey, Cambridge, England.</t>
  </si>
  <si>
    <t>olrs@bas.ac.uk</t>
  </si>
  <si>
    <t>Marsh, Oliver J/K-7436-2014</t>
  </si>
  <si>
    <t>Marsh, Oliver/0000-0001-7874-514X</t>
  </si>
  <si>
    <t>DLR [HYD3673]; National Science Foundation Office of Polar Programs Antarctic Infrastructure and Logistics Section</t>
  </si>
  <si>
    <t>DLR(Helmholtz AssociationGerman Aerospace Centre (DLR)); National Science Foundation Office of Polar Programs Antarctic Infrastructure and Logistics Section</t>
  </si>
  <si>
    <t>TerraSARX imagery was provided by DLR through project HYD3673. Fieldwork and logistics in the McMurdo Shear Zone was supported by the National Science Foundation Office of Polar Programs Antarctic Infrastructure and Logistics Section. We thank Nicholas Holschuh and an anonymous reviewer for positive feedback that improved the manuscript.</t>
  </si>
  <si>
    <t>0165-232X</t>
  </si>
  <si>
    <t>1872-7441</t>
  </si>
  <si>
    <t>COLD REG SCI TECHNOL</t>
  </si>
  <si>
    <t>Cold Reg. Sci. Tech.</t>
  </si>
  <si>
    <t>10.1016/j.coldregions.2021.103284</t>
  </si>
  <si>
    <t>Engineering, Environmental; Engineering, Civil; Geosciences, Multidisciplinary</t>
  </si>
  <si>
    <t>Engineering; Geology</t>
  </si>
  <si>
    <t>SF5VE</t>
  </si>
  <si>
    <t>WOS:000652822200004</t>
  </si>
  <si>
    <t>Yu, B; Yang, L; Liu, HW; Yang, RQ; Fu, JJ; Wang, P; Li, YM; Xiao, CL; Liang, Y; Hu, LG; Zhang, QH; Yin, YG; Shi, JB; Jiang, GB</t>
  </si>
  <si>
    <t>Yu, Ben; Yang, Lin; Liu, Hongwei; Yang, Ruiqiang; Fu, Jianjie; Wang, Pu; Li, Yingming; Xiao, Cailing; Liang, Yong; Hu, Ligang; Zhang, Qinghua; Yin, Yongguang; Shi, Jianbo; Jiang, Guibin</t>
  </si>
  <si>
    <t>Katabatic Wind and Sea-Ice Dynamics Drive Isotopic Variations of Total Gaseous Mercury on the Antarctic Coast</t>
  </si>
  <si>
    <t>ENVIRONMENTAL SCIENCE &amp; TECHNOLOGY</t>
  </si>
  <si>
    <t>MASS-INDEPENDENT FRACTIONATION; HIGH-PRECISION MEASUREMENT; GREAT-LAKES PRECIPITATION; MARINE BOUNDARY-LAYER; KING GEORGE ISLAND; ATMOSPHERIC MERCURY; ELEMENTAL MERCURY; STABLE-ISOTOPES; HG ISOTOPES; DEPLETION EVENTS</t>
  </si>
  <si>
    <t>Clarifying the sources and fates of atmospheric mercury (Hg) in the Antarctic is crucial to understand the global Hg circulation and its impacts on the fragile ecosystem of the Antarctic. Herein, the annual variations in the isotopic compositions of total gaseous Hg (TGM), with 5-22 days of sampling duration for each sample, were presented for the first time to provide isotopic evidence of the sources and environmental processes of gaseous Hg around the Chinese Great Wall Station (GWS) in the western Antarctic. Different from the Arctic tundra and lower latitude areas in the northern hemisphere, positive delta Hg-202 (0.58 +/- 0.21 parts per thousand, mean +/- 1SD) and negative Delta Hg-199 (-0.30 +/- 0.10 parts per thousand, mean +/- 1SD) in TGM at the GWS indicated little impact from the vegetation-air exchange in the Antarctic. Correlations among TGM Delta Hg-199, air temperature, and ozone concentrations suggested that enhanced katabatic wind that transported inland air masses to the continental margin elevated TGM Delta Hg-199 in the austral winter, while the surrounding marine surface emissions controlled by sea-ice dynamics lowered TGM Delta Hg-199 in the austral summer. The oxidation of Hg(0) might elevate Delta Hg-199 in TGM during atmospheric Hg depletion events but have little impact on the seasonal variations of atmospheric Hg isotopes. The presented atmospheric Hg isotopes were essential to identify the transport and transformation of atmospheric Hg and further understand Hg cycling in the Antarctic.</t>
  </si>
  <si>
    <t>[Yu, Ben; Yang, Lin; Liu, Hongwei; Yang, Ruiqiang; Fu, Jianjie; Li, Yingming; Hu, Ligang; Zhang, Qinghua; Yin, Yongguang; Shi, Jianbo; Jiang, Guibin] Chinese Acad Sci, Res Ctr Ecoenvironm Sci, State Key Lab Environm Chem &amp; Ecotoxicol, Beijing 100085, Peoples R China; [Yang, Lin; Liu, Hongwei; Zhang, Qinghua; Shi, Jianbo; Jiang, Guibin] Univ Chinese Acad Sci, Coll Resources &amp; Environm, Beijing 100049, Peoples R China; [Yang, Ruiqiang; Fu, Jianjie; Hu, Ligang; Zhang, Qinghua; Yin, Yongguang; Shi, Jianbo; Jiang, Guibin] Univ Chinese Acad Sci, Sch Environm, Hangzhou Inst Adv Study, Hangzhou 310000, Peoples R China; [Wang, Pu; Xiao, Cailing; Liang, Yong] Jianghan Univ, Inst Environm &amp; Hlth, Wuhan 430056, Peoples R China</t>
  </si>
  <si>
    <t>Chinese Academy of Sciences; Research Center for Eco-Environmental Sciences (RCEES); Chinese Academy of Sciences; University of Chinese Academy of Sciences, CAS; Chinese Academy of Sciences; University of Chinese Academy of Sciences, CAS; Jianghan University</t>
  </si>
  <si>
    <t>Shi, JB (corresponding author), Chinese Acad Sci, Res Ctr Ecoenvironm Sci, State Key Lab Environm Chem &amp; Ecotoxicol, Beijing 100085, Peoples R China.;Shi, JB (corresponding author), Univ Chinese Acad Sci, Coll Resources &amp; Environm, Beijing 100049, Peoples R China.;Shi, JB (corresponding author), Univ Chinese Acad Sci, Sch Environm, Hangzhou Inst Adv Study, Hangzhou 310000, Peoples R China.</t>
  </si>
  <si>
    <t>jbshi@rcees.ac.cn</t>
  </si>
  <si>
    <t>Yin, Yongguang/D-1695-2010; liu, yuchen/GYQ-6286-2022; Wu, Lijuan/JJG-0701-2023; ZHANG, XUCHEN/KBB-7989-2024; Liang, Yong/AAB-3942-2021; Wang, Pu/HGE-1628-2022; zhang, qinghua/HMP-3611-2023; Zhang, Qinghua/L-7652-2019; Hu, Ligang/A-6991-2008</t>
  </si>
  <si>
    <t>zhang, qinghua/0000-0002-9707-4051; Zhang, Qinghua/0000-0001-9086-7000; Hu, Ligang/0000-0002-6213-4720; Yin, Yongguang/0000-0002-7287-8598; Yu, Ben/0000-0002-2207-0566; Fu, Jianjie/0000-0002-6373-0719</t>
  </si>
  <si>
    <t>National Natural Science Foundation of China [42025704, 41877367, 21707157, 41977327]; CAS Interdisciplinary Innovation Team [JCTD-2018-04]; Sanming Project of Medicine in Shenzhen [SZSM201811070]</t>
  </si>
  <si>
    <t>National Natural Science Foundation of China(National Natural Science Foundation of China (NSFC)); CAS Interdisciplinary Innovation Team; Sanming Project of Medicine in Shenzhen</t>
  </si>
  <si>
    <t>The authors would like to thank the Chinese Arctic and Antarctic Ministration for the arrangement during the 34th Chinese Antarctic Expedition and the staff at the Chinese GWS for their assistance on sample and meteorological data collections. This work was supported by the National Natural Science Foundation of China (42025704, 41877367, 21707157, and 41977327), the CAS Interdisciplinary Innovation Team (JCTD-2018-04), and the Sanming Project of Medicine in Shenzhen (SZSM201811070).</t>
  </si>
  <si>
    <t>AMER CHEMICAL SOC</t>
  </si>
  <si>
    <t>1155 16TH ST, NW, WASHINGTON, DC 20036 USA</t>
  </si>
  <si>
    <t>0013-936X</t>
  </si>
  <si>
    <t>1520-5851</t>
  </si>
  <si>
    <t>ENVIRON SCI TECHNOL</t>
  </si>
  <si>
    <t>Environ. Sci. Technol.</t>
  </si>
  <si>
    <t>MAY 4</t>
  </si>
  <si>
    <t>10.1021/acs.est.0c07474</t>
  </si>
  <si>
    <t>Engineering, Environmental; Environmental Sciences</t>
  </si>
  <si>
    <t>Engineering; Environmental Sciences &amp; Ecology</t>
  </si>
  <si>
    <t>RZ3RW</t>
  </si>
  <si>
    <t>WOS:000648515400082</t>
  </si>
  <si>
    <t>Torres-Díaz, C; Valladares, MA; Acuña-Rodríguez, IS; Ballesteros, GI; Barrera, A; Atala, C; Molina-Montenegro, MA</t>
  </si>
  <si>
    <t>Torres-Diaz, Cristian; Valladares, Moises A.; Acuna-Rodriguez, Ian S.; Ballesteros, Gabriel I.; Barrera, Andrea; Atala, Cristian; Molina-Montenegro, Marco A.</t>
  </si>
  <si>
    <t>Symbiotic Interaction Enhances the Recovery of Endangered Tree Species in the Fragmented Maulino Forest</t>
  </si>
  <si>
    <t>FRONTIERS IN PLANT SCIENCE</t>
  </si>
  <si>
    <t>Nothofagus spp; ruil; hualo; endangered tree species; restoration; Antarctica; fungal endophytes; functional symbiosis</t>
  </si>
  <si>
    <t>ARBUSCULAR MYCORRHIZAL FUNGI; NOTHOFAGUS-ALESSANDRII; SOIL-MICROORGANISMS; STRESS TOLERANCE; PLANTS; RESTORATION; ENDOPHYTES; GRASSLAND; DIVERSITY; ECOSYSTEM</t>
  </si>
  <si>
    <t>Beneficial plant-associated microorganisms, such as fungal endophytes, are key partners that normally improve plant survival under different environmental stresses. It has been shown that microorganisms from extreme environments, like those associated with the roots of Antarctica plants, can be good partners to increase the performance of crop plants and to restore endangered native plants. Nothofagus alessandrii and N. glauca, are among the most endangered species of Chile, restricted to a narrow and/or limited distributional range associated mainly to the Maulino forest in Chile. Here we evaluated the effect of the inoculation with a fungal consortium of root endophytes isolated from the Antarctic host plant Colobanthus quitensis on the ecophysiological performance [photosynthesis, water use efficiency (WUE), and growth] of both endangered tree species. We also, tested how Antarctic root-fungal endophytes could affect the potential distribution of N. alessandrii through niche modeling. Additionally, we conducted a transplant experiment recording plant survival on 2 years in order to validate the model. Lastly, to evaluate if inoculation with Antarctic endophytes has negative impacts on native soil microorganisms, we compared the biodiversity of fungi and bacterial in the rhizospheric soil of transplanted individuals of N. alessandrii inoculated and non-inoculated with fungal endophytes. We found that inoculation with root-endophytes produced significant increases in N. alessandrii and N. glauca photosynthetic rates, water use efficiencies and cumulative growth. In N. alessandrii, seedling survival was significantly greater on inoculated plants compared with non-inoculated individuals. For this species, a spatial distribution modeling revealed that, inoculation with root-fungal endophytes could potentially increase the current distributional range by almost threefold. Inoculation with root-fungal endophytes, did not reduce native rhizospheric microbiome diversity. Our results suggest that the studied consortium of Antarctic root-fungal endophytes improve the ecophysiological performance as well as the survival of inoculated trees and can be used as a biotechnological tool for the restoration of endangered tree species.</t>
  </si>
  <si>
    <t>[Torres-Diaz, Cristian; Valladares, Moises A.] Univ Bio Bio, Dept Ciencias Bas, Grp Biodiversidad &amp; Cambio Global BCG, Chillan, Chile; [Acuna-Rodriguez, Ian S.; Barrera, Andrea] Univ Talca, Inst Ciencias Biol, Talca, Chile; [Ballesteros, Gabriel I.] Univ Talca, Nucleo Cient Multidisciplinario, Talca, Chile; [Atala, Cristian] Pontificia Univ Catolica Valparaiso, Inst Biol, Fac Ciencias, Valparaiso, Chile; [Molina-Montenegro, Marco A.] Univ Catolica Norte, Ctr Estudios Avanzados Zonas Aridas CEAZA, Fac Ciencias Mar, Coquimbo, Chile; [Molina-Montenegro, Marco A.] Univ Catolica Maule, Ctr Invest Estudios Avanzados Maule CIEAM, Talca, Chile</t>
  </si>
  <si>
    <t>Universidad del Bio-Bio; Universidad de Talca; Pontificia Universidad Catolica de Valparaiso; Universidad Catolica del Norte; Universidad Catolica del Maule</t>
  </si>
  <si>
    <t>Molina-Montenegro, MA (corresponding author), Univ Catolica Norte, Ctr Estudios Avanzados Zonas Aridas CEAZA, Fac Ciencias Mar, Coquimbo, Chile.;Molina-Montenegro, MA (corresponding author), Univ Catolica Maule, Ctr Invest Estudios Avanzados Maule CIEAM, Talca, Chile.</t>
  </si>
  <si>
    <t>marco.molina@utalca.cl</t>
  </si>
  <si>
    <t>Ballesteros, Gabriel/AAW-7032-2021; Valladares, Moisés A./Q-5088-2019; Ballesteros, Gabriel/IAN-7082-2023</t>
  </si>
  <si>
    <t>Valladares, Moisés A./0000-0002-0294-174X; Ballesteros, Gabriel/0000-0002-3179-3168; Torres Diaz, Cristian/0000-0002-5741-5288; Atala, Cristian/0000-0003-1337-9534</t>
  </si>
  <si>
    <t>FONDECYT [1181034, 1181873]</t>
  </si>
  <si>
    <t>FONDECYT(Comision Nacional de Investigacion Cientifica y Tecnologica (CONICYT)CONICYT FONDECYT)</t>
  </si>
  <si>
    <t>This work was supported by the FONDECYT 1181034 and 1181873.</t>
  </si>
  <si>
    <t>1664-462X</t>
  </si>
  <si>
    <t>FRONT PLANT SCI</t>
  </si>
  <si>
    <t>Front. Plant Sci.</t>
  </si>
  <si>
    <t>APR 15</t>
  </si>
  <si>
    <t>10.3389/fpls.2021.663017</t>
  </si>
  <si>
    <t>Plant Sciences</t>
  </si>
  <si>
    <t>RU3BL</t>
  </si>
  <si>
    <t>WOS:000645024100001</t>
  </si>
  <si>
    <t>Giresse, P; Bayon, G; Tallobre, C; Loncke, L</t>
  </si>
  <si>
    <t>Giresse, Pierre; Bayon, Germain; Tallobre, Cedric; Loncke, Lies</t>
  </si>
  <si>
    <t>Neodymium Isotopes in Glauconite for Palaeoceanographic Reconstructions at Continental Margins: A Preliminary Investigation From Demerara Rise</t>
  </si>
  <si>
    <t>rare earth elements; neodymium isotopes; glauconitisation; Demerara; contourite</t>
  </si>
  <si>
    <t>RARE-EARTH-ELEMENTS; CONTOURITE DEPOSITIONAL SYSTEM; ANTARCTIC INTERMEDIATE WATER; NORTH-ATLANTIC DEEP; FOSSIL FISH TEETH; TROPICAL ATLANTIC; TM ADDITION; SEAWATER SR; ICP-MS; CIRCULATION</t>
  </si>
  <si>
    <t>Contourite sediment accumulations at continental margins are related to strong bottom water circulation, where intense winnowing can result in neoformation of authigenic grains of glauconite at the seafloor. In this study, we investigated whether such glauconite grains could faithfully record ambient bottom-water neodymium (Nd) isotopic compositions, and hence be used as paleoceanographic archives. To this purpose, we measured Nd isotopic compositions (epsilon(Nd)) in a series of glauconitic grains, foraminiferal assemblages, leached Fe-Mn oxyhydroxide phases, and detrital clays separated from a contourite sediment record at the Demerara slope off French Guiana (IG-KSF-11; 2370 m water depth), at a location where the present-day epsilon(Nd) distribution along the water column is well characterised. We show that the epsilon(Nd) composition of core-top glauconite grains (-12.0 +/- 0.5) agrees with the expected NADW-like seawater signature at the same location and water depth (-11.6 +/- 0.3), while departing from measured epsilon(Nd) values for corresponding detrital clays (-11.3 +/- 0.2), foraminiferal (-10.9 +/- 0.2), and Fe-Mn oxyhydroxide fractions (-9.2 +/- 0.2). This finding indicates that glauconitic grains at this particular location are probably best suited for paleoceanographic reconstructions than foraminifera and leached Fe-oxyhydroxide fractions, which appear to be influenced by sediment redistribution and the presence of terrestrial continental Fe-oxides, respectively. Using rare earth elements (REE), we tentatively propose that the acquisition of seawater Nd isotopic signatures by glauconite is controlled by the presence of authigenic REE-bearing phosphate-rich phases intertwined within clay mineral sheets, while confirming previous findings that the process of glauconitisation results in the progressive loss of REE within glauconitic grains. Preliminary paleoceanographic implications suggest strengthened bottom-water circulation of the glacial analogue of NADW at this particular location and water depth, with a epsilon(Nd) signature (between -10.8 and -11.5) similar to that of modern NADW.</t>
  </si>
  <si>
    <t>[Giresse, Pierre; Tallobre, Cedric; Loncke, Lies] Univ Perpignan, CNRS, UMR 5110, Ctr Format &amp; Rech Environm Mediterraneens CEFREM, Via Domitia, Perpignan, France; [Bayon, Germain] Inst Francais Rech Exploitat Mer, Ctr Bretagne, Marine Geosci Unit, Plouzane, France</t>
  </si>
  <si>
    <t>Centre National de la Recherche Scientifique (CNRS); CNRS - National Institute for Earth Sciences &amp; Astronomy (INSU); Universite Perpignan Via Domitia; Ifremer; Universite Paris Cite; Universite de Bretagne Occidentale</t>
  </si>
  <si>
    <t>Giresse, P (corresponding author), Univ Perpignan, CNRS, UMR 5110, Ctr Format &amp; Rech Environm Mediterraneens CEFREM, Via Domitia, Perpignan, France.;Bayon, G (corresponding author), Inst Francais Rech Exploitat Mer, Ctr Bretagne, Marine Geosci Unit, Plouzane, France.</t>
  </si>
  <si>
    <t>giresse@univ-perp.fr; gbayon@ifremer.fr</t>
  </si>
  <si>
    <t>IFREMER</t>
  </si>
  <si>
    <t>The geochemical analyses were performed through internal funding at IFREMER.</t>
  </si>
  <si>
    <t>10.3389/feart.2021.652501</t>
  </si>
  <si>
    <t>RU4NR</t>
  </si>
  <si>
    <t>WOS:000645126100001</t>
  </si>
  <si>
    <t>Zhu, K; Moynier, F; Schiller, M; Alexander, CMO; Davidson, J; Schrader, DL; van Kooten, E; Bizzarro, M</t>
  </si>
  <si>
    <t>Zhu, Ke; Moynier, Frederic; Schiller, Martin; Alexander, Conel M. O'd; Davidson, Jemma; Schrader, Devin L.; van Kooten, Elishevah; Bizzarro, Martin</t>
  </si>
  <si>
    <t>Chromium isotopic insights into the origin of chondrite parent bodies and the early terrestrial volatile depletion</t>
  </si>
  <si>
    <t>Chondrites; Genetic relationship; Cr-54 systematics; CV-CK; CH-CB and CO-CM clans; CV subgroups; Mn-53-Cr-53 chronometry; Condensation history; Volatile depletion; Early Earth; Solar System</t>
  </si>
  <si>
    <t>EARLY SOLAR-SYSTEM; CARBONACEOUS CHONDRITE; CHEMICAL-COMPOSITION; OXYGEN-ISOTOPE; COMPOSITIONAL CLASSIFICATION; INDIVIDUAL CHONDRULES; QUANTITATIVE MODELS; CK CHONDRITES; IMPACT; HETEROGENEITY</t>
  </si>
  <si>
    <t>Chondrites are meteorites from undifferentiated parent bodies that provide fundamental information about early Solar System evolution and planet formation. The element Cr is highly suitable for deciphering both the timing of formation and the origin of planetary building blocks because it records both radiogenic contributions from Mn-53-Cr-53 decay and variable nucleosynthetic contributions from the stable Cr-54 nuclide. Here, we report high-precision measurements of the massindependent Cr isotope compositions (epsilon Cr-53 and epsilon Cr-54) of chondrites (including all carbonaceous chondrites groups) and terrestrial samples using for the first time a multi-collection inductively-coupled-plasma mass-spectrometer to better understand the formation histories and genetic relationships between chondrite parent bodies. With our comprehensive dataset, the order of decreasing epsilon Cr-54 (per ten thousand deviation of the Cr-54/Cr-52 ratio relative to a terrestrial standard) values amongst the carbonaceous chondrites is updated to CI = CH &gt;= CB &gt;= CR &gt;= CM approximate to CV &gt;= CO &gt;= CK &gt; EC &gt; OC. Chondrites from CO, CV, CR, CM and CB groups show intra-group epsilon Cr-54 heterogeneities that may result from sample heterogeneity and/or heterogeneous accretion of their parent bodies. Resolvable epsilon Cr-54 (with 2SE uncertainty) differences between CV and CK chondrites rule out an origin from a common parent body or reservoir as has previously been suggested. The CM and CO chondrites share common epsilon Cr-54 characteristics, which suggests their parent bodies may have accreted their components in similar proportions. The CB and CH chondrites have low-Mn/Cr ratios and similar epsilon Cr-53 values to the CI chondrites, invalidating them as anchors for a bulk Mn-53-Cr-53 isochron for carbonaceous chondrites. Bulk Earth has a epsilon Cr-53 value that is lower than the average of chondrites, including enstatite chondrites. This depletion may constrain the timing of volatile loss from the Earth or its precursors to be within the first million years of Solar System formation and is incompatible with Earth's accretion via any of the known chondrite groups as main contributors, including enstatite chondrites. (C) 2021 Elsevier Ltd. All rights reserved.</t>
  </si>
  <si>
    <t>[Zhu, Ke; Moynier, Frederic; van Kooten, Elishevah; Bizzarro, Martin] Univ Paris, Inst Phys Globe Paris, CNRS, UMR 7154, 1 Rue Jussieu, F-75005 Paris, France; [Schiller, Martin; van Kooten, Elishevah; Bizzarro, Martin] Univ Copenhagen, Ctr Star &amp; Planet Format, Globe Inst, Oster Voldgade 5-7, DK-1350 Copenhagen, Denmark; [Alexander, Conel M. O'd] Carnegie Inst Sci, Earth &amp; Planetary Lab, 5241 Broad Branch Rd, Washington, DC 20015 USA; [Davidson, Jemma; Schrader, Devin L.] Arizona State Univ, Ctr Meteorite Studies, Sch Earth &amp; Space Explorat, 781 East Terrace Rd, Tempe, AZ 85287 USA</t>
  </si>
  <si>
    <t>Centre National de la Recherche Scientifique (CNRS); CNRS - National Institute for Earth Sciences &amp; Astronomy (INSU); Universite Paris Cite; University of Copenhagen; Carnegie Institution for Science; Arizona State University; Arizona State University-Tempe</t>
  </si>
  <si>
    <t>Zhu, K (corresponding author), Univ Paris, Inst Phys Globe Paris, CNRS, UMR 7154, 1 Rue Jussieu, F-75005 Paris, France.</t>
  </si>
  <si>
    <t>zhu@ipgp.fr</t>
  </si>
  <si>
    <t>Davidson, Jemma/ABB-2655-2021; ZHU, Ke/P-4849-2019; Alexander, Conel M. O'D./N-7533-2013; Bizzarro, Martin/M-7474-2019; Schrader, Devin L/H-6293-2012; Schiller, Martin/E-8054-2010; Moynier, Frederic/AAH-1235-2022; Moynier, Frederic/AFL-9257-2022</t>
  </si>
  <si>
    <t>Davidson, Jemma/0000-0002-3725-2960; ZHU, Ke/0000-0003-3613-7239; Alexander, Conel M. O'D./0000-0002-8558-1427; Bizzarro, Martin/0000-0001-9966-2124; Schiller, Martin/0000-0003-4149-0627; Moynier, Frederic/0000-0003-4321-5581; Moynier, Frederic/0000-0003-4321-5581; Schrader, Devin/0000-0001-5282-232X</t>
  </si>
  <si>
    <t>European Research Council under the H2020 framework program/ERC grant [637503]; UnivEarthS Labex program at Sorbonne Paris Cite [ANR-10-LABX-0023, ANR-11-IDEX-0005-02]; ANR through a chaire d'excellence Sorbonne Paris Cite; IPGP multidisciplinary program PARI; Paris-IdF region SESAME [12015908]; Carlsberg Foundation [CF18-1105]; Danish National Research Foundation [DNRF97]; European Research Council (ERC Advanced Grant) [833275]; Villum Fonden [00025333]; European Union's Horizon 2020 research and innovation programme under the Marie Sklodowska-Curie Grant [786081]; NSF; NASA; China Scholarship Council (CSC) [201706340161]; IPGP [201706340161]; Marie Curie Actions (MSCA) [786081] Funding Source: Marie Curie Actions (MSCA); European Research Council (ERC) [833275] Funding Source: European Research Council (ERC)</t>
  </si>
  <si>
    <t>European Research Council under the H2020 framework program/ERC grant(European Research Council (ERC)); UnivEarthS Labex program at Sorbonne Paris Cite; ANR through a chaire d'excellence Sorbonne Paris Cite(Agence Nationale de la Recherche (ANR)); IPGP multidisciplinary program PARI; Paris-IdF region SESAME; Carlsberg Foundation(Carlsberg Foundation); Danish National Research Foundation(Danmarks Grundforskningsfond); European Research Council (ERC Advanced Grant)(European Research Council (ERC)); Villum Fonden(Villum Fonden); European Union's Horizon 2020 research and innovation programme under the Marie Sklodowska-Curie Grant(Marie Curie Actions); NSF(National Science Foundation (NSF)); NASA(National Aeronautics &amp; Space Administration (NASA)); China Scholarship Council (CSC)(China Scholarship Council); IPGP; Marie Curie Actions (MSCA)(Marie Curie Actions); European Research Council (ERC)(European Research Council (ERC)Spanish Government)</t>
  </si>
  <si>
    <t>We deeply appreciate Thorsten Kleine for efficient editorial handling and detailed and constructive comments from Herbert Palme, Anne Trinquier and one anonymous reviewer, which greatly improved this manuscript. F. M. acknowledges funding from the European Research Council under the H2020 framework program/ERC grant agreement (#637503-PRISTINE) and financial support of the UnivEarthS Labex program at Sorbonne Paris Cite (#ANR-10-LABX-0023 and #ANR-11-IDEX-0005-02), and the ANR through a chaire d'excellence Sorbonne Paris Cite. Parts of this work were supported by IPGP multidisciplinary program PARI, and by Paris-IdF region SESAME (#12015908). M. B. acknowledges funding from the Carlsberg Foundation (CF18-1105), the Danish National Research Foundation (DNRF97) and the European Research Council (ERC Advanced Grant Agreement, #833275-DEEPTIME). M. S. acknowledges funding from the Villum Fonden (#00025333). E.v.K. acknowledges funding from the European Union's Horizon 2020 research and innovation programme under the Marie Sklodowska-Curie Grant Agreement No 786081. We also appreciate the Arizona State University Center for Meteorite Studies for providing some of the samples used in this study.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Timothy Mock is appreciated for providing the Cr isotope standard of NIST SRM 3112a. K. Z. thanks the China Scholarship Council (CSC) and IPGP for a PhD fellowship (#201706340161) and the Aide a la MOBILITE INTERNATIONALE des doctorants de l'IPGP (2019), respectively.</t>
  </si>
  <si>
    <t>10.1016/j.gca.2021.02.031</t>
  </si>
  <si>
    <t>RO1AY</t>
  </si>
  <si>
    <t>Green Published, hybrid, Green Accepted</t>
  </si>
  <si>
    <t>WOS:000640782500008</t>
  </si>
  <si>
    <t>Kumler, B; Day, JMD</t>
  </si>
  <si>
    <t>Kumler, Ben; Day, James M. D.</t>
  </si>
  <si>
    <t>Trace element variations generated by magmatic and post-crystallization processes in eucrite meteorites</t>
  </si>
  <si>
    <t>Eucrites; Pyroxene; Plagioclase; LA-ICP-MS; Volatile elements; Magma</t>
  </si>
  <si>
    <t>PARENT BODY; CUMULATE EUCRITES; ISOTOPIC COMPOSITION; VOLATILE DEPLETION; BASALTIC EUCRITES; VESTA; PETROGENESIS; GEOCHEMISTRY; PETROLOGY; HISTORY</t>
  </si>
  <si>
    <t>Eucrite meteorites are early-formed (&gt;4.5 Ga) basaltic rocks that are likely to derive from the asteroid 4 Vesta, or a similarly differentiated planetesimal. To understand trace element and moderately volatile element (MVE) behavior more fully within and between eucrites, a laser-ablation inductively coupled plasma mass spectrometry (LA-ICP-MS) study is reported for plagioclase and pyroxene, as well as fusion crust and vitrophyric materials for ten eucrites. These eucrites span from a cumulate eucrite (Northwest Africa [NWA] 1923) to samples corresponding to Main Group (Queen Alexandra Range 97053, Pecora Escarpment 91245, Cumulus Hills 04049, Bates Nunatak 00300, Lewis Cliff 85305, Graves Nunataks 98098) and Stannern Group (Allan Hills 81001, NWA 1000) compositions, in addition to Elephant Moraine 90020. Along with a range of refractory trace elements, focus was given to abundances of five MVE (K, Zn, Rb, Cs, Pb) to interrogate the volatile abundance distributions in eucrite mineral phases. Modal recombination analyses of the eucrites reveals the important role of accessory phases (zircon, apatite) in some of the incompatible trace element (ITE) distributions, but not for the MVE which, for the phases that were analyzed, are mostly sited within plagioclase (Cs, Rb, K) and pyroxene (Zn, Pb), and are in equilibrium with a parental melt composition for Main Group eucrites. The new data reveal a possible relationship with total refractory ITE enrichment and texture, with the most ITE enriched Stannern Group eucrites examined (NWA 1000, ALHA 81001) having acicular textures and, in the case of ALHA 81001 a young degassing age (-3.7 Ga). Collectively the results suggest that Stannern Group eucrites may be related to anatexis of the eucritic crust by thermal metamorphism, with the heat source possibly coming from impacts. Impact processes do not have a pronounced effect on the abundances of the MVE, where plagioclase, pyroxene, fusion crust, and whole rock compositions of eucrites are all significantly depleted in the MVE, with Zn/Fe, Rb/Ba and K/U similar to lunar rocks. Assessment of eucrite compositions, however, suggests that Vesta has a more heterogeneous distribution of volatile elements and is similarly to slightly less volatile-depleted than the Moon. Phase dependence of the MVE (e.g., Cl in apatite, Zn primarily into spinel and early formed phases, including pyroxene) is likely to influence comparison diagrams where MVE stable isotopes are shown. In the case of delta Cl-37 versus delta Zn-66, metamorphism and impact processes may lead to a decrease in the delta Cl-37 value for a given delta Zn-66 value in eucrites, raising the possibility that late-stage impact and metamorphism had a profound effect on volatile distributions in early planetesimal crusts.(C) 2021 Elsevier Ltd. All rights reserved.</t>
  </si>
  <si>
    <t>[Kumler, Ben; Day, James M. D.] Univ Calif San Diego, Scripps Inst Oceanog, La Jolla, CA 92093 USA</t>
  </si>
  <si>
    <t>University of California System; University of California San Diego; Scripps Institution of Oceanography</t>
  </si>
  <si>
    <t>Day, JMD (corresponding author), Univ Calif San Diego, Scripps Inst Oceanog, La Jolla, CA 92093 USA.</t>
  </si>
  <si>
    <t>jmdday@ucsd.edu</t>
  </si>
  <si>
    <t>Day, James/A-5099-2010</t>
  </si>
  <si>
    <t>Day, James/0000-0001-9520-3465</t>
  </si>
  <si>
    <t>NASA Emerging Worlds program [80NSSC19K0932]; NSF; NASA</t>
  </si>
  <si>
    <t>NASA Emerging Worlds program; NSF(National Science Foundation (NSF)); NASA(National Aeronautics &amp; Space Administration (NASA))</t>
  </si>
  <si>
    <t>Financial support to complete this work came from the NASA Emerging Worlds program (80NSSC19K0932). A. Bouvier, D. Mittlefehldt and two anonymous reviewers are thanked for their extremely helpful suggestions. We thank J. Lyakov for preparing the LA-ICP-MS corrections program and E. Chin and P. Castillo for discussions. We thank the Meteorite Working Group for providing eucrite meteorite samples; 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 We also greatly appreciate the generous loans from the Royal Ontario Museum meteorite collection and particularly the help and encouragement of K. Tait. The authors declare no conflicts of interest. All data referred to in this article can be found in the tables or cited references.</t>
  </si>
  <si>
    <t>10.1016/j.gca.2021.03.002</t>
  </si>
  <si>
    <t>WOS:000640782500010</t>
  </si>
  <si>
    <t>Shimizu, K; Alexander, CMO; Hauri, EH; Sarafian, AR; Nittler, LR; Wang, JH; Jacobsen, SD; Mendybaev, RA</t>
  </si>
  <si>
    <t>Shimizu, Kei; Alexander, Conel M. O'd; Hauri, Erik H.; Sarafian, Adam R.; Nittler, Larry R.; Wang, Jianhua; Jacobsen, Steven D.; Mendybaev, Ruslan A.</t>
  </si>
  <si>
    <t>Highly volatile element (H, C, F, Cl, S) abundances and H isotopic compositions in chondrules from carbonaceous and ordinary chondrites</t>
  </si>
  <si>
    <t>Chondrule formation; Parent body processes; Volatile elements; Hydrogen; Carbon; Chlorine; Fluorine; Sulfur</t>
  </si>
  <si>
    <t>PORPHYRITIC PYROXENE CHONDRULES; SULFIDE SATURATION SCSS; SOLAR-SYSTEM; OXYGEN FUGACITY; HYDROGEN INCORPORATION; METEORITIC CHONDRULES; SULFUR CONCENTRATION; QUANTITATIVE MODELS; ORGANIC-MATTER; SILICATE MELTS</t>
  </si>
  <si>
    <t>The partial pressures and isotopic compositions of volatiles present during chondrule formation can be constrained by the highly volatile element or HVE (H, C, F, Cl, and S) abundances and isotopic compositions in chondrules. Here we present the results of high spatial resolution and low background secondary ion mass spectroscopy (SIMS) analyses of the HVE concentrations and H isotopic compositions in type I and II chondrules in primitive ordinary chondrites Semarkona (LL3.00) and Queen Alexandra Range (QUE) 97008 (L3.05), and the primitive carbonaceous chondrite Dominion Range (DOM) 08006 (CO3.00). The HVEs in the chondrules primarily reside in the mesostases, in which the HVE contents and H isotopic compositions vary significantly (H2O: 8-10,200 ppm, CO2: 2.4-1170 ppm, F: 0.3-30 ppm, Cl: 0.07-175 ppm, S: 0.38-4400 ppm, delta D: 77-15,000 parts per thousand). To dissolve such HVE contents in a silicate melt requires significantly higher total pressures (up to 1900 bars), and in some cases requires anomalous gas compositions (CO dominated), compared to those expected from canonical conditions of chondrule formation (similar to 10(-3) bars, H-2+ H2O dominated). Rather, the enrichments of H2O, CO2, Cl, and F in the mesostases at the edges of some chondrules suggest that there were secondary influxes of HVEs into the chondrule mesostases from the surrounding matrix during parent body processes. Consistent with this, melt inclusions sealed in olivine phenocrysts have significantly lower HVE contents than the mesostases in contact with the surrounding matrix material. Further, the calculated diffusion distances of H2O in silicate glasses under the relevant conditions are comparable to the radii of the chondrules. The high dD values in the mesostases could have been generated through isotopic Rayleigh fractionation as a result of the loss of very D-poor H-2 generated from Fe metal oxidation by H2O in the parent bodies. Based on these results, we hypothesize that the bulk of the HVEs in the chondrules are secondary in origin. However, a small portion of the HVEs in chondrules could be primary, as there are low but measurable amounts of HVEs in the melt inclusions that are sealed in phenocrysts. Further, measured S contents in some chondrule mesostases agree with those predicted in a sulfide saturated silicate melt based on an experimentally calibrated thermodynamic model. We constrain the upper limits of primary HVEs in the chondrules based on the lowest measured HVE contents to minimize the effects of the secondary influx of HVEs (type I H2O: 7-11 ppm, CO2: 0.3-0.6 ppm, F: 0.1-0.2 ppm, Cl: 0.01-0.03 ppm, S: 0.3-60 ppm, and type II H2O: 50-85 ppm, CO2: 0.4-3 ppm, F: 0.04-2 ppm, Cl: 0.04-2 ppm, S: 190-260 ppm). (C) 2021 Elsevier Ltd. All rights reserved.</t>
  </si>
  <si>
    <t>[Shimizu, Kei; Alexander, Conel M. O'd; Hauri, Erik H.; Nittler, Larry R.; Wang, Jianhua] Carnegie Inst Sci, Earth &amp; Planets Lab, Washington, DC 20015 USA; [Sarafian, Adam R.] Corning Inc, Sci &amp; Technol Div, Corning, NY 14831 USA; [Jacobsen, Steven D.] Northwestern Univ, Dept Earth &amp; Planetary Sci, Evanston, IL 60208 USA; [Mendybaev, Ruslan A.] Univ Chicago, Dept Geophys Sci, Chicago, IL 60637 USA</t>
  </si>
  <si>
    <t>Carnegie Institution for Science; State University of New York (SUNY) System; SUNY Community College; Corning Inc; Northwestern University; University of Chicago</t>
  </si>
  <si>
    <t>Shimizu, K (corresponding author), Univ Wisconsin, Dept Geosci, Madison, WI 53706 USA.</t>
  </si>
  <si>
    <t>kshimizu4@wisc.edu</t>
  </si>
  <si>
    <t>Alexander, Conel M. O'D./N-7533-2013; Wang, Jianhua/D-6500-2011; Shimizu, Kei/HGC-6439-2022; Jacobsen, Steven/F-3443-2013</t>
  </si>
  <si>
    <t>Alexander, Conel M. O'D./0000-0002-8558-1427; Wang, Jianhua/0000-0002-7671-2413; Jacobsen, Steven/0000-0002-9746-958X; Nittler, Larry/0000-0002-5292-6089; MENDYBAEV, RUSLAN/0000-0003-3892-0403; Shimizu, Kei/0000-0002-2670-313X</t>
  </si>
  <si>
    <t>NSF; NASA; NASA Emerging Worlds [80NSSC18K0604]</t>
  </si>
  <si>
    <t>NSF(National Science Foundation (NSF)); NASA(National Aeronautics &amp; Space Administration (NASA)); NASA Emerging Worlds</t>
  </si>
  <si>
    <t>For supplying the sections of DOM 08006 and QUE 97008, the authors would like to thank: the members of the Meteorite Working Group,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For providing the section of Semarkona, the authors would like to thank Tim McCoy and Cari Corrigan of the Smithsonian Institution's National Museum of Natural History. Thoughtful and constructive reviews by three anonymous reviewers helped significantly improve this manuscript. KS and CA were supported by NASA Emerging Worlds grant 80NSSC18K0604.</t>
  </si>
  <si>
    <t>10.1016/j.gca.2021.03.005</t>
  </si>
  <si>
    <t>WOS:000640782500011</t>
  </si>
  <si>
    <t>Bedolla-Guzmán, Y; Masello, JF; Aguirre-Muñoz, A; Lavaniegos, BE; Voigt, CC; Gómez-Gutiérrez, J; Sánchez-Velasco, L; Robinson, CJ; Quillfeldt, P</t>
  </si>
  <si>
    <t>Bedolla-Guzman, Yuliana; Masello, Juan F.; Aguirre-Munoz, Alfonso; Lavaniegos, Bertha E.; Voigt, Christian C.; Gomez-Gutierrez, Jaime; Sanchez-Velasco, Laura; Robinson, Carlos J.; Quillfeldt, Petra</t>
  </si>
  <si>
    <t>Year-round niche segregation of three sympatric Hydrobates storm-petrels from Baja California Peninsula, Mexico, Eastern Pacific</t>
  </si>
  <si>
    <t>Ecological segregation; Seabird; Diet; Stable isotopes; Breeding phase; Marine isoscape; Oceanodroma</t>
  </si>
  <si>
    <t>STABLE-ISOTOPE ANALYSIS; ANTARCTIC FULMARINE PETRELS; PTYCHORAMPHUS-ALEUTICUS; OCEANODROMA-LEUCORHOA; TROPHIC RELATIONSHIPS; CHANNEL-ISLANDS; FORAGING AREAS; MIXING MODELS; DIET; DELTA-N-15</t>
  </si>
  <si>
    <t>Ecologically similar species partition their use of resources and habitats and thus coexist due to ecological segregation in space, time, or diet. In seabirds, this segregation may differ over the annual cycle or vary inter-annually. We evaluated niche segregation in 3 sympatric storm-petrel species (Hydrobates melania, H. leucorhous, and H. microsoma) from the San Benito Islands, Mexico, during 2012 and 2013. We used diet samples and carbon (delta C-13) and nitrogen (delta N-15) isotopic values obtained from egg membranes, blood, feathers, and prey. We used krill samples to delineate marine delta C-13 and delta N-15 isoscapes for the Baja California Peninsula. During the breeding season, storm-petrels segregated regarding diet composition, stable isotope values, and isotopic niches. H. melania consumed higher trophic-position prey from neritic waters, while H. leucorhous and H. microsoma foraged on lower-trophic position prey from oceanic waters. Isotopic niches among species did not overlap in 2013, whereas those of H. microsoma and H. leucorhous overlapped in 2012. The feeding strategies of H. melania varied among breeding phases, and adults consumed different prey items from different areas compared to those of their offspring. H. microsoma adults and their chicks consumed the same prey items but from different habitats. During the non-breeding period, niche segregation between species persisted, except for H. microsoma and H. leucorhous during the molt of primary (P1) and undertail cover feathers. These 3 sympatric species coexist through niche segregation based on prey items and foraging areas that vary seasonally and year-round, probably due to changes in oceanographic conditions and the distribution and availability of prey.</t>
  </si>
  <si>
    <t>[Bedolla-Guzman, Yuliana; Masello, Juan F.; Quillfeldt, Petra] Justus Liebig Univ Giessen, Dept Anim Ecol &amp; Systemat, D-35392 Giessen, Germany; [Bedolla-Guzman, Yuliana; Aguirre-Munoz, Alfonso] Grp Ecol &amp; Conservat Islas AC Ensenada, Ensenada 22800, Baja California, Mexico; [Lavaniegos, Bertha E.] Ctr Invest Cient &amp; Educ Super Ensenada, Dept Oceanog Biol, Ensenada 22860, Baja California, Mexico; [Voigt, Christian C.] Leibniz Inst Zoo &amp; Wildlife Res, Evolulionary Ecol Res Grp, D-10315 Berlin, Germany; [Gomez-Gutierrez, Jaime; Sanchez-Velasco, Laura] Inst Politecn Nacl, Ctr Interdisciplinario Ciencias Marinas, La Paz 23096, Baja Calif Sur, Mexico; [Robinson, Carlos J.] Univ Nacl Autonoma Mexico, Inst Ciencias Mar &amp; Limnol, Mexico City 04500, DF, Mexico</t>
  </si>
  <si>
    <t>Justus Liebig University Giessen; CICESE - Centro de Investigacion Cientifica y de Educacion Superior de Ensenada; Leibniz Institut fur Zoo und Wildtierforschung; Instituto Politecnico Nacional - Mexico; Universidad Nacional Autonoma de Mexico</t>
  </si>
  <si>
    <t>Bedolla-Guzmán, Y (corresponding author), Justus Liebig Univ Giessen, Dept Anim Ecol &amp; Systemat, D-35392 Giessen, Germany.;Bedolla-Guzmán, Y (corresponding author), Grp Ecol &amp; Conservat Islas AC Ensenada, Ensenada 22800, Baja California, Mexico.</t>
  </si>
  <si>
    <t>yuliana.bedolla@islas.org.mx</t>
  </si>
  <si>
    <t>Masello, Juan Francisco/C-7133-2009</t>
  </si>
  <si>
    <t>Masello, Juan Francisco/0000-0002-6826-4016</t>
  </si>
  <si>
    <t>Universidad Nacional Autonoma de Mexico; Deutsche Forschungsgemeinschaft DFG [QU148/7]; National Fish and Wildlife Foundation; David and Lucile Packard Foundation; Marisla Foundation; Fundacion Carlos Slim; Grupo de Ecologia y Conservacion de Islas; CONACYT [99252, 129611, 254745]; CONACYT Ciencia Basica [2012-178615-C01, 2016-01-284201]; Instituto de Ciencias del Mar y Limnologia from the Universidad Nacional Autonoma de Mexico (CONACYT Ciencia Basica) [2010-152580-C01]</t>
  </si>
  <si>
    <t>Universidad Nacional Autonoma de Mexico(Universidad Nacional Autonoma de Mexico); Deutsche Forschungsgemeinschaft DFG(German Research Foundation (DFG)); National Fish and Wildlife Foundation; David and Lucile Packard Foundation(The David &amp; Lucile Packard Foundation); Marisla Foundation; Fundacion Carlos Slim; Grupo de Ecologia y Conservacion de Islas; CONACYT(Consejo Nacional de Ciencia y Tecnologia (CONACyT)); CONACYT Ciencia Basica; Instituto de Ciencias del Mar y Limnologia from the Universidad Nacional Autonoma de Mexico (CONACYT Ciencia Basica)</t>
  </si>
  <si>
    <t>We thank all of our colleagues from the Grupo de Ecologia y Conservacion de Islas, A.C. who were actively involved in the project as well as volunteers who helped in the field. We also thank the Secretaria de Gobernacion (SEGOB) and Secretaria de Medio Ambiente y Recursos Naturales (SEMARNAT), the Mexican federal government agencies that granted permission to conduct the activities described in the present study; S.C.P.P. Pescadores Nacionales de Abulon for logistic support and for welcoming us into their field facilities; Dr. Sylvia Patricia Adelheid Jimenez Rosenberg (Centro Intesdisciplinario de Ciencias Marinas of the Instituto Politecnico Nacional) for kindly identifying the fish larvae samples; and Capitan Pascual Barajas, the crew of the RV 'El Puma', and the graduate students and researchers of the Fisheries Ecology Laboratory of ICMyL-UNAM, UABCS, and CICIMAR-IPN for their assistance with zooplankton sampling in the Gulf of California. The Universidad Nacional Autonoma de Mexico supported the RV 'El Puma' during the oceanographic cruises of 2012 and 2013 (PAPIIT-UNAM). This project was supported by the Deutsche Forschungsgemeinschaft DFG (Projektnummer QU148/7), the National Fish and Wildlife Foundation, the David and Lucile Packard Foundation, the Marisla Foundation, Fundacion Carlos Slim, and Grupo de Ecologia y Conservacion de Islas, A.C. Partial funding for this research came from CONACYT (99252, 129611, 254745) for the IMECOCAL cruises, the Centro Interdisciplinario de Ciencias Marinas-IPN (SIP 2012-2013), CONACYT Ciencia Basica (2012-178615-C01, 2016-01-284201), and Instituto de Ciencias del Mar y Limnologia from the Universidad Nacional Autonoma de Mexico (CONACYT Ciencia Basica 2010-152580-C01) for cruises in the Gulf of California.</t>
  </si>
  <si>
    <t>10.3354/meps13645</t>
  </si>
  <si>
    <t>RT4NW</t>
  </si>
  <si>
    <t>WOS:000644438700013</t>
  </si>
  <si>
    <t>Giordano, D; Corti, P; Coppola, D; Altomonte, G; Xue, JM; Russo, R; di Prisco, G; Verde, C</t>
  </si>
  <si>
    <t>Giordano, Daniela; Corti, Paola; Coppola, Daniela; Altomonte, Giovanna; Xue, Jianmin; Russo, Roberta; di Prisco, Guido; Verde, Cinzia</t>
  </si>
  <si>
    <t>Regulation of globin expression in Antarctic fish under thermal and hypoxic stress</t>
  </si>
  <si>
    <t>MARINE GENOMICS</t>
  </si>
  <si>
    <t>Hypoxia; Heat treatment; Myoglobin; Neuroglobin; Cytoglobin; Globin-X</t>
  </si>
  <si>
    <t>NITRIC-OXIDE; NOTOTHENIOID FISH; HUMAN NEUROGLOBIN; GENE-EXPRESSION; HEAT-STRESS; ZEBRAFISH NEUROGLOBIN; CYTOGLOBIN EXPRESSION; ANTIOXIDANT DEFENSE; OXIDATIVE DAMAGE; OXYGEN-BINDING</t>
  </si>
  <si>
    <t>In the freezing waters of the Southern Ocean, Antarctic teleost fish, the Notothenioidei, have developed unique adaptations to cope with cold, including, at the extreme, the loss of hemoglobin in icefish. As a consequence, icefish are thought to be the most vulnerable of the Antarctic fish species to ongoing ocean warming. Some icefish also fail to express myoglobin but all appear to retain neuroglobin, cytoglobin-1, cytoglobin-2, and globinX. Despite the lack of the inducible heat shock response, Antarctic notothenioid fish are endowed with physiological plasticity to partially compensate for environmental changes, as shown by numerous physiological and genomic/transcriptomic studies over the last decade. However, the regulatory mechanisms that determine temperature/oxygen-induced changes in gene expression remain largely unexplored in these species. Proteins such as globins are susceptible to environmental changes in oxygen levels and temperature, thus playing important roles in mediating Antarctic fish adaptations. In this study, we sequenced the full-length transcripts of myoglobin, neuroglobin, cytoglobin-1, cytoglobin-2, and globin-X from the Antarctic red-blooded notothenioid Trematomus bernacchii and the white-blooded icefish Chionodraco hamatus and evaluated transcripts levels after exposure to high temperature and low oxygen levels. Basal levels of globins are similar in the two species and both stressors affect the expression of Antarctic fish globins in brain, retina and gills. Temperature up-regulates globin expression more effectively in white-blooded than in red-blooded fish while hypoxia strongly up-regulates globins in red-blooded fish, particularly in the gills. These results suggest globins function as regulators of temperature and hypoxia tolerance. This study provides the first insights into globin transcriptional changes in Antarctic fish.</t>
  </si>
  <si>
    <t>[Giordano, Daniela; Coppola, Daniela; Altomonte, Giovanna; Russo, Roberta; di Prisco, Guido; Verde, Cinzia] CNR, Inst Biosci &amp; BioResources IBBR, Via Pietro Castellino 111, I-80131 Naples, Italy; [Giordano, Daniela; Coppola, Daniela; Verde, Cinzia] Stn Zool Anton Dohrn SZN, Dept Marine Biotechnol, I-80121 Naples, Italy; [Corti, Paola; Xue, Jianmin] Univ Pittsburgh, Heart Lung Blood &amp; Vasc Med Inst, Pittsburgh, PA 15213 USA; [Corti, Paola] Univ Pittsburgh, Dept Med, Div Cardiol, Pittsburgh, PA 15213 USA; [Altomonte, Giovanna] Roma Tre Univ, Dept Sci, Viale Guglielmo Marconi 446, I-00146 Rome, Italy</t>
  </si>
  <si>
    <t>Consiglio Nazionale delle Ricerche (CNR); Istituto di Bioscienze e Biorisorse (IBBR-CNR); Stazione Zoologica Anton Dohrn di Napoli; Pennsylvania Commonwealth System of Higher Education (PCSHE); University of Pittsburgh; Pennsylvania Commonwealth System of Higher Education (PCSHE); University of Pittsburgh; Roma Tre University; Italfarmaco</t>
  </si>
  <si>
    <t>Giordano, D (corresponding author), CNR, Inst Biosci &amp; BioResources IBBR, Via Pietro Castellino 111, I-80131 Naples, Italy.</t>
  </si>
  <si>
    <t>daniela.giordano@ibbr.cnr.it</t>
  </si>
  <si>
    <t>Giordano, Daniela/AFK-7772-2022; Coppola, Daniela/ABG-4430-2020</t>
  </si>
  <si>
    <t>Giordano, Daniela/0000-0002-8891-6245; VERDE, Cinzia/0000-0001-6185-282X</t>
  </si>
  <si>
    <t>Italian National Programme for Antarctic Research (PNRA) of Ministry of University and Research (MUR) [PNRA2013/AZ1.10, PNRA2013/AZ1.20, PNRA16_000226]</t>
  </si>
  <si>
    <t>Italian National Programme for Antarctic Research (PNRA) of Ministry of University and Research (MUR)</t>
  </si>
  <si>
    <t>This research was financially supported by the Italian National Programme for Antarctic Research (PNRA) of the Ministry of University and Research (MUR) with projects PNRA2013/AZ1.10, PNRA2013/AZ1.20 and PNRA16_000226 for the thermal treatment and for the hypoxia stress. We are grateful to Ennio Cocca for setting up the experimental treatments of hypoxia during the XXVII and XXIX (PNRA2010/A1.08) expeditions in Antarctica, for the sequence of primers of Antarctic hif-1a and for the useful advice on qPCR procedures. We thank C.-H. Christina Cheng for the insightful suggestions on treatments and on hsp-90a. This study was carried out in the framework of the SCAR programme Antarctic Thresholds-Ecosystem Resilience and Adaptation (AnT-ERA). We thank Melody Clark for her constructive comments. We also thank our colleague Sylvia Dewilde (University of Antwerp) passed away on 3 October 2020. The study on neuroglobins and cytoglobins would not have possible without the enthusiasm, help and encouragement of Sylvia.</t>
  </si>
  <si>
    <t>1874-7787</t>
  </si>
  <si>
    <t>1876-7478</t>
  </si>
  <si>
    <t>MAR GENOM</t>
  </si>
  <si>
    <t>Mar. Genom.</t>
  </si>
  <si>
    <t>10.1016/j.margen.2020.100831</t>
  </si>
  <si>
    <t>Genetics &amp; Heredity; Marine &amp; Freshwater Biology</t>
  </si>
  <si>
    <t>RO9RS</t>
  </si>
  <si>
    <t>WOS:000641376900002</t>
  </si>
  <si>
    <t>Leroy-Dos Santos, C; Casado, M; Prié, F; Jossoud, O; Kerstel, E; Farradèche, M; Kassi, S; Fourré, E; Landais, A</t>
  </si>
  <si>
    <t>Leroy-Dos Santos, Christophe; Casado, Mathieu; Prie, Frederic; Jossoud, Olivier; Kerstel, Erik; Farradeche, Morgane; Kassi, Samir; Fourre, Elise; Landais, Amaelle</t>
  </si>
  <si>
    <t>A dedicated robust instrument for water vapor generation at low humidity for use with a laser water isotope analyzer in cold and dry polar regions</t>
  </si>
  <si>
    <t>ATMOSPHERIC MEASUREMENT TECHNIQUES</t>
  </si>
  <si>
    <t>CALIBRATION; DELTA-O-18; DELTA-H-2; PRECIPITATION; SCALE; RATIO</t>
  </si>
  <si>
    <t>Obtaining precise continuous measurements of water vapor isotopic composition in dry places (polar or high-altitude regions) is an important challenge. The current limitation is the strong influence of humidity on the measured water isotopic composition by laser spectroscopy instruments for low humidity levels (below 3000 ppmv). This problem is addressed by determining the relationships between humidity and measured delta O-18 and delta D of known water standards. Here, we present the development of a robust field instrument able to generate water vapor, down to 70 ppmv, at very stable humidity levels (average 1 alpha lower than 10 ppmv). This instrument, operated by a Raspberry interface, can be coupled to a commercial laser spectroscopy instrument. We checked the stability of the system as well as its accuracy when expressing the measured isotopic composition of water vapor on the VSMOW-SLAP (Vienna Standard Mean Ocean Water - Standard Light Antarctic Precipitation) scale. It proved to be highly stable during autonomous operation over more than 1 year at the East Antarctic Concordia and Dumont d'Urville stations.</t>
  </si>
  <si>
    <t>[Leroy-Dos Santos, Christophe; Casado, Mathieu; Prie, Frederic; Jossoud, Olivier; Farradeche, Morgane; Fourre, Elise; Landais, Amaelle] CEA CNRS UVSQ Paris Saclay IPSL, Lab Sci Climat &amp; Environm, Gif Sur Yvette, France; [Casado, Mathieu] Helmholtz Ctr Polar &amp; Marine Res, Alfred Wegener Inst, Potsdam, Germany; [Kerstel, Erik; Kassi, Samir] Univ Grenoble Alpes, Lab Interdisciplinaire Phys, CNRS, Grenoble, France</t>
  </si>
  <si>
    <t>CEA; Centre National de la Recherche Scientifique (CNRS); Universite Paris Saclay; Helmholtz Association; Alfred Wegener Institute, Helmholtz Centre for Polar &amp; Marine Research; Communaute Universite Grenoble Alpes; Universite Grenoble Alpes (UGA); Centre National de la Recherche Scientifique (CNRS)</t>
  </si>
  <si>
    <t>Landais, A (corresponding author), CEA CNRS UVSQ Paris Saclay IPSL, Lab Sci Climat &amp; Environm, Gif Sur Yvette, France.</t>
  </si>
  <si>
    <t>amaelle.landais@lsce.ipsl.fr</t>
  </si>
  <si>
    <t>Leroy-Dos Santos, Christophe/AAM-6087-2021; Kerstel, Erik/AAG-3042-2020</t>
  </si>
  <si>
    <t>Leroy-Dos Santos, Christophe/0000-0002-0051-7507; Jossoud, Olivier/0000-0002-4779-3779; Casado, Mathieu/0000-0002-8185-415X; Kerstel, Erik/0000-0001-5325-7860; FOURRE, Elise/0000-0002-2554-9660; Farradeche, Morgane/0000-0002-7181-789X</t>
  </si>
  <si>
    <t>Prince Albert II of Monaco Foundation [2487]; ANR; CNRS-LEFE; IPEV [1110, 1205]</t>
  </si>
  <si>
    <t>Prince Albert II of Monaco Foundation; ANR(Agence Nationale de la Recherche (ANR)); CNRS-LEFE; IPEV</t>
  </si>
  <si>
    <t>This research has been supported by the Prince Albert II of Monaco Foundation (grant no. 2487), the ANR (project EAIIST), CNRS-LEFE (project ADELISE) as well as by IPEV (grant no. 1110 and 1205).</t>
  </si>
  <si>
    <t>1867-1381</t>
  </si>
  <si>
    <t>1867-8548</t>
  </si>
  <si>
    <t>ATMOS MEAS TECH</t>
  </si>
  <si>
    <t>Atmos. Meas. Tech.</t>
  </si>
  <si>
    <t>10.5194/amt-14-2907-2021</t>
  </si>
  <si>
    <t>RO6NW</t>
  </si>
  <si>
    <t>WOS:000641161100001</t>
  </si>
  <si>
    <t>de Santi, II; Pacheco, BS; Venzke, D; Freitag, RA; de Almeida, LS; Colepicolo, P; Fujii, MT; Dias, D; Pereira, CMP</t>
  </si>
  <si>
    <t>de Santi, Ivandra Ignes; Pacheco, Bruna Silveira; Venzke, Dalila; Freitag, Rogerio Antonio; de Almeida, Leandro Silva; Colepicolo, Pio; Fujii, Mutue Toyota; Dias, Daiane; Pereira, Claudio M. P.</t>
  </si>
  <si>
    <t>Sterols in red macroalgae from antarctica: extraction and quantification by Gas Chromatography-Mass spectrometry</t>
  </si>
  <si>
    <t>Polar biota; King George Island; Marine algae; Rhodophyceae; Phytosterols analysis</t>
  </si>
  <si>
    <t>BETA-SITOSTEROL; FATTY-ACIDS; PLANT STEROLS; ALGAE; PHYTOSTEROLS; TEMPERATURE; DIVERSITY; SEAWEEDS; EXTREME</t>
  </si>
  <si>
    <t>Antarctica is considered a major reservoir of microorganisms and macroorganisms, including seaweed, which can biosynthesize secondary metabolites with unique structures and specific biological activities. Macroalgae are considered an interesting source of steroids, a class of metabolites involved in the control of membrane fluidity and permeability. This study reports the extraction and quantification of sterols in four red macroalgal species from Antarctica: Palmaria decipiens, Plocamium cartilagineum, Iridaea cordata, and Pyropia endiviifolia. The extraction of sterols involved alkaline hydrolysis from algal biomass. The quantification of cholesterol, brassicasterol, campesterol, stigmasterol, beta-sitosterol, and fucosterol were performed by gas chromatography hyphenated with mass spectrometry (GC-MS). In general, cholesterol was the most abundant compound (216.32 to 3195.69 mg kg(-1)), followed by beta-sitosterol (131.42 to 654.18 mg kg(-1)), stigmasterol (68.35 to 393.20 mg kg(-1)), brassicasterol (68.56 to 337.43 mg kg(-1)), campesterol (64.95 to 277.78 mg kg(-1)), and fucosterol (57.67 to 286.18 mg kg(-1)). Brassicasterol was not found in I. cordata, but it was identified in the other three samples. This work enriches the knowledge about the profile of steroids biosynthesized by Antarctic macroalgae and supports research to discover bioactive compounds with nutraceutical and pharmaceutical applications.</t>
  </si>
  <si>
    <t>[de Santi, Ivandra Ignes; Venzke, Dalila; Freitag, Rogerio Antonio; Pereira, Claudio M. P.] Univ Fed Pelotas, Lab Lipid &amp; Bioorgan LLipBio, Ctr Chem Pharmaceut &amp; Food Sci, Capao Do Leao Campus, BR-96010900 Capao Do Leao, RS, Brazil; [Pacheco, Bruna Silveira] Univ Fed Pelotas, Posgrad Program Biotechnol, Capao Do Leao Campus, BR-96010900 Capao Do Leao, RS, Brazil; [de Almeida, Leandro Silva; Dias, Daiane] Fed Univ Rio Grande, Sch Chem &amp; Food, BR-96201900 Rio Grande, RS, Brazil; [Colepicolo, Pio] Univ Sao Paulo, Chem Inst, Biochem Dept, Av Prof Lineu Prestes, BR-748 Sao Paulo, SP, Brazil; [Fujii, Mutue Toyota] Ctr Res Avascular Plants &amp; Fungi, Inst Bot, Nucleus Phycol Res, Ave Miguel Estefano,3687 Agua Funda, Sao Paulo, SP, Brazil</t>
  </si>
  <si>
    <t>Universidade Federal de Pelotas; Universidade Federal de Pelotas; Universidade Federal do Rio Grande; Universidade de Sao Paulo; Instituto de Botanica - Sao Paulo</t>
  </si>
  <si>
    <t>Pereira, CMP (corresponding author), Univ Fed Pelotas, Lab Lipid &amp; Bioorgan LLipBio, Ctr Chem Pharmaceut &amp; Food Sci, Capao Do Leao Campus, BR-96010900 Capao Do Leao, RS, Brazil.</t>
  </si>
  <si>
    <t>lahbbioufpel@gmail.com</t>
  </si>
  <si>
    <t>Fujii, Mutue T./B-4093-2013; Dias, Daiane/I-3065-2013; Fapesp, Biota/F-8655-2017</t>
  </si>
  <si>
    <t>Dias, Daiane/0000-0002-4057-2471; Fapesp, Biota/0000-0002-9887-8449</t>
  </si>
  <si>
    <t>Brazilian Antarctic Program (PROANTAR/MCT/CNPq) [23/2009, 64/2013]; Brazilian Navy; Coordination of Improvement of Higher Level Personnel (CAPES) [PGCI-99999.002378/2015]; State of Sao Paulo Research Foundation (FAPESP)</t>
  </si>
  <si>
    <t>Brazilian Antarctic Program (PROANTAR/MCT/CNPq); Brazilian Navy; Coordination of Improvement of Higher Level Personnel (CAPES)(Coordenacao de Aperfeicoamento de Pessoal de Nivel Superior (CAPES)); State of Sao Paulo Research Foundation (FAPESP)(Fundacao de Amparo a Pesquisa do Estado de Sao Paulo (FAPESP))</t>
  </si>
  <si>
    <t>This study had financial and logistic support from the Brazilian Antarctic Program (PROANTAR/MCT/CNPq-No.23/2009; 64/2013) and Brazilian Navy. The authors are grateful for the financial Support from the Coordination of Improvement of Higher Level Personnel (CAPES-General Program of International Cooperation PGCI-99999.002378/2015) and the State of Sao Paulo Research Foundation (FAPESP). We thank Mhali Translators for the English correction. We would like thank Chief Editor Dieter Piepenburg and the four reviewers; Antje Labes and three anonymous referees for their important comments which helped to improve the manuscript.</t>
  </si>
  <si>
    <t>10.1007/s00300-021-02853-0</t>
  </si>
  <si>
    <t>WOS:000640448700001</t>
  </si>
  <si>
    <t>Jastroch, M; Polymeropoulos, ET; Gaudry, MJ</t>
  </si>
  <si>
    <t>Jastroch, Martin; Polymeropoulos, Elias T.; Gaudry, Michael J.</t>
  </si>
  <si>
    <t>Pros and cons for the evidence of adaptive non-shivering thermogenesis in marsupials</t>
  </si>
  <si>
    <t>JOURNAL OF COMPARATIVE PHYSIOLOGY B-BIOCHEMICAL SYSTEMS AND ENVIRONMENTAL PHYSIOLOGY</t>
  </si>
  <si>
    <t>Marsupials; Adaptive non-shivering thermogenesis; Brown adipose tissue; Endothermy</t>
  </si>
  <si>
    <t>BROWN-ADIPOSE-TISSUE; MITOCHONDRIAL PROTON CONDUCTANCE; UNCOUPLING PROTEIN; MONODELPHIS-DOMESTICA; TASMANIAN BETTONG; MACROPUS-EUGENII; SKELETAL-MUSCLE; HEAT-PRODUCTION; FAT; EVOLUTION</t>
  </si>
  <si>
    <t>The thermogenic mechanisms supporting endothermy are still not fully understood in all major mammalian subgroups. In placental mammals, brown adipose tissue currently represents the most accepted source of adaptive non-shivering thermogenesis. Its mitochondrial protein UCP1 (uncoupling protein 1) catalyzes heat production, but the conservation of this mechanism is unclear in non-placental mammals and lost in some placentals. Here, we review the evidence for and against adaptive non-shivering thermogenesis in marsupials, which diverged from placentals about 120-160 million years ago. We critically discuss potential mechanisms that may be involved in the heat-generating process among marsupials.</t>
  </si>
  <si>
    <t>[Jastroch, Martin; Gaudry, Michael J.] Stockholm Univ, Dept Mol Biosci, Wenner Gren Inst, S-10691 Stockholm, Sweden; [Polymeropoulos, Elias T.] Univ Tasmania, Inst Marine &amp; Antarctic Studies IMAS, Hobart, Tas 7001, Australia</t>
  </si>
  <si>
    <t>Stockholm University; University of Tasmania</t>
  </si>
  <si>
    <t>Jastroch, M (corresponding author), Stockholm Univ, Dept Mol Biosci, Wenner Gren Inst, S-10691 Stockholm, Sweden.</t>
  </si>
  <si>
    <t>martin.jastroch@su.se</t>
  </si>
  <si>
    <t>Jastroch, Martin/I-7494-2017; Polymeropoulos, Elias T/E-9883-2013</t>
  </si>
  <si>
    <t>Polymeropoulos, Elias Theodor/0000-0002-4816-6005; Gaudry, Michael/0000-0001-8411-0415</t>
  </si>
  <si>
    <t>Swedish Research Council [2018-03472]; Swedish Research Council [2018-03472] Funding Source: Swedish Research Council; Vinnova [2018-03472] Funding Source: Vinnova</t>
  </si>
  <si>
    <t>Swedish Research Council(Swedish Research Council); Swedish Research Council(Swedish Research Council); Vinnova(Vinnova)</t>
  </si>
  <si>
    <t>The current work on the evolution of non-shivering thermogenesis is supported by the Swedish Research Council (2018-03472 to M.J.). We thank Chrishanthi Lowe for animal artwork and for providing single-use copyrights of marsupial illustrations to the authors. We thank Michaela Keuper for adipocyte illustrations. Cheers Frapps!</t>
  </si>
  <si>
    <t>0174-1578</t>
  </si>
  <si>
    <t>1432-136X</t>
  </si>
  <si>
    <t>J COMP PHYSIOL B</t>
  </si>
  <si>
    <t>J. Comp. Physiol. B-Biochem. Syst. Environ. Physiol.</t>
  </si>
  <si>
    <t>10.1007/s00360-021-01362-0</t>
  </si>
  <si>
    <t>Physiology; Zoology</t>
  </si>
  <si>
    <t>WS2TF</t>
  </si>
  <si>
    <t>WOS:000640467800001</t>
  </si>
  <si>
    <t>Nicolaus, M; Hoppmann, M; Arndt, S; Hendricks, S; Katlein, C; Nicolaus, A; Rossmann, L; Schiller, M; Schwegmann, S</t>
  </si>
  <si>
    <t>Nicolaus, Marcel; Hoppmann, Mario; Arndt, Stefanie; Hendricks, Stefan; Katlein, Christian; Nicolaus, Anja; Rossmann, Leonard; Schiller, Martin; Schwegmann, Sandra</t>
  </si>
  <si>
    <t>Snow Depth and Air Temperature Seasonality on Sea Ice Derived From Snow Buoy Measurements</t>
  </si>
  <si>
    <t>FRONTIERS IN MARINE SCIENCE</t>
  </si>
  <si>
    <t>sea ice; snow; buoy; measurement; platform; Arctic (Ocean); Antarctic</t>
  </si>
  <si>
    <t>Snow depth on sea ice is an essential state variable of the polar climate system and yet one of the least known and most difficult to characterize parameters of the Arctic and Antarctic sea ice systems. Here, we present a new type of autonomous platform to measure snow depth, air temperature, and barometric pressure on drifting Arctic and Antarctic sea ice. Snow Buoys are designed to withstand the harshest environmental conditions and to deliver high and consistent data quality with minimal impact on the surface. Our current dataset consists of 79 time series (47 Arctic, 32 Antarctic) since 2013, many of which cover entire seasonal cycles and with individual observation periods of up to 3 years. In addition to a detailed introduction of the platform itself, we describe the processing of the publicly available (near real time) data and discuss limitations. First scientific results reveal characteristic regional differences in the annual cycle of snow depth: in the Weddell Sea, annual net snow accumulation ranged from 0.2 to 0.9 m (mean 0.34 m) with some regions accumulating snow in all months. On Arctic sea ice, the seasonal cycle was more pronounced, showing accumulation from synoptic events mostly between August and April and maxima in autumn. Strongest ablation was observed in June and July, and consistently the entire snow cover melted during summer. Arctic air temperature measurements revealed several abovefreezing temperature events in winter that likely impacted snow stratigraphy and thus preconditioned the subsequent spring snow cover. The ongoing Snow Buoy program will be the basis of many future studies and is expected to significantly advance our understanding of snow on sea ice, also providing invaluable in situ validation data for numerical simulations and remote sensing techniques.</t>
  </si>
  <si>
    <t>[Nicolaus, Marcel; Hoppmann, Mario; Arndt, Stefanie; Hendricks, Stefan; Katlein, Christian; Nicolaus, Anja; Rossmann, Leonard; Schiller, Martin; Schwegmann, Sandra] Alfred Wegener Inst, Helmholtz Zentrum Polar &amp; Meeresforsch, Bremerhaven, Germany</t>
  </si>
  <si>
    <t>Helmholtz Association; Alfred Wegener Institute, Helmholtz Centre for Polar &amp; Marine Research</t>
  </si>
  <si>
    <t>Nicolaus, M (corresponding author), Alfred Wegener Inst, Helmholtz Zentrum Polar &amp; Meeresforsch, Bremerhaven, Germany.</t>
  </si>
  <si>
    <t>marcel.nicolaus@awi.de</t>
  </si>
  <si>
    <t>Arndt, Stefanie/AAA-6178-2021; Nicolaus, Marcel/A-3658-2013; Hoppmann, Mario/KFB-0363-2024; Schiller, Martin/AFQ-9491-2022; Hendricks, Stefan/D-5168-2011</t>
  </si>
  <si>
    <t>Arndt, Stefanie/0000-0001-9782-3844; Nicolaus, Marcel/0000-0003-0903-1746; Hoppmann, Mario/0000-0003-1294-9531; Schiller, Martin/0000-0002-0506-2759; Hendricks, Stefan/0000-0002-1412-3146; Schwegmann, Sandra/0000-0002-3102-7279; rossmann, leonard/0000-0002-9048-957X</t>
  </si>
  <si>
    <t>Helmholtz infrastructure program ACROSS; Helmholtz infrastructure program FRAM; Helmholtz Alliance Remote Sensing and Earth System Dynamics [HA-310]; EU [640161, 262922]; DFG [NI1096/2-1, NI1096/5-1, AR1236/1]; ESA Sea Ice CCI phase 1 and 2 [AO/1-6772/11/I-AM]; German Ministry of Economics and Technology [50EE1008]</t>
  </si>
  <si>
    <t>Helmholtz infrastructure program ACROSS; Helmholtz infrastructure program FRAM; Helmholtz Alliance Remote Sensing and Earth System Dynamics; EU(European Union (EU)); DFG(German Research Foundation (DFG)); ESA Sea Ice CCI phase 1 and 2; German Ministry of Economics and Technology(Federal Ministry for Economic Affairs and Energy (BMWi))</t>
  </si>
  <si>
    <t>All buoys highlighted in this article were funded by the Helmholtz infrastructure programs ACROSS and FRAM. Different authors received funding from external projects: Helmholtz Alliance Remote Sensing and Earth System Dynamics (HA-310), EU H2020 project SPICES (640161), EU FP7-SPACE project SIDARUS (262922), DFG projects SIMBIS (NI1096/2-1), SCASI (NI1096/5-1), and SnowCast (AR1236/1), ESA Sea Ice CCI phase 1 and 2 (AO/1-6772/11/I-AM), and the German Ministry of Economics and Technology (50EE1008). We highly appreciate the work of the www.meereisportal.de team for building and maintaining the online platform and database for all Snow Buoy data and figures (REKLIM-2012-04).</t>
  </si>
  <si>
    <t>2296-7745</t>
  </si>
  <si>
    <t>FRONT MAR SCI</t>
  </si>
  <si>
    <t>Front. Mar. Sci.</t>
  </si>
  <si>
    <t>10.3389/fmars.2021.655446</t>
  </si>
  <si>
    <t>RQ5ZP</t>
  </si>
  <si>
    <t>WOS:000642497200001</t>
  </si>
  <si>
    <t>Remedios-De León, M; Hughes, KA; Morelli, E; Convey, P</t>
  </si>
  <si>
    <t>Remedios-De Leon, Monica; Hughes, Kevin Andrew; Morelli, Enrique; Convey, Peter</t>
  </si>
  <si>
    <t>International Response under the Antarctic Treaty System to the Establishment of A Non-native Fly in Antarctica</t>
  </si>
  <si>
    <t>ENVIRONMENTAL MANAGEMENT</t>
  </si>
  <si>
    <t>Invasive; Alien; Eradication; Antarctic Treaty; Committee for Environmental Protection</t>
  </si>
  <si>
    <t>Antarctica currently has few non-native species, compared to other regions of the planet, due to the continent's isolation, extreme climatic conditions and the lack of habitat. However, human activity, particularly the activities of national government operators and tourism, increasingly contributes to the risk of non-native species transfer and establishment. Trichocera (Saltitrichocera) maculipennis Meigen, 1888 (Diptera, Trichoceridae) is a non-native fly originating from the Northern Hemisphere that was unintentionally introduced to King George Island in the maritime Antarctic South Shetland Islands around 15 years ago, since when it has been reported within or in the vicinity of several research stations. It is not explicitly confirmed that T. maculipennis has established in the natural environment, but life-history characteristics make this likely, thereby making potential eradication or control a challenge. Antarctic Treaty Parties active in the region are developing a coordinated and expanding international response to monitor and control T. maculipennis within and around stations in the affected area. However, there remains no overarching non-native invasive species management plan for the island or the wider maritime Antarctic region (which shares similar environmental conditions and habitats to those of King George Island). Here we present some options towards the development of such a plan. We recommend the development of (1) clear mechanisms for the timely coordination of response activities by multiple Parties operating in the vicinity of the introduction location and (2) policy guidance on acceptable levels of environmental impacts resulting from eradication attempts in the natural environment, including the use of pesticides.</t>
  </si>
  <si>
    <t>[Remedios-De Leon, Monica; Morelli, Enrique] Univ Republica, Fac Ciencias, Entomol Sect, Montevideo, Uruguay; [Remedios-De Leon, Monica; Hughes, Kevin Andrew; Convey, Peter] British Antarctic Survey, Nat Environm Res Council, Madingley Rd, Cambridge CB3 0ET, England</t>
  </si>
  <si>
    <t>Universidad de la Republica, Uruguay; UK Research &amp; Innovation (UKRI); Natural Environment Research Council (NERC); NERC British Antarctic Survey</t>
  </si>
  <si>
    <t>Hughes, KA (corresponding author), British Antarctic Survey, Nat Environm Res Council, Madingley Rd, Cambridge CB3 0ET, England.</t>
  </si>
  <si>
    <t>kehu@bas.ac.uk</t>
  </si>
  <si>
    <t>Hughes, Kevin/JVZ-0793-2024; Convey, Peter/AAV-5728-2020</t>
  </si>
  <si>
    <t>Convey, Peter/0000-0001-8497-9903</t>
  </si>
  <si>
    <t>Natural Environment Research Council; SCAR; Uruguayan Antarctic Institute (IAU); KOPRI, Korea; NERC [bas0100036] Funding Source: UKRI</t>
  </si>
  <si>
    <t>Natural Environment Research Council(UK Research &amp; Innovation (UKRI)Natural Environment Research Council (NERC)); SCAR; Uruguayan Antarctic Institute (IAU); KOPRI, Korea(Korea Polar Research Institute of Marine Research Placement (KOPRI)); NERC(UK Research &amp; Innovation (UKRI)Natural Environment Research Council (NERC))</t>
  </si>
  <si>
    <t>This paper contributes to the British Antarctic Survey (BAS) Polar Science for Planet Earth `Biodiversity, Evolution and Adaptation' Team, the BAS Environment Office Long-Term Monitoring and Survey project (EO-LTMS) and the 'State of the Antarctic Ecosystem' (AntEco) and `Integrated Science to Inform Antarctic and Southern Ocean Conservation' (Ant-ICON) research programmes of the Scientific Committee on Antarctic Research (SCAR). KH and PC are supported by Natural Environment Research Council core funding to BAS. We thank Laura Gerrish from the Mapping and Geographic Information Centre (MAGIC), BAS, for preparing Fig. 1 using data from the SCAR Antarctic Digital Database. SCAR is thanked for awarding Monica Remedios-De Leon a Fellowship to visit BAS. We also thank the Uruguayan Antarctic Institute (IAU) and KOPRI, Korea, for their support in applying for the SCAR Fellowship. The authors thank two anonymous reviewers for their helpful comments.</t>
  </si>
  <si>
    <t>0364-152X</t>
  </si>
  <si>
    <t>1432-1009</t>
  </si>
  <si>
    <t>ENVIRON MANAGE</t>
  </si>
  <si>
    <t>Environ. Manage.</t>
  </si>
  <si>
    <t>10.1007/s00267-021-01464-z</t>
  </si>
  <si>
    <t>RZ1YJ</t>
  </si>
  <si>
    <t>hybrid, Green Accepted, Green Published</t>
  </si>
  <si>
    <t>WOS:000640481300001</t>
  </si>
  <si>
    <t>Gimperlein, H; Stocek, J; Urzúa-Torres, C</t>
  </si>
  <si>
    <t>Gimperlein, Heiko; Stocek, Jakub; Urzua-Torres, Carolina</t>
  </si>
  <si>
    <t>Optimal operator preconditioning for pseudodifferential boundary problems</t>
  </si>
  <si>
    <t>NUMERISCHE MATHEMATIK</t>
  </si>
  <si>
    <t>65F08; 65N30; 45P05; 31B10</t>
  </si>
  <si>
    <t>HYPERSINGULAR INTEGRAL-EQUATION; UNIFORM PRECONDITIONERS; L-2 PROJECTION; INVERSES; ELEMENTS</t>
  </si>
  <si>
    <t>We propose an operator preconditioner for general elliptic pseudodifferential equations in a domain Omega, where Omega is either in R-n or in a Riemannian manifold. For linear systems of equations arising from low-order Galerkin discretizations, we obtain condition numbers that are independent of the mesh size and of the choice of bases for test and trial functions. The basic ingredient is a classical formula by Boggio for the fractional Laplacian, which is extended analytically. In the special case of the weakly and hypersingular operators on a line segment or a screen, our approach gives a unified, independent proof for a series of recent results by Hiptmair, Jerez-Hanckes, Nedelec and Urzua-Torres. We also study the increasing relevance of the regularity assumptions on the mesh with the order of the operator. Numerical examples validate our theoretical findings and illustrate the performance of the proposed preconditioner on quasi-uniform, graded and adaptively generated meshes.</t>
  </si>
  <si>
    <t>[Gimperlein, Heiko] Heriot Watt Univ, Maxwell Inst Math Sci, Dept Math, Edinburgh EH14 4AS, Midlothian, Scotland; [Stocek, Jakub] British Antarctic Survey, Madingley Rd, Cambridge CB3 0ET, England; [Urzua-Torres, Carolina] Delft Univ Technol, Delft Inst Appl Math, Delft, Netherlands</t>
  </si>
  <si>
    <t>University of Edinburgh; Heriot Watt University; UK Research &amp; Innovation (UKRI); Natural Environment Research Council (NERC); NERC British Antarctic Survey; Delft University of Technology</t>
  </si>
  <si>
    <t>Stocek, J (corresponding author), British Antarctic Survey, Madingley Rd, Cambridge CB3 0ET, England.</t>
  </si>
  <si>
    <t>h.gimperlein@hw.ac.uk; jaksto@bas.ac.uk; c.a.urzuatorres@tudelft.nl</t>
  </si>
  <si>
    <t>Gimperlein, Heiko/ABH-6499-2020</t>
  </si>
  <si>
    <t>Gimperlein, Heiko/0000-0003-3145-3021; Stocek, Jakub/0000-0003-2749-3194; Urzua Torres, Carolina/0000-0003-0055-6175</t>
  </si>
  <si>
    <t>Maxwell Institute Graduate School in Analysis and its Applications, a Centre for Doctoral Training - UK Engineering and Physical Sciences Research Council [EP/L016508/01]; Scottish Funding Council; Heriot-Watt University; University of Edinburgh</t>
  </si>
  <si>
    <t>Maxwell Institute Graduate School in Analysis and its Applications, a Centre for Doctoral Training - UK Engineering and Physical Sciences Research Council(UK Research &amp; Innovation (UKRI)Engineering &amp; Physical Sciences Research Council (EPSRC)); Scottish Funding Council; Heriot-Watt University; University of Edinburgh</t>
  </si>
  <si>
    <t>J. S. was supported by The Maxwell Institute Graduate School in Analysis and its Applications, a Centre for Doctoral Training funded by the UK Engineering and Physical Sciences Research Council (Grant EP/L016508/01), the Scottish Funding Council, Heriot-Watt University and the University of Edinburgh.</t>
  </si>
  <si>
    <t>0029-599X</t>
  </si>
  <si>
    <t>0945-3245</t>
  </si>
  <si>
    <t>NUMER MATH</t>
  </si>
  <si>
    <t>Numer. Math.</t>
  </si>
  <si>
    <t>10.1007/s00211-021-01193-9</t>
  </si>
  <si>
    <t>Mathematics, Applied</t>
  </si>
  <si>
    <t>Mathematics</t>
  </si>
  <si>
    <t>SK3LU</t>
  </si>
  <si>
    <t>WOS:000640447500001</t>
  </si>
  <si>
    <t>Briton, F; Thébaud, O; Macher, C; Gardner, C; Little, LR; Kraak, S</t>
  </si>
  <si>
    <t>Briton, Florence; Thebaud, Olivier; Macher, Claire; Gardner, Caleb; Little, Lorne Richard; Kraak, Sarah</t>
  </si>
  <si>
    <t>Flexibility of joint production in mixed fisheries and implications for management</t>
  </si>
  <si>
    <t>ICES JOURNAL OF MARINE SCIENCE</t>
  </si>
  <si>
    <t>fishing behaviour; ITQ; joint production; mixed fisheries; Southern and Eastern Scalefish and Shark Fishery; TAC advice</t>
  </si>
  <si>
    <t>FLEET DYNAMICS; TARGETING ABILITY; TRAWL FISHERY; MODEL; FRAMEWORK; ECONOMICS; BYCATCH; SYSTEMS; CHOICE; YIELD</t>
  </si>
  <si>
    <t>Over the past decade, efforts have been made to factor technical interactions into management recommendations for mixed fisheries. Yet, the dynamics underlying joint production in mixed fisheries are generally poorly captured in operational mixed fisheries models supporting total allowable catch advice. Using an integrated ecological-economic simulation model, we explore the extent to which fishers are likely to alter the species composition of their landings in a mixed fishery managed with individual transferable quotas, the Australian Southern and Eastern Scalefish and Shark Fishery. Our simulations capture three different types of joint production problems, highlighting the flexibility that exists in terms of achievable catch compositions when quota markets provide the economic incentives to adapt fishing practices to quota availability. These results highlight the importance of capturing the drivers of fishing choices when advising TAC decisions in mixed fisheries. We also identify a hierarchy of species in this fishery, with harvest targets set for primary commercial species determining most of its socio-economic performance.</t>
  </si>
  <si>
    <t>[Briton, Florence; Thebaud, Olivier; Macher, Claire] Univ Bretagne Occidentale, Unite Econ Maritime, IUEM, AMURE,UMR 6308,Ifremer,CNRS, F-129280 Plouzane, France; [Briton, Florence] Univ Tasmania, Inst Marine &amp; Antarctic Studies, CSIRO UTAS Quantitat Marine Sci PhD Program, Hobart, Tas, Australia; [Briton, Florence; Little, Lorne Richard] Univ Tasmania, Ctr Marine Socioecol, Hobart, Tas 7001, Australia; [Gardner, Caleb] Univ Tasmania, Inst Marine &amp; Antarctic Studies, Hobart, Tas 7001, Australia; [Little, Lorne Richard] CSIRO, Oceans &amp; Atmosphere, Hobart, Tas, Australia</t>
  </si>
  <si>
    <t>Ifremer; Centre National de la Recherche Scientifique (CNRS); CNRS - Institute of Ecology &amp; Environment (INEE); Universite de Bretagne Occidentale; Institut Universitaire Europeen de la Mer (IUEM); Commonwealth Scientific &amp; Industrial Research Organisation (CSIRO); University of Tasmania; University of Tasmania; University of Tasmania; Commonwealth Scientific &amp; Industrial Research Organisation (CSIRO)</t>
  </si>
  <si>
    <t>Briton, F (corresponding author), Univ Bretagne Occidentale, Unite Econ Maritime, IUEM, AMURE,UMR 6308,Ifremer,CNRS, F-129280 Plouzane, France.;Briton, F (corresponding author), Univ Tasmania, Inst Marine &amp; Antarctic Studies, CSIRO UTAS Quantitat Marine Sci PhD Program, Hobart, Tas, Australia.;Briton, F (corresponding author), Univ Tasmania, Ctr Marine Socioecol, Hobart, Tas 7001, Australia.</t>
  </si>
  <si>
    <t>florence.briton@hotmail.fr</t>
  </si>
  <si>
    <t>Macher, Claire/0000-0001-9307-6562; Briton, Florence/0000-0002-4943-1851; Thebaud, Olivier/0000-0001-8665-3827</t>
  </si>
  <si>
    <t>University of Tasmania (UTAS)/Commonwealth Scientific and Industrial Research Organisation (CSIRO) PhD Program in Quantitative Marine Science; CSIRO ResearchPlus Postgraduate Top-up Scholarship; French Research Institute for Exploitation of the Sea (Ifremer); Ecole des Docteurs of University Bretagne Loire; Conseil Regional de Bretagne</t>
  </si>
  <si>
    <t>University of Tasmania (UTAS)/Commonwealth Scientific and Industrial Research Organisation (CSIRO) PhD Program in Quantitative Marine Science; CSIRO ResearchPlus Postgraduate Top-up Scholarship; French Research Institute for Exploitation of the Sea (Ifremer); Ecole des Docteurs of University Bretagne Loire; Conseil Regional de Bretagne(Region Bretagne)</t>
  </si>
  <si>
    <t>This work was supported by the University of Tasmania (UTAS)/Commonwealth Scientific and Industrial Research Organisation (CSIRO) PhD Program in Quantitative Marine Science, a CSIRO ResearchPlus Postgraduate Top-up Scholarship, the French Research Institute for Exploitation of the Sea (Ifremer), the Ecole des Docteurs of University Bretagne Loire, and the Conseil Re ' gional de Bretagne.</t>
  </si>
  <si>
    <t>1054-3139</t>
  </si>
  <si>
    <t>1095-9289</t>
  </si>
  <si>
    <t>ICES J MAR SCI</t>
  </si>
  <si>
    <t>ICES J. Mar. Sci.</t>
  </si>
  <si>
    <t>10.1093/icesjms/fsab057</t>
  </si>
  <si>
    <t>Fisheries; Marine &amp; Freshwater Biology; Oceanography</t>
  </si>
  <si>
    <t>UR2HZ</t>
  </si>
  <si>
    <t>WOS:000696576500004</t>
  </si>
  <si>
    <t>Jia, YD; Gao, YT; Gao, YH; Li, WS; Guan, CT</t>
  </si>
  <si>
    <t>Jia, Yudong; Gao, Yuntao; Gao, Yunhong; Li, Wensheng; Guan, Changtao</t>
  </si>
  <si>
    <t>Growth performance, hematological and biochemical parameters, and hepatic antioxidant status of spotted knifejaw Oplegnathus punctatus in an offshore aquaculture net pen</t>
  </si>
  <si>
    <t>AQUACULTURE</t>
  </si>
  <si>
    <t>Growth; Hematology and biochemistry; Hepatic antioxidant; Spotted knifejaw Oplegnathus punctatus; Offshore aquaculture net pen</t>
  </si>
  <si>
    <t>TURBOT SCOPHTHALMUS-MAXIMUS; FISH CAGE; ANTARCTIC FISH; SPARUS-AURATA; FLOW-RATE; SEA; STRESS; L.; TEMPERATURE; SYSTEM</t>
  </si>
  <si>
    <t>Spotted knifejaw (Oplegnathus punctatus) is a promising species for aquaculture production because of its high commercial value and limited supply. The growth performance, hematological and biochemical parameters, and hepatic antioxidant status of spotted knifejaw reared in an offshore aquaculture net pen system (OANPS) were examined to evaluate the potential development of offshore fish farming on the north coast of China. Results showed that 50, 000 juveniles spotted knifejaw (initial mean body weight 392.73 +/- 58 g) were transferred to OANPS and had a survival rate of 98%, final mean body weight of 790.05 +/- 12.83 g, body weight gain of 101.2%, feed conversion ratio (FCR) of 1.52, and specific growth rate (SGR) of 0.59% d-1 after 120 days. The hepatosomatic and the viscerosomatic indices (HSI and VSI) of the spotted knifejaw did not change significantly. The plasma albumin and globulin contents of the spotted knifejaw reared in the OANPS increased significantly. In contrast, the plasma alkaline aminotransferase and aspartate aminotransferase activities significantly decreased at the end of the experiment. However, the plasma glucose, cholesterol, triglyceride contents and albumin/globulin levels, white blood and red blood cell numbers, hemoglobin, and hematocrit contents showed no significant differences throughout the experimental period. Hepatic superoxide dismutase and glutathione peroxidase activities were significantly increased, and the catalase activity and malondialdehyde levels remained unchanged. In addition, the low hepatic lipid droplet number was observed in the spotted knifejaw reared in the OANPS. These results indicated that juveniles spotted knifejaw reared in an OANPS can show a high survival rate and high growth performance and physiological status through short-term culture. The OANPS opens a new door for spotted knifejaw culture. These findings enhance our understanding of spotted knifejaw aquaculture and contribute to offshore fish farming in China.</t>
  </si>
  <si>
    <t>[Jia, Yudong; Gao, Yuntao; Gao, Yunhong; Guan, Changtao] Chinese Acad Fishery Sci, Qingdao Key Lab Marine Fish Breeding &amp; Biotechnol, Yellow Sea Fisheries Res Inst, Qingdao 266071, Peoples R China; [Gao, Yuntao] Shanghai Ocean Univ, Coll Fisheries &amp; Life Sci, Shanghai 201306, Peoples R China; [Jia, Yudong; Guan, Changtao] Qingdao Natl Lab Marine Sci &amp; Technol, Qingdao 266237, Peoples R China; [Li, Wensheng] Ming Bo Aquat Co Ltd, Laizhou 261400, Peoples R China</t>
  </si>
  <si>
    <t>Chinese Academy of Fishery Sciences; Yellow Sea Fisheries Research Institute, CAFS; Shanghai Ocean University; Laoshan Laboratory</t>
  </si>
  <si>
    <t>Jia, YD (corresponding author), Chinese Acad Fishery Sci, Yellow Sea Fisheries Res Inst, 106 Nanjing Rd, Qingdao 266071, Peoples R China.</t>
  </si>
  <si>
    <t>jiayd@ysfri.ac.cn</t>
  </si>
  <si>
    <t>Gao, Yuntao/GQP-3589-2022</t>
  </si>
  <si>
    <t>National Key R&amp;D Program of China [2019YFD0900904]; Central Public Interest Scientific Institution Basal Research Fund, YSFRI, Chinese Academy of Fisheries Science [2020TD51]; Key R&amp;D Program of Yantai [2019ZDCX005]</t>
  </si>
  <si>
    <t>National Key R&amp;D Program of China; Central Public Interest Scientific Institution Basal Research Fund, YSFRI, Chinese Academy of Fisheries Science; Key R&amp;D Program of Yantai</t>
  </si>
  <si>
    <t>This study was supported by the National Key R&amp;D Program of China (2019YFD0900904) , Central Public Interest Scientific Institution Basal Research Fund, YSFRI, Chinese Academy of Fisheries Science (2020TD51) , Key R&amp;D Program of Yantai (2019ZDCX005) .</t>
  </si>
  <si>
    <t>0044-8486</t>
  </si>
  <si>
    <t>1873-5622</t>
  </si>
  <si>
    <t>Aquaculture</t>
  </si>
  <si>
    <t>AUG 30</t>
  </si>
  <si>
    <t>10.1016/j.aquaculture.2021.736761</t>
  </si>
  <si>
    <t>SM4YE</t>
  </si>
  <si>
    <t>WOS:000657612200001</t>
  </si>
  <si>
    <t>Zeppenfeld, S; van Pinxteren, M; van Pinxteren, D; Wex, H; Berdalet, E; Vaqué, D; Dall'Osto, M; Herrmann, H</t>
  </si>
  <si>
    <t>Zeppenfeld, Sebastian; van Pinxteren, Manuela; van Pinxteren, Dominik; Wex, Heike; Berdalet, Elisa; Vaque, Dolors; Dall'Osto, Manuel; Herrmann, Hartmut</t>
  </si>
  <si>
    <t>Aerosol Marine Primary Carbohydrates and Atmospheric Transformation in the Western Antarctic Peninsula</t>
  </si>
  <si>
    <t>ACS EARTH AND SPACE CHEMISTRY</t>
  </si>
  <si>
    <t>sea-air transfer; aerosol particles; sea surface microlayer; carbohydrates; organic matter; Antarctic peninsula; Southern Ocean</t>
  </si>
  <si>
    <t>SEA-SPRAY AEROSOL; TRANSPARENT EXOPOLYMER PARTICLES; DISSOLVED ORGANIC-MATTER; CENTRAL ARCTIC-OCEAN; SURFACE MICROLAYER; AMINO-ACIDS; PARTICULATE POLYSACCHARIDES; SOUTHERN-OCEAN; BLOWING SNOW; ROSS SEA</t>
  </si>
  <si>
    <t>We present ship-borne and land-based measure-ments of carbohydrate concentrations and patterns in (i) bulk seawater, (ii) sea surface microlayer (SML), and (iii) atmospheric size-resolved aerosol particles (0.05-10 mu m) collected in the Western Antarctic Peninsula. In seawater, we find higher combined carbohydrates (CCHO) in both the particulate (PCCHO, 13-248 mu g L-1) and dissolved (DCCHO, 14-294 mu g L-1) phases than dissolved free carbohydrates (DFCHO, 1.0-17 mu g L-1). Moderate enrichment factors are found in the SML samples (median EFSML = 1.4 for PCCHO, DCCHO, and DFCHO). In PM, atmospheric particles, combined carbohydrates (CCHOaer,PM10 0.2-11.3 ng m(-3)) were preferably found in particles of two size modes (0.05-0.42 and 1.2-10 mu m) and strongly correlated with Na-aer,PM10(+) and wind speed, hence suggesting oceanic emission as their primary source. In contrast to SML samples, very high enrichment factors for CCHOaer relative to the bulk water (EFaer) were estimated for supermicron (20-4000) and submicron (40-167 000) particles. Notably, the relative atmospheric aerosol monosaccharide compositions strongly differed from the ones sampled in seawater. The prevalence of bacterial monosaccharides (muramic acid, glucosamine) in aerosol particles allows us to suggest a selective consumption and release of polysaccharides by bacteria in the atmosphere. Our results highlight the need to evaluate the role of different ecosystems as aerosol sources around Antarctica.</t>
  </si>
  <si>
    <t>[Zeppenfeld, Sebastian; van Pinxteren, Manuela; van Pinxteren, Dominik; Herrmann, Hartmut] Leibniz Inst Tropospher Res TROPOS, Atmospher Chem Dept ACD, D-04318 Leipzig, Germany; [Wex, Heike] Leibniz Inst Tropospher Res TROPOS, Expt Aerosol &amp; Cloud Microphys Dept, D-04318 Leipzig, Germany; [Berdalet, Elisa; Vaque, Dolors; Dall'Osto, Manuel] Consejo Super Invest Cient ICM CSIC, Inst Ciencies Mar, Barcelona 08003, Catalonia, Spain</t>
  </si>
  <si>
    <t>Leibniz Institut fur Tropospharenforschung (TROPOS); Leibniz Institut fur Tropospharenforschung (TROPOS); Consejo Superior de Investigaciones Cientificas (CSIC); CSIC - Centro Mediterraneo de Investigaciones Marinas y Ambientales (CMIMA); CSIC - Instituto de Ciencias del Mar (ICM)</t>
  </si>
  <si>
    <t>Herrmann, H (corresponding author), Leibniz Inst Tropospher Res TROPOS, Atmospher Chem Dept ACD, D-04318 Leipzig, Germany.</t>
  </si>
  <si>
    <t>herrmann@tropos.de</t>
  </si>
  <si>
    <t>Herrmann, Hartmut/C-2486-2009; amplification, ³ - Arctic/AAU-6640-2020; Zeppenfeld, Sebastian/JRW-2179-2023; Zeppenfeld, Sebastian/JVD-7795-2023; BERDALET, ELISA/K-6956-2014; dallosto, manuel/G-3584-2016; Vaque, Dolors/H-6973-2018</t>
  </si>
  <si>
    <t>Herrmann, Hartmut/0000-0001-7044-2101; BERDALET, ELISA/0000-0003-1123-9706; dallosto, manuel/0000-0003-4203-894X; Zeppenfeld, Sebastian/0000-0003-4622-3181; Vaque, Dolors/0000-0002-0420-5914</t>
  </si>
  <si>
    <t>Deutsche Forschungsgemeinschaft (DFG, German Research Foundation) within the Transregional Collaborative Research Center ArctiC Amplification: Climate Relevant Atmospheric and SurfaCe Processes, and Feedback Mechanisms (AC)3 [268020496-TRR 172]; Leibniz Association SAW funding of the project Marine biological production, organic aerosol particles and marine clouds: a Process Chain (MarParCloud) [SAW2016-TROPOS-2]</t>
  </si>
  <si>
    <t>Deutsche Forschungsgemeinschaft (DFG, German Research Foundation) within the Transregional Collaborative Research Center ArctiC Amplification: Climate Relevant Atmospheric and SurfaCe Processes, and Feedback Mechanisms (AC)3(German Research Foundation (DFG)); Leibniz Association SAW funding of the project Marine biological production, organic aerosol particles and marine clouds: a Process Chain (MarParCloud)</t>
  </si>
  <si>
    <t>The authors gratefully acknowledge the funding by the Deutsche Forschungsgemeinschaft (DFG, German Research Foundation, Projektnummer 268020496-TRR 172) within the Transregional Collaborative Research Center ArctiC Amplification: Climate Relevant Atmospheric and SurfaCe Processes, and Feedback Mechanisms (AC)3 in subprojects B04. Additional support through the Leibniz Association SAW funding of the project Marine biological production, organic aerosol particles and marine clouds: a Process Chain (MarParCloud) (SAW2016-TROPOS-2) is also gratefully acknowledged. The authors thank the captain and the crew of RV Hesperides and the Spanish Antarctic Base Juan Carlos I for their support during the expedition from January to March 2019. They also thank Andrea Haudek and Hartmut Haudek for the development and construction of the conditioning tube and the wind control system connected to the Berner impactor. They thank Susanne Fuchs, Anett Dietze, and Anke Rodger for the mass, ion, WSOC, and OC/EC measurements, as well as Rene Rabe for the support to prepare the campaign's equipment. The authors thank Dominik Jammal and Olivia Linke for measuring the icenucleating activity in the SML and atmospheric particle samples. They thank Teresa Buchaca and Montserrat Soler (CEABCSIC) for the pigment analyses. DOC was analyzed by Mara Abad (ICM-CSIC) and the POC was analyzed at the IIM-CSIC (Vigo). Ana Sotomayor Garcia and Miguel Cabrera Brufau, as well as all the PI-ICE team, are acknowledged for sampling. The authors thank Tina S.antl-Temkiv for a critical discussion regarding the interpretation of the results presented here. They acknowledge The General Bathymetric Chart of the Oceans (GEBCO) for the public access to the gridded bathymetry dataset.</t>
  </si>
  <si>
    <t>2472-3452</t>
  </si>
  <si>
    <t>ACS EARTH SPACE CHEM</t>
  </si>
  <si>
    <t>ACS Earth Space Chem.</t>
  </si>
  <si>
    <t>MAY 20</t>
  </si>
  <si>
    <t>10.1021/acsearthspacechem.0c00351</t>
  </si>
  <si>
    <t>Chemistry, Multidisciplinary; Geochemistry &amp; Geophysics</t>
  </si>
  <si>
    <t>Chemistry; Geochemistry &amp; Geophysics</t>
  </si>
  <si>
    <t>SJ6JH</t>
  </si>
  <si>
    <t>WOS:000655638500005</t>
  </si>
  <si>
    <t>Friedlander, AM; Ballesteros, E; Goodell, W; Hüne, M; Muñoz, A; Salinas-de-León, P; Velasco-Charpentier, C; Sala, E</t>
  </si>
  <si>
    <t>Friedlander, Alan M.; Ballesteros, Enric; Goodell, Whitney; Hune, Mathias; Munoz, Alex; Salinas-de-Leon, Pelayo; Velasco-Charpentier, Catalina; Sala, Enric</t>
  </si>
  <si>
    <t>Marine communities of the newly created Kawesqar National Reserve, Chile: From glaciers to the Pacific Ocean</t>
  </si>
  <si>
    <t>KELP MACROCYSTIS-PYRIFERA; SOUTH-AMERICA; BENTHIC COMMUNITIES; CLIMATE-CHANGE; SHALLOW-WATER; TEMPERATURE; HABITAT; LAND; ABUNDANCE; CNIDARIA</t>
  </si>
  <si>
    <t>The newly created Kawesqar National Park (KNP) and National Reserve (KNR) in southern Chile consists of diverse terrestrial and marine habitats, which includes the southern terminus of the Andes, the Southern Patagonia Ice Fields, sub-Antarctic rainforests, glaciers, fjords, lakes, wetlands, valleys, channels, and islands. The marine environment is influenced by wide ranging hydrological factors such as glacier melt, large terrigenous inputs, high precipitation, strong currents, and open ocean water masses. Owing to the remoteness, rugged terrain, and harsh environmental conditions, little is known about this vast region, particularly the marine realm. To this end, we conducted an integrated ecological assessment using SCUBA and remote cameras down to 600 m to examine this unique and largely unexplored ecosystem. Kelp forests (primarily Macrocystis pyrifera) dominate the nearshore ecosystem and provide habitat for myriad benthic organisms. In the fjords, salinity was low and both turbidity and nutrients from terrigenous sources were high, with benthic communities dominated by active suspension feeders (e.g., Bivalvia, Ascidiacea, and Bryozoa). Areas closer to the Pacific Ocean showed more oceanic conditions with higher salinity and lower turbidity, with benthic communities experiencing more open benthic physical space in which predators (e.g., Malacostraca and Asteroidea) and herbivorous browsers (e.g., Echinoidea and Gastropoda) were more conspicuous components of the community compared to the inner fjords. Hagfish (Myxine sp.) was the most abundant and frequently occurring fish taxa observed on deep-sea cameras (80% of deployments), along with several taxa of sharks (e.g., Squaliformes, Etmopteridae, Somniosidae, Scyliorhinidae), which collectively were also observed on 80% of deep-sea camera deployments. The kelp forests, deep fjords, and other nearshore habitats of the KNR represent a unique ecosystem with minimal human impacts at present. The KNR is part of the ancestral territory of the indigenous Kawesqar people and their traditional knowledge, including the importance of the land-sea connection in structuring the marine communities of this region, is strongly supported by our scientific findings.</t>
  </si>
  <si>
    <t>[Friedlander, Alan M.; Goodell, Whitney; Munoz, Alex; Salinas-de-Leon, Pelayo; Sala, Enric] Natl Geog Soc, Pristine Seas, Washington, DC 20036 USA; [Friedlander, Alan M.] Univ Hawaii, Hawaii Inst Marine Biol, Kaneohe, HI 96744 USA; [Ballesteros, Enric] Ctr Estudis Avancats Blanes CSIC, Blanes, Girona, Spain; [Goodell, Whitney] Natl Geog Soc, Explorat Technol Lab, Washington, DC USA; [Hune, Mathias] Ctr Invest Conservac Ecosistemas Australes ICEA, Punta Arenas, Chile; [Salinas-de-Leon, Pelayo] Charles Darwin Fdn, Charles Darwin Res Stn, Puerto Ayora, Galapagos, Ecuador; [Velasco-Charpentier, Catalina] Univ Magallanes, Inst Patagonia, Punta Arenas, Chile</t>
  </si>
  <si>
    <t>National Geographic Society; University of Hawaii System; Consejo Superior de Investigaciones Cientificas (CSIC); CSIC - Centre d'Estudis Avancats de Blanes (CEAB); National Geographic Society; Universidad de Magallanes</t>
  </si>
  <si>
    <t>Friedlander, AM (corresponding author), Natl Geog Soc, Pristine Seas, Washington, DC 20036 USA.;Friedlander, AM (corresponding author), Univ Hawaii, Hawaii Inst Marine Biol, Kaneohe, HI 96744 USA.</t>
  </si>
  <si>
    <t>alan.friedlander@hawaii.edu</t>
  </si>
  <si>
    <t>Ballesteros, Enric/K-6497-2012; Hüne, Mathias/ABE-6000-2020</t>
  </si>
  <si>
    <t>National Geographic Society and Pristine Seas donors</t>
  </si>
  <si>
    <t>We received funding from the National Geographic Society and Pristine Seas donors. The funder provided support in the form of salaries for AF, WG, AM, PS, and ES, but did not have any additional role in the study design, data collection and analysis, decision to publish, or preparation of the manuscript. The specific roles of these authors are articulated in the author contributions.</t>
  </si>
  <si>
    <t>APR 14</t>
  </si>
  <si>
    <t>e0249413</t>
  </si>
  <si>
    <t>10.1371/journal.pone.0249413</t>
  </si>
  <si>
    <t>RN8MG</t>
  </si>
  <si>
    <t>WOS:000640604500036</t>
  </si>
  <si>
    <t>Stone, DW; Gunn, C; Nord, A; Phillips, RA; McCafferty, DJ</t>
  </si>
  <si>
    <t>Stone, David W.; Gunn, Carrie; Nord, Andreas; Phillips, Richard A.; McCafferty, Dominic J.</t>
  </si>
  <si>
    <t>Plumage development and environmental factors influence surface temperature gradients and heat loss in wandering albatross chicks</t>
  </si>
  <si>
    <t>JOURNAL OF THERMAL BIOLOGY</t>
  </si>
  <si>
    <t>Thermoregulation; Diomedea exulans; Development; Climate; Thermal imaging; Polar; Antarctic</t>
  </si>
  <si>
    <t>DIOMEDEA-EXULANS; EMPEROR PENGUINS; CLIMATE-CHANGE; GROWTH; THERMOREGULATION; ONTOGENY; PATTERN; LIFE</t>
  </si>
  <si>
    <t>Young birds in cold environments face a range of age-specific thermal challenges. Studying the thermal biology of young birds throughout ontogeny may further our understanding of how such challenges are met. We investigated how age and environmental parameters influenced surface temperature gradients across various body regions of wandering albatross (Diomedea exulans) chicks on Bird Island, South Georgia. This study was carried out over a 200 d period during the austral winter, from the end of the brood-guard period until fledging, bridging a gap in knowledge of surface temperature variation and heat loss in developing birds with a long nestling stage in severe climatic conditions. We found that variation in surface temperature gradients (i.e. the difference between surface and environmental temperature) was strongly influenced by chick age effects for insulated body regions (trunk), with an increase in the surface temperature gradient that followed the progression of plumage development, from the second set of down (mesoptiles), to final chick feathers (teleoptiles). Environmental conditions (primarily wind speed and relative humidity) had a stronger influence on the gradients in uninsulated areas (eye, bill) than insulated regions, which we interpret as a reflection of the relative degree of homeothermy exhibited by chicks of a given age. Based on biophysical modelling, total heat loss of chicks was estimated to increase linearly with age. However, mass specific heat loss decreased during the early stages of growth and then subsequently increased. This was attributed to age-related changes in feather growth and activity that increased surface temperature and, hence, metabolic heat loss. These results provide a foundation for further work on the effects of environmental stressors on developing chicks, which are key to understanding the physiological responses of animals to changes in climate in polar regions.</t>
  </si>
  <si>
    <t>[Stone, David W.; Nord, Andreas; McCafferty, Dominic J.] Univ Glasgow, Coll Med Vet &amp; Life Sci, Scottish Ctr Ecol &amp; Nat Environm, Inst Biodivers Anim Hlth &amp; Comparat Med, Rowardennan G63 0AW, Scotland; [Gunn, Carrie; Phillips, Richard A.] British Antarctic Survey, Nat Environm Res Council, Madingley Rd, Cambridge CB3 0ET, England; [Nord, Andreas] Lund Univ, Dept Biol, Sect Evolutionary Ecol, Solvegatan 37, SE-22362 Lund, Sweden</t>
  </si>
  <si>
    <t>University of Glasgow; UK Research &amp; Innovation (UKRI); Natural Environment Research Council (NERC); NERC British Antarctic Survey; Lund University</t>
  </si>
  <si>
    <t>Stone, DW (corresponding author), Univ Glasgow, Coll Med Vet &amp; Life Sci, Scottish Ctr Ecol &amp; Nat Environm, Inst Biodivers Anim Hlth &amp; Comparat Med, Rowardennan G63 0AW, Scotland.</t>
  </si>
  <si>
    <t>david.stone.2@glasgow.ac.uk</t>
  </si>
  <si>
    <t>McCafferty, Dominic/0000-0002-3079-3326; Stone, David/0000-0001-8224-5308</t>
  </si>
  <si>
    <t>Natural Environment Research Council; Birgit and Hellmuth Hertz Foundation/The Royal Physiographic Society of Lund [201739034]; NERC [bas0100035] Funding Source: UKRI</t>
  </si>
  <si>
    <t>Natural Environment Research Council(UK Research &amp; Innovation (UKRI)Natural Environment Research Council (NERC)); Birgit and Hellmuth Hertz Foundation/The Royal Physiographic Society of Lund; NERC(UK Research &amp; Innovation (UKRI)Natural Environment Research Council (NERC))</t>
  </si>
  <si>
    <t>We thank Derren Fox and Peter Saunders at the British Antarctic Survey for assistance with collecting field data. The animal handling was approved by the British Antarctic Survey Ethics Committee (Ethics approval #1001) and carried out under permit from the Government of South Georgia and the South Sandwich Islands (Permit #2017/021) . This work represents a contribution to the Ecosystems component of the British Antarctic Survey Polar Science for Planet Earth Programme, funded by the Natural Environment Research Council. The project was undertaken by David W. Stone in partial fulfilment of a MSci Zoology at the University of Glasgow. Thanks also to Lindsay Fergusson for GIS assistance. Andreas Nord was supported by the Birgit and Hellmuth Hertz Foundation/The Royal Physiographic Society of Lund (grant no. 201739034) .</t>
  </si>
  <si>
    <t>0306-4565</t>
  </si>
  <si>
    <t>1879-0992</t>
  </si>
  <si>
    <t>J THERM BIOL</t>
  </si>
  <si>
    <t>J. Therm. Biol.</t>
  </si>
  <si>
    <t>APR</t>
  </si>
  <si>
    <t>10.1016/j.jtherbio.2020.102777</t>
  </si>
  <si>
    <t>Biology; Zoology</t>
  </si>
  <si>
    <t>Life Sciences &amp; Biomedicine - Other Topics; Zoology</t>
  </si>
  <si>
    <t>RO2WZ</t>
  </si>
  <si>
    <t>WOS:000640909600001</t>
  </si>
  <si>
    <t>Schnakenberg, A; Aromokeye, DA; Kulkarni, A; Maier, L; Wunder, LC; Richter-Heitmann, T; Pape, T; Ristova, PP; Bühring, SI; Dohrmann, I; Bohrmann, G; Kasten, S; Friedrich, MW</t>
  </si>
  <si>
    <t>Schnakenberg, Annika; Aromokeye, David A.; Kulkarni, Ajinkya; Maier, Lisa; Wunder, Lea C.; Richter-Heitmann, Tim; Pape, Thomas; Ristova, Petra Pop; Buehring, Solveig I.; Dohrmann, Ingrid; Bohrmann, Gerhard; Kasten, Sabine; Friedrich, Michael W.</t>
  </si>
  <si>
    <t>Electron Acceptor Availability Shapes Anaerobically Methane Oxidizing Archaea (ANME) Communities in South Georgia Sediments</t>
  </si>
  <si>
    <t>FRONTIERS IN MICROBIOLOGY</t>
  </si>
  <si>
    <t>anaerobic oxidation of methane; marine sediment; anaerobic methane-oxidizing archaea; methane hydrates; microbial community analysis; ANME-1-related; ANME-2a</t>
  </si>
  <si>
    <t>16S RIBOSOMAL-RNA; METHANOTROPHIC ARCHAEA; SULFATE REDUCTION; OXIDE REDUCTION; NANKAI TROUGH; MCRA GENE; OXIDATION; IRON; MARINE; SULFUR</t>
  </si>
  <si>
    <t>Anaerobic methane oxidizing archaea (ANME) mediate anaerobic oxidation of methane (AOM) in marine sediments and are therefore important for controlling atmospheric methane concentrations in the water column and ultimately the atmosphere. Numerous previous studies have revealed that AOM is coupled to the reduction of different electron acceptors such as sulfate, nitrate/nitrite or Fe(III)/Mn(IV). However, the influence of electron acceptor availability on the in situ ANME community composition in sediments remains largely unknown. Here, we investigated the electron acceptor availability and compared the microbial in situ communities of three methane-rich locations offshore the sub-Antarctic island South Georgia, by Illumina sequencing and qPCR of mcrA genes. The methanic zone (MZ) sediments of Royal Trough and Church Trough comprised high sulfide concentrations of up to 4 and 19 mM, respectively. In contrast, those of the Cumberland Bay fjord accounted for relatively high concentrations of dissolved iron (up to 186 mu M). Whereas the ANME community in the sulfidic sites Church Trough and Royal Trough mainly comprised members of the ANME-1 clade, the order-level clade ANME-1-related (Lever and Teske, 2015) was most abundant in the iron-rich site in Cumberland Bay fjord, indicating that the availability of electron acceptors has a strong selective effect on the ANME community. This study shows that potential electron acceptors for methane oxidation may serve as environmental filters to select for the ANME community composition and adds to a better understanding of the global importance of AOM.</t>
  </si>
  <si>
    <t>[Schnakenberg, Annika; Aromokeye, David A.; Kulkarni, Ajinkya; Maier, Lisa; Wunder, Lea C.; Richter-Heitmann, Tim; Friedrich, Michael W.] Univ Bremen, Fac Biol Chem, Microbial Ecophysiol Grp, Bremen, Germany; [Schnakenberg, Annika; Kulkarni, Ajinkya; Wunder, Lea C.] Max Planck Inst Marine Microbiol, Int Max Planck Res Sch Marine Microbiol, Bremen, Germany; [Aromokeye, David A.; Pape, Thomas; Bohrmann, Gerhard; Kasten, Sabine; Friedrich, Michael W.] Univ Bremen, MARUM Ctr Marine Environm Sci, Bremen, Germany; [Pape, Thomas; Bohrmann, Gerhard; Kasten, Sabine] Univ Bremen, Fac Geosci, Bremen, Germany; [Ristova, Petra Pop; Buehring, Solveig I.] Univ Bremen, Hydrothermal Geomicrobiol Grp, MARUM Ctr Marine Environm Sci, Bremen, Germany; [Dohrmann, Ingrid; Kasten, Sabine] Alfred Wegener Inst Helmholtz Ctr Polar &amp; Marine, Bremerhaven, Germany</t>
  </si>
  <si>
    <t>University of Bremen; Max Planck Society; University of Bremen; University of Bremen; University of Bremen; Helmholtz Association; Alfred Wegener Institute, Helmholtz Centre for Polar &amp; Marine Research</t>
  </si>
  <si>
    <t>Friedrich, MW (corresponding author), Univ Bremen, Fac Biol Chem, Microbial Ecophysiol Grp, Bremen, Germany.;Friedrich, MW (corresponding author), Univ Bremen, MARUM Ctr Marine Environm Sci, Bremen, Germany.</t>
  </si>
  <si>
    <t>michael.friedrich@uni-bremen.de</t>
  </si>
  <si>
    <t>Friedrich, Michael W./B-3151-2013; Richter-Heitmann, Tim/AAO-9411-2020; Bohrmann, Gerhard/D-4474-2017</t>
  </si>
  <si>
    <t>Friedrich, Michael W./0000-0002-8055-3232; Richter-Heitmann, Tim/0000-0002-2791-7252; Schnakenberg, Annika/0000-0003-0838-446X; Bohrmann, Gerhard/0000-0001-9976-4948; Buhring, Solveig Irena/0000-0003-4378-5314; Wunder, Lea/0000-0001-8018-9867</t>
  </si>
  <si>
    <t>Max Planck Institute (MPI) for Marine Microbiology; Research Center/Cluster of Excellence EXC 309, The Ocean in the Earth System - Deutsche Forschungsgemeinschaft (DFG) [49926684]; Research Center/Cluster of Excellence EXC 2077, The Ocean Floor -Earth's Uncharted Interface (MARUM) - Deutsche Forschungsgemeinschaft (DFG) [390741601]; Helmholtz Association (Alfred Wegener Institute Helmholtz Centre for Polar and Marine Research); University of Bremen</t>
  </si>
  <si>
    <t>Max Planck Institute (MPI) for Marine Microbiology; Research Center/Cluster of Excellence EXC 309, The Ocean in the Earth System - Deutsche Forschungsgemeinschaft (DFG)(German Research Foundation (DFG)); Research Center/Cluster of Excellence EXC 2077, The Ocean Floor -Earth's Uncharted Interface (MARUM) - Deutsche Forschungsgemeinschaft (DFG)(German Research Foundation (DFG)); Helmholtz Association (Alfred Wegener Institute Helmholtz Centre for Polar and Marine Research); University of Bremen</t>
  </si>
  <si>
    <t>This work was supported by the Max Planck Institute (MPI) for Marine Microbiology, the Research Center/Cluster of Excellence EXC 309 (project-ID 49926684), The Ocean in the Earth System and Cluster of Excellence EXC 2077 (project-ID 390741601), The Ocean Floor -Earth's Uncharted Interface (MARUM) funded by the Deutsche Forschungsgemeinschaft (DFG), Helmholtz Association (Alfred Wegener Institute Helmholtz Centre for Polar and Marine Research), and University of Bremen.</t>
  </si>
  <si>
    <t>1664-302X</t>
  </si>
  <si>
    <t>FRONT MICROBIOL</t>
  </si>
  <si>
    <t>Front. Microbiol.</t>
  </si>
  <si>
    <t>10.3389/fmicb.2021.617280</t>
  </si>
  <si>
    <t>RT8IZ</t>
  </si>
  <si>
    <t>WOS:000644700800001</t>
  </si>
  <si>
    <t>Haeberli, M; Baggenstos, D; Schmitt, J; Grimmer, M; Michel, A; Kellerhals, T; Fischer, H</t>
  </si>
  <si>
    <t>Haeberli, Marcel; Baggenstos, Daniel; Schmitt, Jochen; Grimmer, Markus; Michel, Adrien; Kellerhals, Thomas; Fischer, Hubertus</t>
  </si>
  <si>
    <t>Snapshots of mean ocean temperature over the last 700 000 years using noble gases in the EPICA Dome C ice core</t>
  </si>
  <si>
    <t>CLIMATE OF THE PAST</t>
  </si>
  <si>
    <t>SEA-LEVEL; CLIMATE; RECORD; CO2; AIR; CHRONOLOGY; ISOTOPES; WATER; CONSTRAINTS; SENSITIVITY</t>
  </si>
  <si>
    <t>Together with the latent heat stored in glacial ice sheets, the ocean heat uptake carries the lion's share of glacial-interglacial changes in the planetary heat content, but little direct information on the global mean ocean temperature (MOT) is available to constrain the ocean temperature response to glacial-interglacial climate perturbations. Using ratios of noble gases and molecular nitrogen trapped in the Antarctic EPICA Dome C ice core, we are able to reconstruct MOT for peak glacial and interglacial conditions during the last 700 000 years and explore the differences between these extrema. To this end, we have to correct the noble gas ratios for gas transport effects in the firn column and gas loss fractionation processes of the samples after ice core retrieval using the full elemental matrix of N-2, Ar, Kr, and Xe in the ice and their individual isotopic ratios. The reconstructed MOT in peak glacials is consistently about 3.3 +/- 0.4 degrees C cooler compared to the Holocene. Lukewarm interglacials before the Mid-Brunhes Event 450 kyr ago are characterized by 1.6 +/- 0.4 degrees C lower MOT than the Holocene; thus, glacial-interglacial amplitudes were only about 50% of those after the Mid-Brunhes Event, in line with the reduced radiative forcing by lower greenhouse gas concentrations and their Earth system feedbacks. Moreover, we find significantly increased MOTs at the onset of Marine Isotope Stage 5.5 and 9.3, which are coeval with CO2 and CH4 overshoots at that time. We link these CO2 and CH4 overshoots to a resumption of the Atlantic Meridional Overturning Circulation, which is also the starting point of the release of heat previously accumulated in the ocean during times of reduced overturning.</t>
  </si>
  <si>
    <t>[Haeberli, Marcel; Baggenstos, Daniel; Schmitt, Jochen; Grimmer, Markus; Michel, Adrien; Kellerhals, Thomas; Fischer, Hubertus] Univ Bern, Climate &amp; Environm Phys &amp; Oeschger Ctr Climate Ch, Sidlerstr 5, CH-3012 Bern, Switzerland; [Michel, Adrien] Ecole Polytech Fed Lausanne, Lab Sci Cryospher, ENAC IIE CRYOS GR AO 455 Batiment GR, Stn 2, CH-1015 Lausanne, Switzerland</t>
  </si>
  <si>
    <t>University of Bern; Swiss Federal Institutes of Technology Domain; Ecole Polytechnique Federale de Lausanne</t>
  </si>
  <si>
    <t>Fischer, H (corresponding author), Univ Bern, Climate &amp; Environm Phys &amp; Oeschger Ctr Climate Ch, Sidlerstr 5, CH-3012 Bern, Switzerland.</t>
  </si>
  <si>
    <t>hubertus.fischer@climate.unibe.ch</t>
  </si>
  <si>
    <t>Baggenstos, Daniel/AAK-5751-2021; Schmitt, Jochen/B-7893-2009; Fischer, Hubertus/A-1211-2014</t>
  </si>
  <si>
    <t>Baggenstos, Daniel/0000-0001-9756-6884; Schmitt, Jochen/0000-0003-4695-3029; Grimmer, Markus/0000-0001-8750-0582; Michel, Adrien/0000-0001-9629-1989; Fischer, Hubertus/0000-0002-2787-4221</t>
  </si>
  <si>
    <t>European Research Council [226172]; Swiss National Science Foundation (SNF) [200021-155906, 200020-172506]; Swiss National Science Foundation (SNF) [200021_155906] Funding Source: Swiss National Science Foundation (SNF); European Research Council (ERC) [226172] Funding Source: European Research Council (ERC)</t>
  </si>
  <si>
    <t>European Research Council(European Research Council (ERC)); Swiss National Science Foundation (SNF)(Swiss National Science Foundation (SNSF)); Swiss National Science Foundation (SNF)(Swiss National Science Foundation (SNSF)); European Research Council (ERC)(European Research Council (ERC)Spanish Government)</t>
  </si>
  <si>
    <t>This research has been supported by the European Research Council (grant no. 226172) and the Swiss National Science Foundation (SNF) (grant nos. 200021-155906, 200020-172506).</t>
  </si>
  <si>
    <t>1814-9324</t>
  </si>
  <si>
    <t>1814-9332</t>
  </si>
  <si>
    <t>CLIM PAST</t>
  </si>
  <si>
    <t>Clim. Past.</t>
  </si>
  <si>
    <t>10.5194/cp-17-843-2021</t>
  </si>
  <si>
    <t>Geosciences, Multidisciplinary; Meteorology &amp; Atmospheric Sciences</t>
  </si>
  <si>
    <t>Geology; Meteorology &amp; Atmospheric Sciences</t>
  </si>
  <si>
    <t>RN7YW</t>
  </si>
  <si>
    <t>WOS:000640569700001</t>
  </si>
  <si>
    <t>Popov, I; Davydova, I</t>
  </si>
  <si>
    <t>Popov, Igor; Davydova, Iuliia</t>
  </si>
  <si>
    <t>Survey of birds in the Russian section of the Barents Sea</t>
  </si>
  <si>
    <t>BIRD STUDY</t>
  </si>
  <si>
    <t>A survey of birds was performed during a cruise around the Russian section of the Barents Sea from 15 May to 11 June 2019. Thirty-two bird species were recorded. In spite of climatic warming, the local avifauna appears similar to that found in surveys carried out 20 years ago.</t>
  </si>
  <si>
    <t>[Popov, Igor] St Petersburg State Univ, St Petersburg, Russia; [Davydova, Iuliia] Arctic &amp; Antarctic Res Inst, St Petersburg, Russia</t>
  </si>
  <si>
    <t>Saint Petersburg State University; Arctic &amp; Antarctic Research Institute</t>
  </si>
  <si>
    <t>Popov, I (corresponding author), St Petersburg State Univ, St Petersburg, Russia.</t>
  </si>
  <si>
    <t>igorioshapopov@mail.ru</t>
  </si>
  <si>
    <t>Davydova, Iuliia/AAN-2672-2021; Popov, Igor/I-4096-2013</t>
  </si>
  <si>
    <t>Popov, Igor/0000-0002-2564-3294</t>
  </si>
  <si>
    <t>TAYLOR &amp; FRANCIS LTD</t>
  </si>
  <si>
    <t>ABINGDON</t>
  </si>
  <si>
    <t>2-4 PARK SQUARE, MILTON PARK, ABINGDON OR14 4RN, OXON, ENGLAND</t>
  </si>
  <si>
    <t>0006-3657</t>
  </si>
  <si>
    <t>1944-6705</t>
  </si>
  <si>
    <t>Bird Stud.</t>
  </si>
  <si>
    <t>OCT 1</t>
  </si>
  <si>
    <t>10.1080/00063657.2021.1902466</t>
  </si>
  <si>
    <t>Ornithology</t>
  </si>
  <si>
    <t>UB2VG</t>
  </si>
  <si>
    <t>WOS:000639785500001</t>
  </si>
  <si>
    <t>Anzano, JM; Cruz-Conesa, A; Lasheras, RJ; Marina-Montes, C; Pérez-Arribas, LV; Cáceres, JO; Velásquez, AI; Palleschi, V</t>
  </si>
  <si>
    <t>Anzano, Jesus M.; Cruz-Conesa, Andres; Lasheras, Roberto J.; Marina-Montes, Cesar; Perez-Arribas, Luis Vicente; Caceres, Jorge O.; Velasquez, Abrahan I.; Palleschi, Vincenzo</t>
  </si>
  <si>
    <t>Multielemental analysis of Antarctic soils using calibration free laser-induced breakdown spectroscopy</t>
  </si>
  <si>
    <t>SPECTROCHIMICA ACTA PART B-ATOMIC SPECTROSCOPY</t>
  </si>
  <si>
    <t>Article; Proceedings Paper</t>
  </si>
  <si>
    <t>11th International Conference on Laser-Induced Breakdown Spectroscopy (LIBS)</t>
  </si>
  <si>
    <t>SEP 20-25, 2020</t>
  </si>
  <si>
    <t>ELECTR NETWORK</t>
  </si>
  <si>
    <t>LIBS; Calibration-free LIBS; Soil; Antarctica</t>
  </si>
  <si>
    <t>QUANTITATIVE ELEMENTAL ANALYSIS; SPECTRA; METALS; LIBS</t>
  </si>
  <si>
    <t>Laser-induced breakdown spectroscopy (LIBS) is a quick technique that allows the analysis of all types of samples without destroying them and with much reduced sample treatment. One of its many applications is the study of geological samples such as soils. Because of the complexity of the matrix, it is very difficult to find or manufacture standards for these types of samples. Therefore, a good alternative is to make use of a methodology, called Calibration Free (CF), where instead of using standards, the physical parameters of the plasma created by the interaction of the laser with the sample are studied and related to the elements and species that compose it. This methodology is followed to perform a multielemental quantitative analysis of soil samples from Antarctica. Two studies were made, differing in the optimization of the instrumental parameters in order to obtain the best possible spectra in the chosen spectral lines. In both cases, the signal to noise ratio (SNR) was used to evaluate the quality of the spectra, but in the second study a full factorial design 23 with center and axial points was developed to get better results. The choice of spectral lines was based on a series of criteria, being stricter in the second study. The samples were mainly composed of the following oxides: SiO2, Al2O3, Fe2O3, CaO, MgO, Na2O, TiO and K2O. In the second study, it was also possible to determine the species present in lower concentrations: Mn, Cr, V, Sr, Zr, BA and Li. The results were compared with those provided by ICP-OES analysis, obtaining close values for most oxides, especially in the second study. For minority elements, the CF-LIBS and the ICP-OES results were within the same order of magnitude in all cases except the Cr case. These results show that CF-LIBS can be very useful in the characterization of complex samples from remote regions, such as Antarctic soils.</t>
  </si>
  <si>
    <t>[Anzano, Jesus M.; Cruz-Conesa, Andres; Lasheras, Roberto J.; Marina-Montes, Cesar; Velasquez, Abrahan I.] Univ Zaragoza, Dept Analyt Chem, Fac Sci, Chem &amp; Environm Grp,Laser Lab, Pedro Cerbuna 12, Zaragoza 50009, Spain; [Perez-Arribas, Luis Vicente; Caceres, Jorge O.] Univ Complutense Madrid, Dept Analyt Chem, Laser Chem Res Grp, Fac Chem, Plaza Ciencias 1, Madrid 28040, Spain; [Velasquez, Abrahan I.] Univ Laic Eloy Alfaro Manabi, Fac Agr Sci, 12th St, Manta 130214, Ecuador; [Palleschi, Vincenzo] ICCOM CNR, Lab Appl &amp; Laser Spect, Via G Moruzzi 1, I-56124 Pisa, Italy</t>
  </si>
  <si>
    <t>University of Zaragoza; Complutense University of Madrid; Consiglio Nazionale delle Ricerche (CNR); Isituto di Chimica dei Composti Organometallici (ICCOM-CNR)</t>
  </si>
  <si>
    <t>Anzano, JM (corresponding author), Univ Zaragoza, Dept Analyt Chem, Fac Sci, Chem &amp; Environm Grp,Laser Lab, Pedro Cerbuna 12, Zaragoza 50009, Spain.</t>
  </si>
  <si>
    <t>janzano@unizar.es</t>
  </si>
  <si>
    <t>Cruz, Andrés/ABG-8470-2020; Perez-Arribas, Luis V./K-5675-2018; Ferrín, Abrahan Isaac Velásquez/CAA-9738-2022; Marina-Montes, Cesar/AEU-5508-2022</t>
  </si>
  <si>
    <t>Cruz, Andrés/0000-0002-1565-0992; Perez-Arribas, Luis V./0000-0002-3727-8132; Marina-Montes, Cesar/0000-0001-5652-3677; Caceres, Jorge/0000-0003-4801-4172</t>
  </si>
  <si>
    <t>Government of Aragon (Spain), de Zaragoza; European Social Fund [E49_20R]; Ministry of Science and Innovation of Spain [CTM201782929R]</t>
  </si>
  <si>
    <t>Government of Aragon (Spain), de Zaragoza; European Social Fund(European Social Fund (ESF)); Ministry of Science and Innovation of Spain(Spanish Government)</t>
  </si>
  <si>
    <t>The authors gratefully acknowledge the Government of Aragon (Spain) , de Zaragoza, the European Social Fund (Proposal E49_20R) and the Ministry of Science and Innovation of Spain (CTM201782929R) . Authors would like to acknowledge the use of Servicio General de Apoyo a la InvestigacionSAI, University of Zaragoza. The authors also thank the military staff at the Gabriel de Castilla Spanish Antarctic Research Station and Javier del Valle Melendo (Centro Universitario de la DefensaUniversity of Zaragoza) for help with the sample collection and installation of the equipment.</t>
  </si>
  <si>
    <t>0584-8547</t>
  </si>
  <si>
    <t>1873-3565</t>
  </si>
  <si>
    <t>SPECTROCHIM ACTA B</t>
  </si>
  <si>
    <t>Spectroc. Acta Pt. B-Atom. Spectr.</t>
  </si>
  <si>
    <t>10.1016/j.sab.2021.106191</t>
  </si>
  <si>
    <t>Spectroscopy</t>
  </si>
  <si>
    <t>Science Citation Index Expanded (SCI-EXPANDED); Conference Proceedings Citation Index - Science (CPCI-S)</t>
  </si>
  <si>
    <t>SU9KN</t>
  </si>
  <si>
    <t>WOS:000663449000002</t>
  </si>
  <si>
    <t>Wright, SR; Righton, D; Naulaerts, J; Schallert, RJ; Bendall, V; Griffiths, C; Castleton, M; David-Gutierrez, D; Madigan, D; Beard, A; Clingham, E; Henry, L; Laptikhovsky, V; Beare, D; Thomas, W; Block, BA; Collins, MA</t>
  </si>
  <si>
    <t>Wright, Serena R.; Righton, David; Naulaerts, Joachim; Schallert, Robert J.; Bendall, Victoria; Griffiths, Christopher; Castleton, Michael; David-Gutierrez, Daniel; Madigan, Daniel; Beard, Annalea; Clingham, Elizabeth; Henry, Leeann; Laptikhovsky, Vladimir; Beare, Douglas; Thomas, Waylon; Block, Barbara A.; Collins, Martin A.</t>
  </si>
  <si>
    <t>Fidelity of yellowfin tuna to seamount and island foraging grounds in the central South Atlantic Ocean</t>
  </si>
  <si>
    <t>DEEP-SEA RESEARCH PART I-OCEANOGRAPHIC RESEARCH PAPERS</t>
  </si>
  <si>
    <t>Tagging; Satellite tags; Philopatry; Archival tags; Growth; Length-frequency</t>
  </si>
  <si>
    <t>FISH AGGREGATING DEVICES; THUNNUS-ALBACARES; POPULATION-STRUCTURE; HABITAT UTILIZATION; WESTERN PACIFIC; TROPICAL TUNAS; BEHAVIOR; MOVEMENTS; OBESUS; ECOLOGY</t>
  </si>
  <si>
    <t>The yellowfin tuna (Thunnus albacares) is a widely distributed, migratory species that supports valuable commercial fisheries throughout their range. Management of migratory species requires knowledge of movement, mixing and key life history parameters such as growth rate, natural and fisheries mortality. Current management is based on the assumptions that the species is highly migratory and populations are well mixed, but these assumptions have been questioned by recent studies. Since November 2015, yellowfin tuna have been tagged with conventional, archival and pop-up satellite tags (PSAT) in the South Atlantic Ocean around St Helena, with the goal of better understanding their movement patterns and ecology in this region. Conventional tags were attached to 4049 yellowfin tuna (size range 24-158 cm fork length, FL), PSAT tags were deployed on 15 yellowfin in inshore St Helena waters (size range 95-138 cm FL) and 7 yellowfin (size range 125-140 cm FL) at Cardno Seamount, and archival tags were deployed on 48 yellowfin tuna in inshore St Helena waters (size range 69-111 cm FL). Most yellowfin tuna remained within 70 km of their release location, suggesting a degree of retention to the region. Although displacement of yellowfin was generally low, the furthest distance travelled between release and recapture location was 2755 km, with other tuna also displaying large-scale movements. Tagging revealed connections between inshore regions and seamounts, as well as links between St Helena waters and key fishing regions and putative spawning grounds in the Gulf of Guinea.</t>
  </si>
  <si>
    <t>[Wright, Serena R.; Righton, David; Bendall, Victoria; Griffiths, Christopher; Laptikhovsky, Vladimir; Collins, Martin A.] Ctr Environm Fisheries &amp; Aquaculture Sci, Lowestoft NR33 0HT, Suffolk, England; [Naulaerts, Joachim; Beard, Annalea; Clingham, Elizabeth; Henry, Leeann] St Helena Govt, Environm &amp; Nat Resources Directorate, Marine Sect, Essex House, St Helena Isl STHL 1ZZ, South Atlantic, St Helena; [Schallert, Robert J.; Castleton, Michael; Madigan, Daniel; Block, Barbara A.] Stanford Univ, Hopkins Marine Stn, Tuna Res &amp; Conservat Ctr, Oceanview Blvd, Pacific Grove, CA 93950 USA; [Griffiths, Christopher] Univ Sheffield, Dept Anim &amp; Plant Sci, Western Bank, Sheffield S10 2TN, S Yorkshire, England; [David-Gutierrez, Daniel] Univ East Anglia, Norwich Res Pk, Norwich NR4 7TJ, Norfolk, England; [Beare, Douglas] ICCAT Secretariat, Madrid 28002, Spain; [Thomas, Waylon] St Helena Commercial Fishermens Assoc, St Helena STHL 1ZZ, South Atlantic, St Helena; [Collins, Martin A.] British Antarctic Survey, NERC, Madingley Rd, Cambridge CB23 0ET, England</t>
  </si>
  <si>
    <t>Centre for Environment Fisheries &amp; Aquaculture Science; Stanford University; University of Sheffield; University of East Anglia; UK Research &amp; Innovation (UKRI); Natural Environment Research Council (NERC); NERC British Antarctic Survey</t>
  </si>
  <si>
    <t>Wright, SR (corresponding author), Ctr Environm Fisheries &amp; Aquaculture Sci, Lowestoft NR33 0HT, Suffolk, England.</t>
  </si>
  <si>
    <t>serena.wright@cefas.co.uk</t>
  </si>
  <si>
    <t>, Martin/ABE-6728-2020; Righton, David/D-6140-2013; Griffiths, Christopher Alan/AAG-9251-2019</t>
  </si>
  <si>
    <t>, Martin/0000-0001-7132-8650; Griffiths, Christopher Alan/0000-0001-7203-0426; Naulaerts, Joachim/0000-0003-0468-1563</t>
  </si>
  <si>
    <t>Darwin Initiative [DPLUS039]; Atlantic Ocean Tuna Tagging Programme (AOTTP); Blue Belt Programme; European Commission through the program Erasmus Mundus Master Course - International Master in Applied Ecology(EMMC-IMAE) (FPA) [2023-0224/532524-1-FR-2012-1-ERA MUNDUS-EMMC]; Cefas paper writing budget</t>
  </si>
  <si>
    <t>Darwin Initiative; Atlantic Ocean Tuna Tagging Programme (AOTTP); Blue Belt Programme; European Commission through the program Erasmus Mundus Master Course - International Master in Applied Ecology(EMMC-IMAE) (FPA); Cefas paper writing budget</t>
  </si>
  <si>
    <t>Funding was provided through the Darwin Initiative (DPLUS039), Atlantic Ocean Tuna Tagging Programme (AOTTP) and the Blue Belt Programme with support from the Cefas paper writing budget. This project was also supported by the European Commission through the program Erasmus Mundus Master Course - International Master in Applied Ecology(EMMC-IMAE) (FPA, 2023-0224/532524-1-FR-2012-1-ERA MUNDUS-EMMC) - Coordination F.-J. Richard, Universite de Poitiers, France. Thanks also go to the St Helena Fishermen's Association, St Helena Fisheries Corporation and commercial and recreational fishers of St Helena.All electronic (PSAT and archival) tuna tagging was carried out by staff trained and competent to perform this procedure under the UK Home Office Animals (Scientific Procedures) Act 1986, or under IACUC animal care plan for Stanford University.</t>
  </si>
  <si>
    <t>0967-0637</t>
  </si>
  <si>
    <t>1879-0119</t>
  </si>
  <si>
    <t>DEEP-SEA RES PT I</t>
  </si>
  <si>
    <t>Deep-Sea Res. Part I-Oceanogr. Res. Pap.</t>
  </si>
  <si>
    <t>10.1016/j.dsr.2021.103513</t>
  </si>
  <si>
    <t>SM4HI</t>
  </si>
  <si>
    <t>WOS:000657568300001</t>
  </si>
  <si>
    <t>Yusop, SNW; Imran, S; Adenan, MI; Ashraf, K; Sultan, S</t>
  </si>
  <si>
    <t>Yusop, Sharifah Nurfazilah Wan; Imran, Syahrul; Adenan, Mohd Ilham; Ashraf, Kamran; Sultan, Sadia</t>
  </si>
  <si>
    <t>Biocatalytic modifications of ethynodiol diacetate by fungi, anti-proliferative activity, and acetylcholineterase inhibitory of its transformed products</t>
  </si>
  <si>
    <t>STEROIDS</t>
  </si>
  <si>
    <t>MOLECULAR DOCKING; DYNAMICS; ORIGINS</t>
  </si>
  <si>
    <t>The fungal transformations of ethynodiol diacetate (1) were investigated for the first-time using Botrytis cinerea, Trichothecium roseum, and R3-2 SP 17. The me-tabolites obtained are as following: 17 alpha-Ethynyl-17 beta-acetoxyestr-4-en-3-one-15 beta-ol (2), 19-nor-17a-ethynyltestosterone (3), and 17 alpha-ethynyl-3 beta-hydroxy-17 beta-acetoxyestr-4-ene (4). The new metabolite, 2 (IC50 = 104.8 mu M), which has ketone group at C-3, and the beta-hydroxyl group at C-15, resulted in an almost equipotent strength with the parent compound (IC50 = 103.3 mu M) against proliferation of SH-SY5Y cells. The previously reported biotransformed product, 3, showed almost equal strength to 1 against acetylcholinesterase. Molecular modelling studies were carried out to understand the observed experimental activities, and also to obtain more information on the binding mode and the interactions between the biotransformed products, and enzyme.</t>
  </si>
  <si>
    <t>[Yusop, Sharifah Nurfazilah Wan; Ashraf, Kamran; Sultan, Sadia] Univ Teknol MARA Puncak Alam Campus, Fac Pharm, Kuala Selangor 42300, Selangor, Malaysia; [Yusop, Sharifah Nurfazilah Wan; Imran, Syahrul; Ashraf, Kamran; Sultan, Sadia] Univ Teknol MARA Puncak Alam Campus, Atta Ur Rahman Inst Nat Prod Discovery AuRins, Kuala Selangor 42300, Selangor, Malaysia; [Imran, Syahrul; Adenan, Mohd Ilham] Univ Teknol MARA Shah Alam, Fac Sci Appl, Shah Alam 40450, Selangor, Malaysia; [Adenan, Mohd Ilham] Univ Teknol MARA, Pahang Branch, Jengka 26400, Pahang, Malaysia</t>
  </si>
  <si>
    <t>Universiti Teknologi MARA; Universiti Teknologi MARA</t>
  </si>
  <si>
    <t>Sultan, S (corresponding author), Univ Teknol MARA Puncak Alam Campus, Fac Pharm, Kuala Selangor 42300, Selangor, Malaysia.</t>
  </si>
  <si>
    <t>drsadia@uitm.edu.my</t>
  </si>
  <si>
    <t>Sultan, Sadia/ABA-9397-2021; ASHRAF, KAMRAN/AFM-2624-2022; ABU BAKAR, SYAHRUL IMRAN/D-7725-2014</t>
  </si>
  <si>
    <t>Sultan, Sadia/0000-0002-4549-8776; ASHRAF, KAMRAN/0000-0003-3947-3211; ABU BAKAR, SYAHRUL IMRAN/0000-0001-7802-7359</t>
  </si>
  <si>
    <t>Universiti Teknologi MARA [600-IRMI 5/3 LESTARI (025/2019)]</t>
  </si>
  <si>
    <t>Universiti Teknologi MARA</t>
  </si>
  <si>
    <t>We would like to acknowledge Universiti Teknologi MARA for the financial support under the reference number 600-IRMI 5/3 LESTARI (025/2019) , Faculty of Pharmacy, UiTM and AttaurRahman Institute For Natural Product Discovery (AuRIns) , University Teknologi Mara (UiTM) for outstanding research facilities. Author would also like to acknowledge Associate Prof Dr. Siti Aisah Binti Alias (University MALAYA) for allow us to use Antarctic fungus R3-2 SP 17 for fermentation of ED.</t>
  </si>
  <si>
    <t>ELSEVIER SCIENCE INC</t>
  </si>
  <si>
    <t>STE 800, 230 PARK AVE, NEW YORK, NY 10169 USA</t>
  </si>
  <si>
    <t>0039-128X</t>
  </si>
  <si>
    <t>1878-5867</t>
  </si>
  <si>
    <t>Steroids</t>
  </si>
  <si>
    <t>10.1016/j.steroids.2021.108832</t>
  </si>
  <si>
    <t>Biochemistry &amp; Molecular Biology; Endocrinology &amp; Metabolism</t>
  </si>
  <si>
    <t>Science Citation Index Expanded (SCI-EXPANDED); Index Chemicus (IC)</t>
  </si>
  <si>
    <t>SK8JR</t>
  </si>
  <si>
    <t>WOS:000656463500003</t>
  </si>
  <si>
    <t>Williams, TJ; Martin, EE; Sikes, E; Starr, A; Umling, NE; Glaubke, R</t>
  </si>
  <si>
    <t>Williams, Thomas John; Martin, Ellen E.; Sikes, Elisabeth; Starr, Aidan; Umling, Natalie E.; Glaubke, Ryan</t>
  </si>
  <si>
    <t>Neodymium isotope evidence for coupled Southern Ocean circulation and Antarctic climate throughout the last 118,000 years</t>
  </si>
  <si>
    <t>Paleocirculation; Paleoclimate; Southern Ocean; Neodymium isotopes; Sortable Silt; Antarctic Climate; Ocean Circulation</t>
  </si>
  <si>
    <t>MERIDIONAL OVERTURNING CIRCULATION; ATMOSPHERIC CO2; SEA-ICE; THERMOHALINE CIRCULATION; GLACIAL CYCLES; DEEP ATLANTIC; SORTABLE SILT; PACIFIC-OCEAN; SCALE CHANGES; CARBON</t>
  </si>
  <si>
    <t>The chain of events surrounding the initiation and intensification of the last glacial cycle remain relatively poorly understood. In particular, the role of Southern Ocean paleocirculation changes is poorly constrained, in part, owing to a paucity of sedimentary records from this region. In this study we present multiproxy data - including neodymium isotope and sortable silt measurements - for paleocirculation changes within the deep (3167 mwater depth) Indian sector of the Southern Ocean from a new sediment core, TT1811-34GGC (41.718 degrees S, 80.163 degrees E). We find a tight coupling between circulation changes, Antarctic climate, and atmospheric CO2 concentrations throughout the last 118,000 years, even during the initial stages of glacial inception of Marine Isotope Stage (MIS) 5.4 to 5.1. We find that periods of cooling correspond to reductions in the entrainment of North Atlantic-sourced waters within the deep Southern Ocean, as evidenced by more radiogenic neodymium isotope values of deep water bathing our core site. Cooling also corresponds to generally slower bottom water flow speeds, as indicated by finer sortable silt size fractions. A reduction in entrainment of North-Atlantic sourced waters occurred during MIS 5.4-5.1, when Atlantic circulation was strong, suggesting a Southern hemisphere control on paleocirculation changes at that time. We hypothesise that expanded Southern Ocean sea-ice during MIS 5.4 increased the density of the deep Southern Ocean, reducing the ability of Atlantic-sourced waters to mix into Lower Circumpolar Deep Water. This led to an expanded contribution of Pacific Deep Water within the lower circulation cell and increased stratification within the deep Southern Ocean. These paleocirculation changes can help account for the reduction in atmospheric CO2 across the MIS 5.5 to 5.4 transition, and in doing so help explain the chain of events surrounding the decent into the last glacial period. (C) 2021 Elsevier Ltd. All rights reserved.</t>
  </si>
  <si>
    <t>[Williams, Thomas John; Martin, Ellen E.] Univ Florida, Dept Geol Sci, Gainesville, FL 32611 USA; [Sikes, Elisabeth; Glaubke, Ryan] Rutgers State Univ, Dept Marine &amp; Coastal Sci, New Brunswick, NJ USA; [Starr, Aidan] Cardiff Univ, Sch Earth &amp; Environm Sci, Cardiff, Wales; [Umling, Natalie E.] Amer Museum Nat Hist, Dept Earth &amp; Planetary Sci, New York, NY 10024 USA</t>
  </si>
  <si>
    <t>State University System of Florida; University of Florida; Rutgers University System; Rutgers University New Brunswick; Cardiff University; American Museum of Natural History (AMNH)</t>
  </si>
  <si>
    <t>Williams, TJ (corresponding author), Univ Florida, Dept Geol Sci, Gainesville, FL 32611 USA.</t>
  </si>
  <si>
    <t>thomas.williams@u0.edu</t>
  </si>
  <si>
    <t>Sikes, Elisabeth/HPE-8194-2023</t>
  </si>
  <si>
    <t>Williams, Thomas/0000-0001-8869-0488; Umling, Natalie/0000-0001-9999-1737; Glaubke, Ryan/0000-0002-8685-129X; Starr, Aidan/0000-0003-1854-4412; Sikes, Elisabeth/0000-0003-2900-3283; Martin, Ellen/0000-0003-1709-2493</t>
  </si>
  <si>
    <t>NSF OCE grant [1559080]; Directorate For Geosciences; Division Of Ocean Sciences [1559080] Funding Source: National Science Foundation</t>
  </si>
  <si>
    <t>NSF OCE grant(National Science Foundation (NSF)); Directorate For Geosciences; Division Of Ocean Sciences(National Science Foundation (NSF)NSF - Directorate for Geosciences (GEO))</t>
  </si>
  <si>
    <t>We thank the officers, crew and shipboard scientists of R/V Thomas G. Thompson cruise TT1811. We thank Jamie Good for assistance in preparing sediment samples, Dr. Jason Curtis for analysing sedimentary percent CaCO3 and benthic and planktic stable carbon and oxygen isotope analyses, and Dr. George Kamenov for assistance in Nd isotopic analyses. This study was made possible by the NSF OCE grant 1559080 and forms part of the Coring to Reconstruct Ocean Circulation and Carbon Dioxide Across 2 Seas (CROCCA-2S) project.</t>
  </si>
  <si>
    <t>10.1016/j.quascirev.2021.106915</t>
  </si>
  <si>
    <t>RW4UK</t>
  </si>
  <si>
    <t>WOS:000646519000004</t>
  </si>
  <si>
    <t>Saffold, N; Aramaki, T; Bird, R; Boezio, M; Boggs, SE; Bonvicini, V; Campana, D; Craig, WW; von Doetinchem, P; Everson, E; Fabris, L; Fuke, H; Gahbauer, F; Garcia, I; Gerrity, C; Hailey, CJ; Hayashi, T; Kato, C; Kawachi, A; Kobayashi, S; Kozai, M; Lenni, A; Lowell, A; Manghisoni, M; Marcelli, N; Mognet, SI; Munakata, K; Munini, R; Nakagami, Y; Olson, J; Ong, RA; Osteria, G; Perez, K; Pope, I; Quinn, S; Re, V; Reed, M; Riceputi, E; Roach, B; Rogers, F; Ryan, JL; Scotti, V; Shimizu, Y; Sonzogni, M; Sparvoli, R; Stoessl, A; Tiberio, A; Vannuccini, E; Wada, T; Xiao, M; Yamatani, M; Yoshida, A; Yoshida, T; Zampa, G; Zweerink, J</t>
  </si>
  <si>
    <t>Saffold, N.; Aramaki, T.; Bird, R.; Boezio, M.; Boggs, S. E.; Bonvicini, V; Campana, D.; Craig, W. W.; von Doetinchem, P.; Everson, E.; Fabris, L.; Fuke, H.; Gahbauer, F.; Garcia, I; Gerrity, C.; Hailey, C. J.; Hayashi, T.; Kato, C.; Kawachi, A.; Kobayashi, S.; Kozai, M.; Lenni, A.; Lowell, A.; Manghisoni, M.; Marcelli, N.; Mognet, S., I; Munakata, K.; Munini, R.; Nakagami, Y.; Olson, J.; Ong, R. A.; Osteria, G.; Perez, K.; Pope, I; Quinn, S.; Re, V; Reed, M.; Riceputi, E.; Roach, B.; Rogers, F.; Ryan, J. L.; Scotti, V; Shimizu, Y.; Sonzogni, M.; Sparvoli, R.; Stoessl, A.; Tiberio, A.; Vannuccini, E.; Wada, T.; Xiao, M.; Yamatani, M.; Yoshida, A.; Yoshida, T.; Zampa, G.; Zweerink, J.</t>
  </si>
  <si>
    <t>Cosmic antihelium-3 nuclei sensitivity of the GAPS experiment</t>
  </si>
  <si>
    <t>ASTROPARTICLE PHYSICS</t>
  </si>
  <si>
    <t>Dark matter; Cosmic ray; Balloon-borne instrumentation; Antiparticle; Antihelium nuclei; GAPS</t>
  </si>
  <si>
    <t>ANTIMATTER; FLUX</t>
  </si>
  <si>
    <t>The General Antiparticle Spectrometer (GAPS) is an Antarctic balloon experiment designed for low-energy (0.1-0.3 GeV/n) cosmic antinuclei as signatures of dark matter annihilation or decay. GAPS is optimized to detect low-energy antideuterons, as well as to provide unprecedented sensitivity to low-energy antiprotons and antihelium nuclei. The novel GAPS antiparticle detection technique, based on the formation, decay, and annihilation of exotic atoms, provides greater identification power for these low-energy antinuclei than previous magnetic spectrometer experiments. This work reports the sensitivity of GAPS to detect antihelium-3 nuclei, based on full instrument simulation, event reconstruction, and realistic atmospheric influence simulations. The report of antihelium nuclei candidate events by AMS-02 has generated considerable interest in antihelium nuclei as probes of dark matter and other beyond the Standard Model theories. GAPS is in a unique position to detect or set upper limits on the cosmic antihelium nuclei flux in an energy range that is essentially free of astrophysical background. In three 35-day long-duration bal-loon flights, GAPS will be sensitive to an antihelium flux on the level of 1 . 3 +4 . 5 &amp; minus;1.2 &amp; middot; 10 &amp; minus;6 m-2sr-1s-1(GeV/n)-1 (95% confidence level) in the energy range of 0.11-0.3 GeV/n, opening a new window on rare cosmic physics. (c) 2021 Elsevier B.V. All rights reserved.</t>
  </si>
  <si>
    <t>[Saffold, N.; Gahbauer, F.; Hailey, C. J.; Pope, I; Reed, M.] Columbia Univ, Columbia Astrophys Lab, 550 W 120th St, New York, NY 10027 USA; [Aramaki, T.] Northeastern Univ, Boston, MA 02115 USA; [Aramaki, T.] Stanford Linear Accelerator Ctr, 2575 Sand Hill Rd, Menlo Pk, CA 94025 USA; [Bird, R.; Everson, E.; Garcia, I; Hayashi, T.; Ong, R. A.; Quinn, S.; Ryan, J. L.; Zweerink, J.] Univ Calif Los Angeles, Dept Phys &amp; Astron, Los Angeles, CA 90095 USA; [Boezio, M.; Bonvicini, V; Lenni, A.; Munini, R.; Zampa, G.] Ist Nazl Fis Nucl, Sez Trieste, I-34149 Trieste, Italy; [Boezio, M.; Munini, R.] IFPU, I-34014 Trieste, Italy; [Boggs, S. E.] Univ Calif San Diego, La Jolla, CA 90037 USA; [Campana, D.; Osteria, G.; Scotti, V] Ist Nazl Fis Nucl, Sez Napoli, I-80126 Naples, Italy; [Craig, W. W.; Lowell, A.] Univ Calif Berkeley, Space Sci Lab, 7 Gauss Way, Berkeley, CA 94720 USA; [von Doetinchem, P.; Gerrity, C.; Stoessl, A.] Univ Hawaii Manoa, Dept Phys &amp; Astron, 2505 Correa Rd, Honolulu, HI 96822 USA; [Fabris, L.] Oak Ridge Natl Lab, Oak Ridge, TN 37831 USA; [Fuke, H.; Kozai, M.; Yamatani, M.; Yoshida, T.] Japan Aerosp Explorat Agcy ISAS JAXA, Inst Space &amp; Astronaut Sci, Sagamihara, Kanagawa 2525210, Japan; [Kato, C.; Munakata, K.] Shinshu Univ, Matsumoto, Nagano 3908621, Japan; [Kawachi, A.; Kobayashi, S.] Tokai Univ, Hiratsuka, Kanagawa 2591292, Japan; [Lenni, A.] Univ Trieste, I-34127 Trieste, Italy; [Manghisoni, M.; Re, V; Riceputi, E.; Sonzogni, M.] Ist Nazl Fis Nucl, Sez Pavia, I-27100 Pavia, Italy; [Manghisoni, M.; Re, V; Riceputi, E.; Sonzogni, M.] Univ Bergamo, I-24044 Dalmine, BG, Italy; [Marcelli, N.; Sparvoli, R.] Ist Nazl Fis Nucl, Sez Rome Tor Vergata, I-00133 Rome, Italy; [Marcelli, N.; Sparvoli, R.] Univ Roma Tor Vergata, I-00133 Rome, Italy; [Mognet, S., I] Penn State Univ, University Pk, PA 16802 USA; [Nakagami, Y.; Wada, T.; Yoshida, A.] Aoyama Gakuin Univ, Sagamihara, Kanagawa 2525258, Japan; [Olson, J.] Heliospace Corp, Berkeley, CA 94710 USA; [Perez, K.; Roach, B.; Rogers, F.; Xiao, M.] MIT, Dept Phys, 77 Massachusetts Ave, Cambridge, MA 02139 USA; [Scotti, V] Univ Napoli Federico II, I-80138 Naples, Italy; [Shimizu, Y.] Kanagawa Univ, Yokohama, Kanagawa 2218686, Japan; [Tiberio, A.; Vannuccini, E.] Ist Nazl Fis Nucl, Sez Firenze, I-50019 Florence, Italy</t>
  </si>
  <si>
    <t>Columbia University; Northeastern University; Stanford University; United States Department of Energy (DOE); SLAC National Accelerator Laboratory; University of California System; University of California Los Angeles; Istituto Nazionale di Fisica Nucleare (INFN); University of California System; University of California San Diego; Istituto Nazionale di Fisica Nucleare (INFN); University of California System; University of California Berkeley; University of Hawaii System; University of Hawaii Manoa; United States Department of Energy (DOE); Oak Ridge National Laboratory; Japan Aerospace Exploration Agency (JAXA); Institute of Space &amp; Astronautical Science (ISAS); Shinshu University; Tokai University; University of Trieste; Istituto Nazionale di Fisica Nucleare (INFN); University of Bergamo; Istituto Nazionale di Fisica Nucleare (INFN); University of Rome Tor Vergata; Pennsylvania Commonwealth System of Higher Education (PCSHE); Pennsylvania State University; Pennsylvania State University - University Park; Aoyama Gakuin University; Massachusetts Institute of Technology (MIT); University of Naples Federico II; Kanagawa University; Istituto Nazionale di Fisica Nucleare (INFN)</t>
  </si>
  <si>
    <t>Saffold, N (corresponding author), Columbia Univ, Columbia Astrophys Lab, 550 W 120th St, New York, NY 10027 USA.</t>
  </si>
  <si>
    <t>nas2173@columbia.edu</t>
  </si>
  <si>
    <t>Boggs, Steven E/E-4170-2015; Sparvoli, Roberta/H-8024-2018; Tiberio, Alessio/HNS-4570-2023; Boezio, Mirko/ABC-4188-2020; Scotti, Valentina/U-3238-2018; RICEPUTI, Elisa/JED-9502-2023; Tiberio, Alessio/AAW-4372-2020; Vannuccini, Elena/ABH-4180-2020; Gahbauer, Florian/J-9542-2014</t>
  </si>
  <si>
    <t>Sparvoli, Roberta/0000-0002-6314-6117; Boezio, Mirko/0000-0002-8015-2981; Scotti, Valentina/0000-0001-8868-3990; RICEPUTI, Elisa/0000-0002-0542-553X; Tiberio, Alessio/0000-0002-8016-8844; Reed, Maggie/0000-0001-9615-1388; Pope, Isaac/0000-0001-8583-6429; Bonvicini, Valter/0000-0003-1826-5843; Rogers, Field/0000-0003-3791-0107; Gahbauer, Florian/0000-0002-7126-2513; Roach, Brandon Michael/0000-0003-3841-6290; von Doetinchem, Philip/0000-0002-7801-3376; Marcelli, Nadir/0000-0001-9375-735X; Xiao, Mengjiao/0000-0002-6397-617X; Yoshida, Tetsuya/0000-0003-0553-0150; Kawachi, Akiko/0000-0002-1120-854X; Everson, Erik/0000-0001-6079-8307; Ong, Rene/0000-0002-4837-5253</t>
  </si>
  <si>
    <t>NASA APRA [NNX17AB44G, NNX17AB45G, NNX17AB46G, NNX17AB47G]; JAXA/ISAS Small Science Program FY2017; National Science Foundation [PHY-1551980, 1122374]; JSPS KAKENHI [JP17H01136, JP19H05198, JP20K04002]; Mitsubishi Foundation Research Grant [2019-10038]; Heising-Simons award [2018-0766]; Sumitomo Foundation [180322]; Istituto Nazionale di Fisica Nucleare (INFN); Italian Space Agency through the ASI INFN [2018-28-HH.0]</t>
  </si>
  <si>
    <t>NASA APRA(National Aeronautics &amp; Space Administration (NASA)); JAXA/ISAS Small Science Program FY2017; National Science Foundation(National Science Foundation (NSF)); JSPS KAKENHI(Ministry of Education, Culture, Sports, Science and Technology, Japan (MEXT)Japan Society for the Promotion of ScienceGrants-in-Aid for Scientific Research (KAKENHI)); Mitsubishi Foundation Research Grant; Heising-Simons award; Sumitomo Foundation; Istituto Nazionale di Fisica Nucleare (INFN)(Istituto Nazionale di Fisica Nucleare (INFN)); Italian Space Agency through the ASI INFN</t>
  </si>
  <si>
    <t>This work is supported in the U.S. by NASA APRA grants (NNX17AB44G, NNX17AB45G, NNX17AB46G, and NNX17AB47G) and in Japan by JAXA/ISAS Small Science Program FY2017. P. von Doetinchem received support from the National Science Foundation underaward PHY-1551980. H. Fuke issupportedbyJSPS KAKENHI grants (JP17H01136 and JP19H05198) and Mitsubishi Foundation Research Grant 2019-10038. K. Perez and M. Xiao are supported by Heising-Simons award 2018-0766. F. Rogers is supported through the National Science Foundation Graduate Research Fellowship under Grant No. 1122374. Y. Shimizu receives support from JSPS KAKENHIgrant JP20K04002 andSumitomoFoundation Grant No. 180322. This work is supported in Italy by Istituto Nazionale di Fisica Nucleare (INFN) and by the Italian Space Agency through the ASI INFN agreement no. 2018-28-HH.0: Partecipazione italiana al GAPS -General AntiParticle Spectrometer. The technical support and advanced computing resources from the University of Hawaii Information Technology Services -Cyberinfrastructure are gratefully acknowledged.</t>
  </si>
  <si>
    <t>0927-6505</t>
  </si>
  <si>
    <t>1873-2852</t>
  </si>
  <si>
    <t>ASTROPART PHYS</t>
  </si>
  <si>
    <t>Astropart Phys.</t>
  </si>
  <si>
    <t>10.1016/j.astropartphys.2021.102580</t>
  </si>
  <si>
    <t>Astronomy &amp; Astrophysics; Physics, Particles &amp; Fields</t>
  </si>
  <si>
    <t>Astronomy &amp; Astrophysics; Physics</t>
  </si>
  <si>
    <t>RV1TI</t>
  </si>
  <si>
    <t>Green Submitted, hybrid</t>
  </si>
  <si>
    <t>WOS:000645622800005</t>
  </si>
  <si>
    <t>Berg, P; Almén, F; Bozhinova, D</t>
  </si>
  <si>
    <t>Berg, Peter; Almen, Fredrik; Bozhinova, Denica</t>
  </si>
  <si>
    <t>HydroGFD3.0 (Hydrological Global Forcing Data): a 25 km global precipitation and temperature data set updated in near-real time</t>
  </si>
  <si>
    <t>EARTH SYSTEM SCIENCE DATA</t>
  </si>
  <si>
    <t>Article; Data Paper</t>
  </si>
  <si>
    <t>HydroGFD3 (Hydrological Global Forcing Data) is a data set of bias-adjusted reanalysis data for daily precipitation and minimum, mean, and maximum temperature. It is mainly intended for large-scale hydrological modelling but is also suitable for other impact modelling. The data set has an almost global land area coverage, excluding the Antarctic continent and small islands, at a horizontal resolution of 0.25 degrees, i.e. about 25 km. It is available for the complete ERA5 reanalysis time period, currently 1979 until 5 d ago. This period will be extended back to 1950 once the back catalogue of ERA5 is available. The historical period is adjusted using global gridded observational data sets, and to acquire real-time data, a collection of several reference data sets is used. Consistency in time is attempted by relying on a background climatology and only making use of anomalies from the different data sets. Precipitation is adjusted for mean bias as well as the number of wet days in a month. The latter is relying on a calibrated statistical method with input only of the monthly precipitation anomaly such that no additional input data about the number of wet days are necessary. The daily mean temperature is adjusted toward the monthly mean of the observations and applied to 1 h time steps of the ERA5 reanalysis. Daily mean, minimum, and maximum temperature are then calculated. The performance of the HydroGFD3 data set is on par with other similar products, although there are significant differences in different parts of the globe, especially where observations are uncertain. Further, HydroGFD3 tends to have higher precipitation extremes, partly due to its higher spatial resolution. In this paper, we present the methodology, evaluation results, and how to access the data set at https://doi.org/10.5281/zenodo.3871707 (Berg et al., 2020).</t>
  </si>
  <si>
    <t>[Berg, Peter; Almen, Fredrik; Bozhinova, Denica] Swedish Meteorol &amp; Hydrol Inst, Folkborgsvagen 17, S-60176 Norrkoping, Sweden</t>
  </si>
  <si>
    <t>Swedish Meteorological &amp; Hydrological Institute</t>
  </si>
  <si>
    <t>Berg, P (corresponding author), Swedish Meteorol &amp; Hydrol Inst, Folkborgsvagen 17, S-60176 Norrkoping, Sweden.</t>
  </si>
  <si>
    <t>peter.berg@smhi.se</t>
  </si>
  <si>
    <t>Berg, Peter/J-3533-2014</t>
  </si>
  <si>
    <t>Bozhinova, Denica/0000-0003-0611-321X</t>
  </si>
  <si>
    <t>EU; Swedish Research Council Formas</t>
  </si>
  <si>
    <t>EU(European Union (EU)); Swedish Research Council Formas(Swedish Research Council Formas)</t>
  </si>
  <si>
    <t>The authors would like to thank the EU and the Swedish Research Council Formas for funding within the framework of the GlobalHydroPressure project, financed under the 2017 Joint Call of Water JPI (IC4WATER).</t>
  </si>
  <si>
    <t>1866-3508</t>
  </si>
  <si>
    <t>1866-3516</t>
  </si>
  <si>
    <t>EARTH SYST SCI DATA</t>
  </si>
  <si>
    <t>Earth Syst. Sci. Data</t>
  </si>
  <si>
    <t>APR 13</t>
  </si>
  <si>
    <t>10.5194/essd-13-1531-2021</t>
  </si>
  <si>
    <t>RN3KP</t>
  </si>
  <si>
    <t>WOS:000640250700001</t>
  </si>
  <si>
    <t>Raes, EJ; Karsh, K; Sow, SLS; Ostrowski, M; Brown, MV; van de Kamp, J; Franco-Santos, RM; Bodrossy, L; Waite, AM</t>
  </si>
  <si>
    <t>Raes, Eric J.; Karsh, Kristen; Sow, Swan L. S.; Ostrowski, Martin; Brown, Mark V.; van de Kamp, Jodie; Franco-Santos, Rita M.; Bodrossy, Levente; Waite, Anya M.</t>
  </si>
  <si>
    <t>Metabolic pathways inferred from a bacterial marker gene illuminate ecological changes across South Pacific frontal boundaries</t>
  </si>
  <si>
    <t>METAGENOMIC ANALYSIS; OCEAN; LIPIDS; BIOSYNTHESIS; ACCUMULATION; BIOGEOGRAPHY; EVOLUTION; NITROGEN; GROWTH; SCALE</t>
  </si>
  <si>
    <t>Global oceanographic monitoring initiatives originally measured abiotic essential ocean variables but are currently incorporating biological and metagenomic sampling programs. There is, however, a large knowledge gap on how to infer bacterial functions, the information sought by biogeochemists, ecologists, and modelers, from the bacterial taxonomic information (produced by bacterial marker gene surveys). Here, we provide a correlative understanding of how a bacterial marker gene (16S rRNA) can be used to infer latitudinal trends for metabolic pathways in global monitoring campaigns. From a transect spanning 7000km in the South Pacific Ocean we infer ten metabolic pathways from 16S rRNA gene sequences and 11 corresponding metagenome samples, which relate to metabolic processes of primary productivity, temperature-regulated thermodynamic effects, coping strategies for nutrient limitation, energy metabolism, and organic matter degradation. This study demonstrates that low-cost, high-throughput bacterial marker gene data, can be used to infer shifts in the metabolic strategies at the community scale. Extracting functional information from 16S rRNA data surveys would provide a valuable tool for large-scale functional ecology. Here, the authors use PICRUSt2 to infer metabolic functions from bacterial marker gene data across the South Pacific Ocean, and compare them with rate data, biomass estimators and predictions based on shotgun metagenomes.</t>
  </si>
  <si>
    <t>[Raes, Eric J.; Karsh, Kristen; Sow, Swan L. S.; van de Kamp, Jodie; Bodrossy, Levente] CSIRO Oceans &amp; Atmosphere, Hobart, Tas, Australia; [Raes, Eric J.; Waite, Anya M.] Dalhousie Univ, Ocean Frontier Inst, Halifax, NS, Canada; [Sow, Swan L. S.; Franco-Santos, Rita M.] Dalhousie Univ, Dept Oceanog, Halifax, NS, Canada; [Sow, Swan L. S.] Univ Tasmania, Inst Marine &amp; Antarctic Studies, Hobart, Tas, Australia; [Ostrowski, Martin] NIOZ Royal Netherlands Inst Sea Res, Dept Marine Microbiol &amp; Biogeochem, Den Burg, Netherlands; [Brown, Mark V.] Univ Technol Sydney, Climate Change Cluster, Sydney, NSW, Australia</t>
  </si>
  <si>
    <t>Commonwealth Scientific &amp; Industrial Research Organisation (CSIRO); Dalhousie University; Dalhousie University; University of Tasmania; Utrecht University; Royal Netherlands Institute for Sea Research (NIOZ); University of Technology Sydney</t>
  </si>
  <si>
    <t>Raes, EJ (corresponding author), CSIRO Oceans &amp; Atmosphere, Hobart, Tas, Australia.;Raes, EJ (corresponding author), Dalhousie Univ, Ocean Frontier Inst, Halifax, NS, Canada.</t>
  </si>
  <si>
    <t>eric.raes@dal.ca</t>
  </si>
  <si>
    <t>Franco-Santos, Rita M/G-8736-2014; van de Kamp, Jodie L/E-9423-2015; Sow, Swan Li San/C-3454-2016; Ostrowski, Martin/A-7118-2010; San Sow, Swan Li/AAB-9703-2019; Waite, Anya/A-5492-2015; Bodrossy, Levente/B-8054-2009</t>
  </si>
  <si>
    <t>Franco-Santos, Rita M/0000-0001-7846-3425; van de Kamp, Jodie L/0000-0003-2167-0938; Sow, Swan Li San/0000-0001-5887-7049; Ostrowski, Martin/0000-0002-4357-3023; Waite, Anya/0000-0003-2965-0296; Bodrossy, Levente/0000-0001-6940-452X</t>
  </si>
  <si>
    <t>Bioplatforms Australia; Integrated Marine Observing System (IMOS) through the Australian Government National Collaborative Research Infrastructure Strategy (NCRIS); Australian research community; CSIRO; Australian Climate Change Science Program; Marine National Facility; Alfred Wegener Institute; University of Western Australia; Ocean Frontier Institute; Australian Research Council [DP150102326]; CSIRO Office of Community Engagement Science Leader Fellowship [R-04202]; CSIRO Oceans and Atmosphere Environmental Genomics Grant [R-02412]</t>
  </si>
  <si>
    <t>Bioplatforms Australia; Integrated Marine Observing System (IMOS) through the Australian Government National Collaborative Research Infrastructure Strategy (NCRIS); Australian research community; CSIRO(Commonwealth Scientific &amp; Industrial Research Organisation (CSIRO)); Australian Climate Change Science Program; Marine National Facility(Commonwealth Scientific &amp; Industrial Research Organisation (CSIRO)); Alfred Wegener Institute; University of Western Australia; Ocean Frontier Institute; Australian Research Council(Australian Research Council); CSIRO Office of Community Engagement Science Leader Fellowship; CSIRO Oceans and Atmosphere Environmental Genomics Grant</t>
  </si>
  <si>
    <t>We would like to thank the captain, officers and crew of the R.V. Investigator during cruise IN2016_V03 for their technical assistance while at sea; and Dr. Susan Wijffels and Dr. Bernadette Sloyan for the opportunity to piggyback on the P15S GO-SHIP transect voyage number IN2016_V03. We would also like to thank Dr. Bernhard Tschitschko, Dr. Nicole Gail Hellessey, and Gabriela Paniagua Cabarrus for their help at sea. We would like to acknowledge the contribution of the Marine Microbes consortium in the generation of data used in this publication. The Marine Microbes project was supported by funding from Bioplatforms Australia and the Integrated Marine Observing System (IMOS) through the Australian Government National Collaborative Research Infrastructure Strategy (NCRIS) in partnership with the Australian research community. This work was supported by CSIRO, the Australian Climate Change Science Program, and the Marine National Facility. A.M.W. was supported by grants from the Alfred Wegener Institute, the University of Western Australia, and the Ocean Frontier Institute. This work was supported by Australian Research Council awards DP150102326 to M.B. and M.O. Work at CSIRO was supported by CSIRO Office of Community Engagement Science Leader Fellowship R-04202 (to L.B.) and by CSIRO Oceans and Atmosphere Environmental Genomics Grant R-02412. We sincerely thank Dr. Tom Trull, Dr. Sharon Hook, and Dr. Richard Matear for their valuable comments on an earlier draft.</t>
  </si>
  <si>
    <t>10.1038/s41467-021-22409-4</t>
  </si>
  <si>
    <t>RN8YL</t>
  </si>
  <si>
    <t>WOS:000640638900003</t>
  </si>
  <si>
    <t>Bukacinski, D; Bukacinska, M; Chylarecki, P</t>
  </si>
  <si>
    <t>Bukacinski, Dariusz; Bukacinska, Monika; Chylarecki, Przemyslaw</t>
  </si>
  <si>
    <t>Manipulating parental condition affects brood sex ratio, immunocompetence, and early chick mortality in two gull species differing in sexual size dimorphism</t>
  </si>
  <si>
    <t>ORNITHOLOGY</t>
  </si>
  <si>
    <t>brood sex ratio; chick mortality; egg sequence; gulls; immunocompetence; parental effort; sexual size dimorphism</t>
  </si>
  <si>
    <t>BLACK-BACKED GULL; OFFSPRING SEX; POTENTIAL MECHANISMS; MONOGAMOUS SEABIRD; BREEDING SUCCESS; ANTARCTIC PETREL; HATCHING ORDER; EGG-PRODUCTION; BODY CONDITION; TRADE-OFFS</t>
  </si>
  <si>
    <t>Sex allocation theory predicts that parents should adjust their brood sex ratio to maximize fitness returns in relation to parental investment. Adaptive adjustment of sex ratio may be driven by differential costs of rearing sons and daughters or differential benefits of investing limited resources into offspring of different sex. In both cases, possible sex ratio bias should depend on parental condition. For sexually dimorphic birds with males larger than females, sons may be less likely to fledge since they are more vulnerable to food shortages or because they have impaired immunocompetence due to higher testosterone levels. Poor condition females should thus overproduce daughters to minimize possible reproductive failure. We manipulated the number of eggs laid and the amount of food available to laying females to induce differences in the condition in 2 gull species differing in sexual size dimorphism. In the Black-headed Gull (Chroicocephalus ridibundus), sexual size differences are marginal; but in the Mew Gull (Larus canus), males are 11% larger. In both species, females forced to lay an additional egg (presumed in worse condition) overproduced daughters, whereas females receiving supplemental food before laying (presumed improved condition) overproduced sons. This sex ratio skew was larger in Mew Gull, a species with larger size dimorphism. Chick immunocompetence at hatching was unrelated to sex, being higher in broods of fed mothers and lower for chicks hatched from last-laid eggs. Chick survival between hatching and day 5 post-hatch was positively related to their immunocompetence, but chicks from last-laid eggs and males of Mew Gull, the more dimorphic species, survived less well. Results indicate that costs of raising larger sex offspring coupled with parental condition shape brood sex ratio in populations studied. Adaptive brood sex ratio adjustment occurs mostly before egg laying and includes differential sex allocation in eggs depending on the probability of producing a fledged chick.</t>
  </si>
  <si>
    <t>[Bukacinski, Dariusz; Bukacinska, Monika] Cardinal Stefan Wyszynski Univ Warsaw, Inst Biol Sci, Warsaw, Poland; [Chylarecki, Przemyslaw] Polish Acad Sci, Museum &amp; Inst Zool, Warsaw, Poland</t>
  </si>
  <si>
    <t>Cardinal Stefan Wyszynski University in Warsaw; Polish Academy of Sciences; Museum &amp; Institute of Zoology of the Polish Academy of Sciences</t>
  </si>
  <si>
    <t>Bukacinski, D (corresponding author), Cardinal Stefan Wyszynski Univ Warsaw, Inst Biol Sci, Warsaw, Poland.</t>
  </si>
  <si>
    <t>dbukacinski@op.pl</t>
  </si>
  <si>
    <t>Chylarecki, Przemyslaw/0000-0001-6863-4294; Bukacinski, Dariusz/0000-0003-0163-2950; Bukacinska, Monika/0000-0002-4526-3141</t>
  </si>
  <si>
    <t>National Science Centre, Poland [N N304 1385 40]</t>
  </si>
  <si>
    <t>National Science Centre, Poland(National Science Centre, Poland)</t>
  </si>
  <si>
    <t>This study was supported by the National Science Centre, Poland (project no. N N304 1385 40).</t>
  </si>
  <si>
    <t>0004-8038</t>
  </si>
  <si>
    <t>2732-4613</t>
  </si>
  <si>
    <t>APR 6</t>
  </si>
  <si>
    <t>ukab007</t>
  </si>
  <si>
    <t>10.1093/ornithology/ukab007</t>
  </si>
  <si>
    <t>UU7MP</t>
  </si>
  <si>
    <t>WOS:000698981100014</t>
  </si>
  <si>
    <t>Spataro, F; Patrolecco, L; Ademollo, N; Præbel, K; Rauseo, J; Pescatore, T; Corsolini, S</t>
  </si>
  <si>
    <t>Spataro, F.; Patrolecco, L.; Ademollo, N.; Praebel, K.; Rauseo, J.; Pescatore, T.; Corsolini, S.</t>
  </si>
  <si>
    <t>Multiple exposure of the Boreogadus saida from bessel fjord (NE Greenland) to legacy and emerging pollutants</t>
  </si>
  <si>
    <t>CHEMOSPHERE</t>
  </si>
  <si>
    <t>CUPs; Phenolic compounds; POPs; Polar cod; Bioaccumulation; Arctic</t>
  </si>
  <si>
    <t>PERSISTENT ORGANIC POLLUTANTS; CURRENT-USE PESTICIDES; SHARK SOMNIOSUS-MICROCEPHALUS; POLAR COD; ORGANOCHLORINE PESTICIDES; BISPHENOL-A; POLYCHLORINATED-BIPHENYLS; MALLOTUS-VILLOSUS; MARINE FAUNA; BIOACCUMULATION</t>
  </si>
  <si>
    <t>This work investigates the occurrence of OCPs, such as hexachlorocyclohexane (alpha-, beta-, gamma- and delta-HCH) isomers, dichlorodiphenyltrichloroethane (p,p'-DDT) and its metabolite dichlorodiphenyldichloroethylene (p,p'-DDE), endosulfan (alpha- and beta-EDS) isomers, chlorpyrifos (CPF), dacthal (DAC) and phenolic compounds, such as 4-nonylphenol (4-NP) and its precursors nonylphenol polyethoxylates (NP1EO and NP2EO) and bisphenol A (BPA), in polar cod sampled in and outside Bessel Fjord (NE Greenland). Linear regressions between target contaminants and morphological parameters (age, length, weight, gonad- and hepato-somatic indices and Fulton K) have been also evaluated. Polar cod collected at shelf had higher average concentrations of BPA, NP1EO, NP2EO and 4-NP (muscle: 6.2, 13.2, 8.9 and 1.9 ng/g w.w., respectively; liver: 5.8, 7.5, 5.2 and 0.9 ng/g w.w. respectively), than fjord's specimens (muscle: 3.5, 9.1, 3.9 and 1.0 ng/g w.w., respectively; liver: 2.4, 5.3, 2.9 and 1.1 ng/g w.w. respectively). Sigma HCHs, Sigma EDSs, Sigma DDTs, CPF and DAC, were more accumulated in the polar cod from the fjord (average amount in muscle: 9.1, 4.8, 7.9, 3.8 and 2.8 ng/g w.w., respectively; average amount in the liver: 11.2, 9.0, 3.8, 5.9 and 4.9 ng/g w.w., respectively) than shelf's ones (average amount in muscle 3.9, 4.5, 4.2, 0.9 and 1.2 ng/g w.w., respectively; average amount in liver 7.8, 6.3, 2.1, 3.4 and 2.5 ng/g w.w., respectively). The comparison between the concentration of target contaminants and morphologic parameters suggested a different exposure of polar cod occupying the fjord and shelf habitats, due to a combination of genetic and dietary differences, climate change effects and increased human activities. (C) 2021 Elsevier Ltd. All rights reserved.</t>
  </si>
  <si>
    <t>[Spataro, F.; Patrolecco, L.; Ademollo, N.; Rauseo, J.; Corsolini, S.] Natl Res Council ISP CNR, Inst Polar Sci, Str Prov 35d,Km 0,700, I-00010 Rome, Italy; [Praebel, K.] UiT Arctic Univ Norway, Norwegian Coll Fishery Sci, N-9037 Tromso, Norway; [Praebel, K.] Inland Norway Univ Appl Sci, Dept Forestry &amp; Wildlife Management, Campus Evenstad, N-2418 Elverum, Norway; [Pescatore, T.] Natl Res Council IRSA CNR, Water Res Inst, Str Prov 35d,Km 0,700, I-00010 Rome, Italy; [Pescatore, T.] Tuscia Univ, Dept Ecol &amp; Biol Sci, I-01100 Viterbo, Italy; [Corsolini, S.] Dept Phys Earth &amp; Environm Sci, Via PA Mattioli 4, I-53100 Siena, Italy</t>
  </si>
  <si>
    <t>Consiglio Nazionale delle Ricerche (CNR); Istituto di Scienze Polari (ISP-CNR); UiT The Arctic University of Tromso; Inland Norway University of Applied Sciences; Consiglio Nazionale delle Ricerche (CNR); Istituto di Ricerca sulle Acque (IRSA-CNR); Tuscia University</t>
  </si>
  <si>
    <t>Ademollo, N (corresponding author), Natl Res Council ISP CNR, Inst Polar Sci, Str Prov 35d,Km 0,700, I-00010 Rome, Italy.</t>
  </si>
  <si>
    <t>nicoletta.ademollo@cnr.it</t>
  </si>
  <si>
    <t>Praebel, Kim/A-2844-2014; Corsolini, Simonetta/B-9460-2012</t>
  </si>
  <si>
    <t>Corsolini, Simonetta/0000-0002-9772-2362; Rauseo, Jasmin/0000-0002-5710-9993; Ademollo, nicoletta/0000-0002-1875-6530; Pescatore, Tanita/0000-0001-6409-4358</t>
  </si>
  <si>
    <t>Italian National Antarctic Research Programme (PNRA) [PdR2013C1_04]</t>
  </si>
  <si>
    <t>Italian National Antarctic Research Programme (PNRA)</t>
  </si>
  <si>
    <t>The Italian National Antarctic Research Programme (PNRA) funded this research (Project PdR2013C1_04, P.I. S. Corsolini).</t>
  </si>
  <si>
    <t>0045-6535</t>
  </si>
  <si>
    <t>1879-1298</t>
  </si>
  <si>
    <t>Chemosphere</t>
  </si>
  <si>
    <t>10.1016/j.chemosphere.2021.130477</t>
  </si>
  <si>
    <t>SP9GO</t>
  </si>
  <si>
    <t>WOS:000659971200018</t>
  </si>
  <si>
    <t>Palinkas, LA; Suedfeld, P</t>
  </si>
  <si>
    <t>Palinkas, Lawrence A.; Suedfeld, Peter</t>
  </si>
  <si>
    <t>Psychosocial issues in isolated and confined extreme environments</t>
  </si>
  <si>
    <t>NEUROSCIENCE AND BIOBEHAVIORAL REVIEWS</t>
  </si>
  <si>
    <t>Extreme environments; Team dynamics; Performance; Emotion; Confinement; Cognition; Isolation; Behavior</t>
  </si>
  <si>
    <t>PROLONGED ANTARCTIC RESIDENCE; INTERNATIONAL-SPACE-STATION; RANDOMIZED CONTROLLED-TRIAL; COGNITIVE PERFORMANCE; PSYCHOLOGICAL-ASPECTS; SOCIAL SUPPORT; DIGITAL TECHNOLOGY; CIRCADIAN-RHYTHMS; COPING STRATEGIES; THYROID-FUNCTION</t>
  </si>
  <si>
    <t>PALINKAS, L.A., and P. SUEDFELD. Psychosocial Issues in Isolated and Confined Extreme Environments. NEUROSCI BIOBEHAV REV (1) XXX-XXX, 2020. Psychosocial elements of behavior and performance will significantly impact the outcomes of long duration missions in space, ranging from individual and team decrements to positive benefits associated with successful adaptation. This paper reviews our current understanding of the individual, interpersonal and organizational issues related to living and working in isolated and confined extreme (ICE) environments. Individual issues include changes in emotions and cognitive performance; seasonal syndromes linked to changes in the physical environment; and positive effects of adapting to ICE environments. Interpersonal issues include processes of crew cohesion, tension and conflict; interpersonal relations and social support; the impact of group diversity and leadership styles on small group dynamics; and crew-mission control interactions. Organizational issues include the influence of organizational culture and mission duration on individual and group performance, crew autonomy, and managerial requirements for long duration missions. Improved screening and selection, leadership, coping and interpersonal skills training, and organizational change are key elements to optimizing adjustment to the environment and preventing decrements during and after long duration missions.</t>
  </si>
  <si>
    <t>[Palinkas, Lawrence A.] Univ Southern Calif, Suzanne Dworak Peck Sch Social Work, 669 W 34th St, Los Angeles, CA 90089 USA; [Suedfeld, Peter] Univ British Columbia, Dept Psychol, Vancouver, BC, Canada</t>
  </si>
  <si>
    <t>University of Southern California; University of British Columbia</t>
  </si>
  <si>
    <t>Palinkas, LA (corresponding author), Univ Southern Calif, Suzanne Dworak Peck Sch Social Work, 669 W 34th St, Los Angeles, CA 90089 USA.</t>
  </si>
  <si>
    <t>palinkas@usc.edu</t>
  </si>
  <si>
    <t>National Aeronautics and Space Administration [NAG-5-4571, NAS-09-02078, T71716]; Canadian Space Agency</t>
  </si>
  <si>
    <t>National Aeronautics and Space Administration(National Aeronautics &amp; Space Administration (NASA)); Canadian Space Agency(Canadian Space Agency)</t>
  </si>
  <si>
    <t>This work was supported by National Aeronautics and Space Administration grantsNAG-5-4571 (Palinkas LA, PI) and NAS-09-02078 (Wiley subcontract T71716, Palinkas, LA, PI) and successive grants from the Canadian Space Agency to The University of British Columbia (Suedfeld, P, PI) for studies of the effects of isolated, confined environments.</t>
  </si>
  <si>
    <t>0149-7634</t>
  </si>
  <si>
    <t>1873-7528</t>
  </si>
  <si>
    <t>NEUROSCI BIOBEHAV R</t>
  </si>
  <si>
    <t>Neurosci. Biobehav. Rev.</t>
  </si>
  <si>
    <t>10.1016/j.neubiorev.2021.03.032</t>
  </si>
  <si>
    <t>Behavioral Sciences; Neurosciences</t>
  </si>
  <si>
    <t>Behavioral Sciences; Neurosciences &amp; Neurology</t>
  </si>
  <si>
    <t>SK5IR</t>
  </si>
  <si>
    <t>WOS:000656249400016</t>
  </si>
  <si>
    <t>Yu, HB; Hu, B; Kong, J; Li, YH; He, Y; Lu, XL; Jiao, BH; Liu, XY</t>
  </si>
  <si>
    <t>Yu, Hao-Bing; Hu, Bo; Kong, Jie; Li, Yun-Hai; He, Ying; Lu, Xiao-Ling; Jiao, Bing-Hua; Liu, Xiao-Yu</t>
  </si>
  <si>
    <t>Palitantin derivatives from the Antarctic fungus Geomyces sp. 3-1</t>
  </si>
  <si>
    <t>JOURNAL OF ASIAN NATURAL PRODUCTS RESEARCH</t>
  </si>
  <si>
    <t>Geomyces sp; polyketide; PTP1B inhibitory activity</t>
  </si>
  <si>
    <t>Two new polyketides, palitantins B and C (1 and 2), along with one known related compound (+)-palitantin (3) were obtained from the culture of the Antarctic fungus Geomyces sp. 3-1. The structures of the new compounds were elucidated by detailed analysis of HRESIMS, NMR, CD, and ECD data. Compound 3 showed potent PTP1B inhibitory activity with an IC50 value of 7.9 mu M (ursolic acid as positive control, IC50 = 8.3 mu M).</t>
  </si>
  <si>
    <t>[Yu, Hao-Bing; Hu, Bo; He, Ying; Liu, Xiao-Yu] Second Mil Med Univ, Naval Med Ctr PLA, Dept Marine Biomed &amp; Polar Med, Shanghai 200433, Peoples R China; [Yu, Hao-Bing; Kong, Jie; Li, Yun-Hai; Lu, Xiao-Ling; Jiao, Bing-Hua] Second Mil Med Univ, Coll Basic Med Sci, Dept Biochem &amp; Mol Biol, Shanghai 200433, Peoples R China</t>
  </si>
  <si>
    <t>Naval Medical University; Naval Medical University</t>
  </si>
  <si>
    <t>Liu, XY (corresponding author), Second Mil Med Univ, Naval Med Ctr PLA, Dept Marine Biomed &amp; Polar Med, Shanghai 200433, Peoples R China.</t>
  </si>
  <si>
    <t>biolxy@163.com</t>
  </si>
  <si>
    <t>Liu, Xiaoyu/HJH-8805-2023; lu, xl/HDO-8340-2022</t>
  </si>
  <si>
    <t>Yu, Hao-Bing/0000-0003-0516-4664</t>
  </si>
  <si>
    <t>National Key Research and Development Program of China [2018YFC1406705, 2018YFC0310900]; Shanghai Pujiang Program [2020PJD082]; Natural Science Foundation of Shanghai [20ZR1470600]; National Natural Science Foundation of China [41606173, 81741152]</t>
  </si>
  <si>
    <t>National Key Research and Development Program of China; Shanghai Pujiang Program(Shanghai Pujiang Program); Natural Science Foundation of Shanghai(Natural Science Foundation of Shanghai); National Natural Science Foundation of China(National Natural Science Foundation of China (NSFC))</t>
  </si>
  <si>
    <t>This research was financially supported by the National Key Research and Development Program of China (Nos. 2018YFC1406705 and 2018YFC0310900), the Shanghai Pujiang Program (No. 2020PJD082), the Natural Science Foundation of Shanghai (No. 20ZR1470600), and the National Natural Science Foundation of China (Nos. 41606173 and 81741152).</t>
  </si>
  <si>
    <t>1028-6020</t>
  </si>
  <si>
    <t>1477-2213</t>
  </si>
  <si>
    <t>J ASIAN NAT PROD RES</t>
  </si>
  <si>
    <t>J. Asian Nat. Prod. Res.</t>
  </si>
  <si>
    <t>MAR 4</t>
  </si>
  <si>
    <t>10.1080/10286020.2021.1915995</t>
  </si>
  <si>
    <t>Plant Sciences; Chemistry, Applied; Chemistry, Medicinal; Pharmacology &amp; Pharmacy</t>
  </si>
  <si>
    <t>Plant Sciences; Chemistry; Pharmacology &amp; Pharmacy</t>
  </si>
  <si>
    <t>YY0XG</t>
  </si>
  <si>
    <t>WOS:000643801500001</t>
  </si>
  <si>
    <t>Brase, LE; Harvey, R; Folco, L; Suttle, MD; McIntosh, EC; Day, JMD; Corrigan, CM</t>
  </si>
  <si>
    <t>Brase, Lauren E.; Harvey, Ralph; Folco, Luigi; Suttle, Martin D.; McIntosh, E. Carrie; Day, James M. D.; Corrigan, Catherine M.</t>
  </si>
  <si>
    <t>Microtektites and glassy cosmic spherules from new sites in the Transantarctic Mountains, Antarctica</t>
  </si>
  <si>
    <t>METEORITICS &amp; PLANETARY SCIENCE</t>
  </si>
  <si>
    <t>We report on the geochemical analyses of glassy spherules from sediments at three Transantarctic Mountain locations and the discovery of Australasian microtektites at two of these sites. Australasian microtektites are present at Mt. Raymond (RY) in the Grosvenor Mountains and Meteorite Moraine (MM) at Walcott Neve, in the Beardmore Glacier region of Antarctica. The microtektites were identified based on their pale yellow appearance, the high concentrations of silica (SiO2 = 60 +/- 7 wt%) and alumina (Al2O3 = 23 +/- 4 wt%), and a K2O/Na2O &gt; 1, which are all characteristics of microtektites and distinct from spherules of meteoritic origin. Additionally, trace element patterns for these microtektites match the upper continental crust compositions with enrichments in refractory elements and depletions in volatile elements, most likely as a result of melting and vaporization of source material. The presence of Australasian microtektites in RY sediment confirms the recent Australasian strewn field extension to Antarctica and the presence of highly volatile depleted microtektites. In addition to microtektites, thousands of chondritic spherules and a few unique differentiated cosmic spherules were identified in RY, MM, and Jacobs Nunatak sediments. Two unique spherules were calculated to have Fe/Mn ratios similar to micrometeorites assumed to be derived from Vesta (Fe/Mn 33.2 +/- 0.5 atom%) and two other unique spherules are extremely rich in refractory components (Al2O3 similar to 30% and TiO2 = similar to 2%). The three sites examined are evidently successful cosmic dust and impact debris collectors, and thus are useful traps for recording and examining the nature of influx events.</t>
  </si>
  <si>
    <t>[Brase, Lauren E.; Harvey, Ralph] Case Western Reserve Univ, Dept Earth Environm &amp; Planetary Sci, Cleveland, OH 44106 USA; [Folco, Luigi; Suttle, Martin D.] Univ Pisa, Dipartimento Sci Terra, Via S Maria 53, I-56126 Pisa, Italy; [Folco, Luigi] Univ Pisa, CISUP, Ctr Integraz Strumentaz, Lungarno Pacinotti 43, I-56126 Pisa, Italy; [McIntosh, E. Carrie; Day, James M. D.] Univ Calif San Diego, Scripps Inst Oceanog, La Jolla, CA 92093 USA; [Corrigan, Catherine M.] Smithsonian Inst, Dept Mineral Sci, Natl Museum Nat Hist, Washington, DC 20560 USA</t>
  </si>
  <si>
    <t>University System of Ohio; Case Western Reserve University; University of Pisa; University of Pisa; University of California System; University of California San Diego; Scripps Institution of Oceanography; Smithsonian Institution; Smithsonian National Museum of Natural History</t>
  </si>
  <si>
    <t>Brase, LE (corresponding author), Case Western Reserve Univ, Dept Earth Environm &amp; Planetary Sci, Cleveland, OH 44106 USA.</t>
  </si>
  <si>
    <t>lauren.e.brase@outlook.com</t>
  </si>
  <si>
    <t>Day, James/0000-0001-9520-3465; Brase, Lauren/0000-0002-8961-3449; Suttle, Martin/0000-0001-7165-2215; Folco, Luigi/0000-0002-7276-3483; Corrigan, Catherine/0000-0002-0151-1457</t>
  </si>
  <si>
    <t>MIUR [PNRA16_00029]; MIUR grant PRIN2015 Cosmic; University of Pisa [PRA_2018_19]; NASA Emerging Worlds Program [80NSSC19K0932]</t>
  </si>
  <si>
    <t>MIUR(Ministry of Education, Universities and Research (MIUR)); MIUR grant PRIN2015 Cosmic(Ministry of Education, Universities and Research (MIUR)); University of Pisa; NASA Emerging Worlds Program</t>
  </si>
  <si>
    <t>We would like to thank the ANSMET program for collecting and providing the sediment samples. Additionally, thank you to the staff of CWRU Swagelok and SIGL for assistance in collecting geochemical data. We also acknowledge two unknown reviewers and the Associate Editor, Christian Koeberl, for their useful remarks and editorial assistance that has improved the paper. The Antarctic micrometeorite and microtektite research at Pisa University is funded through MIUR grants PNRA16_00029 Meteoriti Antartiche and PRIN2015 Cosmic, and University of Pisa grant PRA_2018_19. Partial support for this research came from the NASA Emerging Worlds Program (80NSSC19K0932) to JMDD. The authors declare no conflicts of interest.</t>
  </si>
  <si>
    <t>1086-9379</t>
  </si>
  <si>
    <t>1945-5100</t>
  </si>
  <si>
    <t>METEORIT PLANET SCI</t>
  </si>
  <si>
    <t>Meteorit. Planet. Sci.</t>
  </si>
  <si>
    <t>10.1111/maps.13634</t>
  </si>
  <si>
    <t>SN7DN</t>
  </si>
  <si>
    <t>WOS:000639363400001</t>
  </si>
  <si>
    <t>Duan, XP; Guo, C; Zhang, C; Li, HB; Zhou, Y; Gao, HW; Xia, XM; He, H; McMinn, A; Wang, M</t>
  </si>
  <si>
    <t>Duan, Xueping; Guo, Cui; Zhang, Chao; Li, Hongbo; Zhou, Yao; Gao, Huiwang; Xia, Xiaomin; He, Hui; McMinn, Andrew; Wang, Min</t>
  </si>
  <si>
    <t>Effect of East Asian atmospheric particulate matter deposition on bacterial activity and community structure in the oligotrophic Northwest Pacific*</t>
  </si>
  <si>
    <t>Atmospheric deposition; Anthropogenic particulate matters; Bacterial community composition; Bacterial production; Oligotrophic ecosystem</t>
  </si>
  <si>
    <t>SOUTH CHINA SEA; SAHARAN DUST; MICROBIAL COMMUNITY; MEDITERRANEAN SEA; PHYTOPLANKTON BIOMASS; AIRBORNE MICROBES; COASTAL WATERS; BLACK CARBON; DESERT DUST; AEROSOL</t>
  </si>
  <si>
    <t>Large amounts of anthropogenic East Asian (EA) particulate matters (PM), containing inorganic nutrients and organic matter, are deposited in the oligotrophic Northwest Pacific Ocean. However, the effects of such deposition on marine microbes remain unclear. In this study, the effect of EA PM deposition on marine bacteria was assessed by five on-board microcosm experiments, conducted in oligotrophic basins of the South China Sea. The addition of EA PM to the sampling water induced a clear shift in bacterial community composition from prevailing oligotrophs (i.e., SAR 11 clade, Prochlorococcus, AEGEAN-169 marine group) to less common copiotrophs (i.e., Alteromonas, Ruegeria, Flavobacteriaceae) and thus a slight increase in bacterial diversity. The shift to more active community composition, as well as stimulation of PM nutrients, resulted in a large increase in cell-specific and bulk bacterial production. In contrast, there were only minor changes in bacterial abundance, possibly due to increased top-down mortality. The EA PM also exhibited a stronge toxic effect on pico-cyanobacteria, leading to a signifi-cant decrease in their proportion. Moreover, the responses of bacterial metabolism and community composition exhibited significant relationships with the hydrographic condition of the locations. Stronger promotion effects of the EA PM on bacterial production and community shift from oligotrophs to copiotrophs was demonstrated at the more oligotrophic sites with lower chlorophyll a concentrations. These results suggest that PM deposition from polluted areas has the potential to alter the typical oligotrophic microbiomes and change the net metabolic balance of the bacterial community. These will then influence the dynamics of carbon flow in microbial food webs and biogeochemical cycles, especially with the trend of global warming and expansion of low-chlorophyll regions. (c) 2021 Elsevier Ltd. All rights reserved.</t>
  </si>
  <si>
    <t>[Duan, Xueping; Guo, Cui; Zhou, Yao; He, Hui; McMinn, Andrew; Wang, Min] Ocean Univ China, Coll Marine Life Sci, Frontiers Sci Ctr Deep Ocean Multispheres &amp; Earth, Qingdao 266003, Peoples R China; [Guo, Cui; He, Hui; Wang, Min] Ocean Univ China, Inst Evolut &amp; Marine Biodivers, Qingdao 266003, Peoples R China; [Zhang, Chao; Gao, Huiwang] Ocean Univ China, Key Lab Marine Environm &amp; Ecol, Minist Educ China, Qingdao 266100, Peoples R China; [Li, Hongbo] Natl Marine Environm Monitoring Ctr, Dalian 116023, Peoples R China; [Xia, Xiaomin] Chinese Acad Sci, South China Sea Inst Oceanol, Key Lab Trop Marine Bioresources &amp; Ecol, Guangzhou 510301, Peoples R China; [McMinn, Andrew] Univ Tasmania, Inst Marine &amp; Antarctic Studies, Hobart, Tas 7001, Australia</t>
  </si>
  <si>
    <t>Ocean University of China; Ocean University of China; Ocean University of China; National Marine Environmental Monitoring Center; Chinese Academy of Sciences; South China Sea Institute of Oceanology, CAS; University of Tasmania</t>
  </si>
  <si>
    <t>Guo, C (corresponding author), Ocean Univ China, Coll Marine Life Sci, Frontiers Sci Ctr Deep Ocean Multispheres &amp; Earth, Qingdao 266003, Peoples R China.</t>
  </si>
  <si>
    <t>guocui@ouc.edu.cn</t>
  </si>
  <si>
    <t>Wang, Chen/JZE-6385-2024; Li, Yan/JRW-0176-2023; Wang, Min/AFR-9645-2022; Li, Hong-bo/A-1199-2015</t>
  </si>
  <si>
    <t>Wang, Min/0000-0002-2357-589X; Zhou, Yao/0000-0002-3175-5356</t>
  </si>
  <si>
    <t>NSFC shiptime sharing project [NORC2018-06]; National Natural Science Foundation of China [41906126, 41976117]; Open Research Fund of LMB, SCSIO [LMB20091001]; National Key Research and Development Program of China [2018YFC1406704]; Fund of Shandong Province for Pilot National Laboratory for Marine Science and Technology (Qingdao), China [2018SDKJ0406-6]; Research Funds for the Central Universities [201912003, 201812002]</t>
  </si>
  <si>
    <t>NSFC shiptime sharing project; National Natural Science Foundation of China(National Natural Science Foundation of China (NSFC)); Open Research Fund of LMB, SCSIO; National Key Research and Development Program of China; Fund of Shandong Province for Pilot National Laboratory for Marine Science and Technology (Qingdao), China; Research Funds for the Central Universities</t>
  </si>
  <si>
    <t>Experiments were confucted on board of R/V Tam Kah Kee implementing the open research cruise NORC2018-06 suppored by NSFC shiptime sharing project. We sincerely thank the captain and crew of the R/V Tan Kah Kee, the chief scientist Yuanzheng Lu, as well as the students and staff who joined this cruise, for their support during the work at sea. We also thank Dr. Bangqin Huang from Xiamen University for providing the chlorophyll a data, and Xiao Chen and Chaoqun Tong for their help during the experiment. This work was financially supported by National Natural Science Foundation of China (No. 41906126; 41976117) ; Open Research Fund of LMB, SCSIO (LMB20091001) ; National Key Research and Development Program of China (2018YFC1406704) ; Fund of Shandong Province for Pilot National Laboratory for Marine Science and Technology (Qingdao) , China (No. 2018SDKJ0406-6) and Research Funds for the Central Universities (201912003, 201812002) .</t>
  </si>
  <si>
    <t>AUG 15</t>
  </si>
  <si>
    <t>10.1016/j.envpol.2021.117088</t>
  </si>
  <si>
    <t>SU4TC</t>
  </si>
  <si>
    <t>WOS:000663131000001</t>
  </si>
  <si>
    <t>Richardson, K; Wilcox, C; Vince, J; Hardesty, BD</t>
  </si>
  <si>
    <t>Richardson, Kelsey; Wilcox, Chris; Vince, Joanna; Hardesty, Britta Denise</t>
  </si>
  <si>
    <t>Challenges and misperceptions around global fishing gear loss estimates</t>
  </si>
  <si>
    <t>MARINE POLICY</t>
  </si>
  <si>
    <t>Derelict fishing gear; Fisheries management; Marine debris; Marine litter; Abandoned; lost or otherwise discarded fishing gear (ALDFG); Sustainable fisheriesData availabilityAll data used in discussion by authors is referenced in-text with citations provided; The authors did not include any original data; nor did they use data to inform new estimates or other new information</t>
  </si>
  <si>
    <t>IMPACTS; ECONOMICS; DEBRIS</t>
  </si>
  <si>
    <t>Abandoned, lost or otherwise discarded fishing gear (ALDFG) represents a major sea-based source of marine debris globally, with far-reaching socioeconomic and environmental impacts. Estimates of the amount of ALDFG entering the ocean have implications for managers and policy makers as they work to tailor solutions at scale. While scientists have worked since the 1970s to develop quantitatively rigorous estimates for ALDFG, the estimate that 640,000 tonnes of ALDFG enters the ocean annually has been repeatedly and erroneously cited for over a decade. We trace the history of this misinformation and discuss the implications of the perpetuation of this estimate. We also discuss major challenges around the creation of statistically robust global ALDFG estimates, and present opportunities to refine and improve estimates of lost fishing gear.</t>
  </si>
  <si>
    <t>[Richardson, Kelsey; Vince, Joanna] Univ Tasmania, Coll Arts Law &amp; Educ, Sch Social Sci, Private Bag 22, Hobart, Tas 7001, Australia; [Richardson, Kelsey; Wilcox, Chris; Hardesty, Britta Denise] CSIRO Oceans &amp; Atmosphere, GPO Box 1538, Hobart, Tas 7001, Australia; [Richardson, Kelsey; Wilcox, Chris; Vince, Joanna; Hardesty, Britta Denise] Ctr Marine Socioecol CMS, Inst Marine &amp; Antarctic Studies, 20 Castray Esplanade, Hobart, Tas 7004, Australia</t>
  </si>
  <si>
    <t>University of Tasmania; Commonwealth Scientific &amp; Industrial Research Organisation (CSIRO); University of Tasmania</t>
  </si>
  <si>
    <t>Richardson, K (corresponding author), 2726 Shelter Isl Dr 134, San Diego, CA 92106 USA.</t>
  </si>
  <si>
    <t>Kelsey.Richardson@csiro.au; Chris.Wilcox@csiro.au; Joanna.Vince@utas.edu.au; Denise.Hardesty@csiro.au</t>
  </si>
  <si>
    <t>Vince, Joanna Zofia/J-7465-2014; Hardesty, Britta Denise/A-3189-2011</t>
  </si>
  <si>
    <t>Vince, Joanna Zofia/0000-0002-4469-7634;</t>
  </si>
  <si>
    <t>CSIRO Oceans and Atmosphere; University of Tasmania School of Social Sciences; University of Tasmania Centre for Marine Socioecology</t>
  </si>
  <si>
    <t>We thank CSIRO Oceans and Atmosphere, and the University of Tasmania's School of Social Sciences and Centre for Marine Socioecology for supporting this research.</t>
  </si>
  <si>
    <t>0308-597X</t>
  </si>
  <si>
    <t>1872-9460</t>
  </si>
  <si>
    <t>MAR POLICY</t>
  </si>
  <si>
    <t>Mar. Pol.</t>
  </si>
  <si>
    <t>10.1016/j.marpol.2021.104522</t>
  </si>
  <si>
    <t>Environmental Studies; International Relations</t>
  </si>
  <si>
    <t>Social Science Citation Index (SSCI)</t>
  </si>
  <si>
    <t>Environmental Sciences &amp; Ecology; International Relations</t>
  </si>
  <si>
    <t>XW5LP</t>
  </si>
  <si>
    <t>WOS:000735660900003</t>
  </si>
  <si>
    <t>Huot, PV; Fichefet, T; Jourdain, NC; Mathiot, P; Rousset, C; Kittel, C; Fettweis, X</t>
  </si>
  <si>
    <t>Huot, Pierre-Vincent; Fichefet, Thierry; Jourdain, Nicolas C.; Mathiot, Pierre; Rousset, Clement; Kittel, Christoph; Fettweis, Xavier</t>
  </si>
  <si>
    <t>Influence of ocean tides and ice shelves on ocean-ice interactions and dense shelf water formation in the D'Urville Sea, Antarctica</t>
  </si>
  <si>
    <t>OCEAN MODELLING</t>
  </si>
  <si>
    <t>East Antarctica; Sea ice; Ocean; Ice shelves; Tides; Dense Shelf Water</t>
  </si>
  <si>
    <t>SOUTHERN-OCEAN; MERTZ GLACIER; FRESH-WATER; EAST ANTARCTICA; KATABATIC WINDS; MASS-BALANCE; MODEL; ADELIE; VARIABILITY; CIRCULATION</t>
  </si>
  <si>
    <t>The D'Urville Sea, East Antarctica, is a major source of Dense Shelf Water (DSW), a precursor of Antarctic Bottom Water (AABW). AABW is a key water mass involved in the worldwide ocean circulation and long-term climate variability. The properties of AABW in global climate models suffer from several biases, making climate projections uncertain. These models are potentially omitting or misrepresenting important mechanisms involved in the formation of DSW, such as tides and ocean-ice shelf interactions. Recent studies pointed out that tides and ice shelves significantly influence the coastal seas of Antarctica, where AABW originates from. Yet, the implications of these two processes in the formation and evolution of DSW are poorly understood, in particular in the D'Urville Sea. Using a series of NEMO-LIM numerical simulations, we assess the sensitivity of dense water formation in the D'Urville Sea to the representation of tides and ocean-ice shelf interactions during the years 2010-2015. We show that the ice shelves off Adelie Land are highly sensitive to tidal forcing, with a significant basal melt increase in the presence of tides. Ice shelf basal melt freshens and cools the ocean over significant portions of the coastal seas at the depth of the ice shelf draft. An opposite warming and increase in salinity are found in the upper layers. The influence of ice shelf basal melt on the ocean is largely increased in the presence of tides. However, the production of sea ice is found to be mostly unaffected by these two processes. Water mass transport out of polynyas and ice shelf cavities are then investigated, together with their sensitivity to tides and ocean-ice shelf interactions. Ice shelf basal melt impacts the volume of dense waters in two ways: (1) Dense Shelf Water and Modified Shelf Water are consumed to form water masses of intermediate density inside the ice shelf cavities, and (2) the freshening of the ocean subsurface makes its transformation into dense water by sea ice formation more difficult. These results suggest that ice shelf basal melt variability can explain part of the observed changes of dense water properties, and may also affect the production of dense water in a future climate.</t>
  </si>
  <si>
    <t>[Huot, Pierre-Vincent; Fichefet, Thierry] UCLouvain, George Lemaitre Ctr Earth &amp; Climate Res, Earth &amp; Life Inst, Louvain La Neuve, Belgium; [Jourdain, Nicolas C.; Mathiot, Pierre] Univ Grenoble Alpes, CNRS IRD G INP, IGE, Grenoble, France; [Mathiot, Pierre] UK MetOff, Exeter, Devon, England; [Rousset, Clement] IPSL, LOCEAN, Paris, France; [Kittel, Christoph; Fettweis, Xavier] Univ Liege, Dept Geog, Climatol Lab, Liege, Belgium</t>
  </si>
  <si>
    <t>Universite Catholique Louvain; Communaute Universite Grenoble Alpes; Universite Grenoble Alpes (UGA); Met Office - UK; Universite Paris Cite; Museum National d'Histoire Naturelle (MNHN); Sorbonne Universite; University of Liege</t>
  </si>
  <si>
    <t>Huot, PV (corresponding author), UCLouvain, George Lemaitre Ctr Earth &amp; Climate Res, Earth &amp; Life Inst, Louvain La Neuve, Belgium.</t>
  </si>
  <si>
    <t>pierre-vincent.huot@uclouvain.be</t>
  </si>
  <si>
    <t>Jourdain, Nicolas C/B-6899-2015</t>
  </si>
  <si>
    <t>Huot, Pierre-Vincent/0000-0002-2536-3700; Fettweis, Xavier/0000-0002-4140-3813; Kittel, Christoph/0000-0001-6586-9784</t>
  </si>
  <si>
    <t>FWO; F.R.S.-FNRS under the Excellence of Science (EOS) programme [EOS O0100718F]; Fond de la Recherche Scientifique de Belgique (F.R.S.-FNRS) [2.5020.11]; Walloon Region, Belgium [1117545]; JWCRP Joint Marine Modeling Programme</t>
  </si>
  <si>
    <t>FWO(FWO); F.R.S.-FNRS under the Excellence of Science (EOS) programme; Fond de la Recherche Scientifique de Belgique (F.R.S.-FNRS)(Fonds de la Recherche Scientifique - FNRS); Walloon Region, Belgium; JWCRP Joint Marine Modeling Programme</t>
  </si>
  <si>
    <t>The authors are thankful to the four anonymous reviewers for their very valuable remarks and advice which certainly helped to improve this manuscript. This research was conducted within the F.R.S.FNRS PDR T.0002.16 Air-Ice-Ocean Interactions in Antarctica'' and the PARAMOUR project, funded by the FWO and F.R.S.-FNRS under the Excellence of Science (EOS) programme (grant EOS O0100718F).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 under convention 2.5020.11. The present research benefited from computational resources made available on the Tier-1 supercomputer of the Federation Wallonie-Bruxelles, infrastructure funded by the Walloon Region, Belgium under the Grant Agreement No. 1117545. The authors acknowledge the JWCRP Joint Marine Modeling Programme for providing support.</t>
  </si>
  <si>
    <t>1463-5003</t>
  </si>
  <si>
    <t>1463-5011</t>
  </si>
  <si>
    <t>OCEAN MODEL</t>
  </si>
  <si>
    <t>Ocean Model.</t>
  </si>
  <si>
    <t>10.1016/j.ocemod.2021.101794</t>
  </si>
  <si>
    <t>Meteorology &amp; Atmospheric Sciences; Oceanography</t>
  </si>
  <si>
    <t>SF4PM</t>
  </si>
  <si>
    <t>Green Submitted, Green Published</t>
  </si>
  <si>
    <t>WOS:000652739800005</t>
  </si>
  <si>
    <t>Ogaki, MB; Câmara, PEAS; Pinto, OHB; Lirio, JM; Coria, SH; Vieira, R; Carvalho-Silva, M; Convey, P; Rosa, CA; Rosa, LH</t>
  </si>
  <si>
    <t>Ogaki, Mayara Baptistucci; Saraiva Camara, Paulo Eduardo Aguiar; Bezerra Pinto, Otavio Henrique; Manuel Lirio, Juan; Coria, Silvia H.; Vieira, Rosemary; Carvalho-Silva, Micheline; Convey, Peter; Rosa, Carlos Augusto; Rosa, Luiz Henrique</t>
  </si>
  <si>
    <t>Diversity of fungal DNA in lake sediments on Vega Island, north-east Antarctic Peninsula assessed using DNA metabarcoding</t>
  </si>
  <si>
    <t>EXTREMOPHILES</t>
  </si>
  <si>
    <t>Antarctica; Fungi; Extremophile; High-throughput sequencing; Taxonomy</t>
  </si>
  <si>
    <t>COMMUNITIES; PLANT; PSEUDOGYMNOASCUS; MACROALGAE; PHYLOGENY; GEOMYCES; SOIL</t>
  </si>
  <si>
    <t>We assessed the diversity of fungal DNA present in sediments of three lakes on Vega Island, north-east Antarctic Peninsula using metabarcoding through high-throughput sequencing (HTS). A total of 640,902 fungal DNA reads were detected, which were assigned to 224 taxa of the phyla Ascomycota, Rozellomycota, Basidiomycota, Chytridiomycota and Mortierellomycota, in rank order of abundance. The most abundant genera were Pseudogymnoascus, Penicillium and Mortierella. However, a majority (423,508, 66%) of the reads, representing by 43 ASVs, could only be assigned at higher taxonomic levels and may represent taxa not currently included in the sequence databases used or be new or previously unreported taxa present in Antarctic lakes. The three lakes were characterized by high sequence diversity, richness, and moderate dominance indices. The ASVs were dominated by psychrotolerant and cosmopolitan cold-adapted Ascomycota, Basidiomycota and Mortierellomycota commonly reported in Antarctic environments. However, other taxa detected included unidentified members of Rozellomycota and Chytridiomycota species not previously reported in Antarctic lakes. The assigned diversity was composed mainly of taxa recognized as decomposers and pathogens of plants and invertebrates.</t>
  </si>
  <si>
    <t>[Ogaki, Mayara Baptistucci; Rosa, Carlos Augusto; Rosa, Luiz Henrique] Univ Fed Minas Gerais, Inst Ciencias Biol, Dept Microbiol, POB 486, BR-31270901 Belo Horizonte, MG, Brazil; [Saraiva Camara, Paulo Eduardo Aguiar; Carvalho-Silva, Micheline] Univ Brasilia, Dept Bot, Brasilia, DF, Brazil; [Bezerra Pinto, Otavio Henrique] Univ Brasilia, Dept Biol Celular, Brasilia, DF, Brazil; [Manuel Lirio, Juan; Coria, Silvia H.] Inst Antartico Argentino, Buenos Aires, DF, Argentina; [Vieira, Rosemary] Univ Fed Fluminense, Inst Geociencias, Niteroi, RJ, Brazil; [Convey, Peter] British Antarctic Survey, NERC, Madingley Rd, Cambridge CB3 0ET, England</t>
  </si>
  <si>
    <t>Universidade Federal de Minas Gerais; Universidade de Brasilia; Universidade de Brasilia; Instituto Antartico Argentino; Universidade Federal Fluminense; UK Research &amp; Innovation (UKRI); Natural Environment Research Council (NERC); NERC British Antarctic Survey</t>
  </si>
  <si>
    <t>Rosa, LH (corresponding author), Univ Fed Minas Gerais, Inst Ciencias Biol, Dept Microbiol, POB 486, BR-31270901 Belo Horizonte, MG, Brazil.</t>
  </si>
  <si>
    <t>throsa@icb.ufmg.br</t>
  </si>
  <si>
    <t>Convey, Peter/AAV-5728-2020; Camara, Paulo/GPP-2054-2022</t>
  </si>
  <si>
    <t>Convey, Peter/0000-0001-8497-9903; Camara, Paulo/0000-0002-3944-996X; Pinto, Otavio/0000-0002-8382-2987; Silva, Micheline/0000-0002-2389-3804; Vieira, Rosemary/0000-0003-0312-2890</t>
  </si>
  <si>
    <t>CNPq; PROANTAR; FAPEMIG; Coordenacao de Aperfeicoamento de Pessoal de Nivel Superior-Brasil (CAPES); INCT Criosfera 2; NERC; Instituto Antartico Argentino; NERC [bas0100036] Funding Source: UKRI</t>
  </si>
  <si>
    <t>CNPq(Conselho Nacional de Desenvolvimento Cientifico e Tecnologico (CNPQ)); PROANTAR; FAPEMIG(Fundacao de Amparo a Pesquisa do Estado de Minas Gerais (FAPEMIG)); Coordenacao de Aperfeicoamento de Pessoal de Nivel Superior-Brasil (CAPES)(Coordenacao de Aperfeicoamento de Pessoal de Nivel Superior (CAPES)); INCT Criosfera 2; NERC(UK Research &amp; Innovation (UKRI)Natural Environment Research Council (NERC)); Instituto Antartico Argentino; NERC(UK Research &amp; Innovation (UKRI)Natural Environment Research Council (NERC))</t>
  </si>
  <si>
    <t>This study received financial support from CNPq, PROANTAR, FAPEMIG, Coordenacao de Aperfeicoamento de Pessoal de Nivel Superior-Brasil (CAPES), INCT Criosfera 2. P. Convey is supported by NERC core funding to the British Antarctic Survey's `Biodiversity, Evolution and Adaptation' Team. We thank the Instituto Antartico Argentino for logistical and financial support for the field campaign in Vega Island, the Lagos team field group, and Fernando Calabozo for the photograph used in Fig. 1d.</t>
  </si>
  <si>
    <t>SPRINGER JAPAN KK</t>
  </si>
  <si>
    <t>TOKYO</t>
  </si>
  <si>
    <t>SHIROYAMA TRUST TOWER 5F, 4-3-1 TORANOMON, MINATO-KU, TOKYO, 105-6005, JAPAN</t>
  </si>
  <si>
    <t>1431-0651</t>
  </si>
  <si>
    <t>1433-4909</t>
  </si>
  <si>
    <t>Extremophiles</t>
  </si>
  <si>
    <t>10.1007/s00792-021-01226-z</t>
  </si>
  <si>
    <t>Biochemistry &amp; Molecular Biology; Microbiology</t>
  </si>
  <si>
    <t>RY2IV</t>
  </si>
  <si>
    <t>WOS:000638823700001</t>
  </si>
  <si>
    <t>Palmer, TA; Klein, AG; Sweet, ST; Montagna, PA; Hyde, LJ; Sericano, J; Wade, TL; Kennicutt, MC; Pollack, JB</t>
  </si>
  <si>
    <t>Palmer, Terence A.; Klein, Andrew G.; Sweet, Stephen T.; Montagna, Paul A.; Hyde, Larry J.; Sericano, Jose; Wade, Terry L.; Kennicutt, Mahlon C., II; Pollack, Jennifer Beseres</t>
  </si>
  <si>
    <t>Long-term changes in contamination and macrobenthic communities adjacent to McMurdo Station, Antarctica</t>
  </si>
  <si>
    <t>Climate cycle; Ecological indicator; Pollution; Polar; Interdecadal Pacific Oscillation</t>
  </si>
  <si>
    <t>Improved waste management at McMurdo Station, Antarctica beginning in the 1980s has been followed by decreases in polycyclic aromatic hydrocarbon (PAH) and metal contamination in the adjacent marine sediments. However, determining the effect of the decreased contamination on marine ecological indicators (macrobenthic fauna) is confounded by concurrent changes in climate cycles and other physical forces. Between 2000 and 2013, there was a decrease in concentrations of some contaminants including mercury, copper, organochlorines, and PAHs in marine sediments adjacent to McMurdo Station. PAH concentrations in Winter Quarters Bay decreased an order of magnitude from 2000/2003 to 2012/2013 and were within an order of magnitude of reference area concentrations by 2013. Macrobenthic communities did not indicate any sign of recovery and have not become more similar to reference communities over this same period of time. Temporal changes in macrobenthic community composition during the study period had higher correlations with climatic and sea ice dynamics than with changes in contaminant concentrations. The Interdecadal Pacific Oscillation climatic index had the highest correlation with macrobenthic community composition. The Antarctic Oscillation climatic index, maximum ice extent and other natural environmental factors also appear to influence macrobenthic community composition. Despite large improvements in environmental management at McMurdo Station, continuing environmental vigilance is necessary before any noticeable improvement in ecological systems is likely to occur. The effects of climate must be considered when determining temporal changes in anthropogenic effects in Antarctica. Maintaining long-term monitoring of both contaminants and ecological indicators is important for determining the localized and global influences of humans on Antarctica, which will have implications for the whole planet. (C) 2020 Elsevier B.V. All rights reserved.</t>
  </si>
  <si>
    <t>[Palmer, Terence A.; Montagna, Paul A.; Hyde, Larry J.; Pollack, Jennifer Beseres] Texas A&amp;M Univ Corpus Christi, Harte Res Inst, Corpus Christi, TX 78412 USA; [Klein, Andrew G.] Texas A&amp;M Univ, Dept Geog, College Stn, TX 77843 USA; [Sweet, Stephen T.; Sericano, Jose; Wade, Terry L.] Texas A&amp;M Univ, Geochem &amp; Environm Res Grp, College Stn, TX 77843 USA; [Kennicutt, Mahlon C., II] Texas A&amp;M Univ, Dept Oceanog, College Stn, TX 77843 USA</t>
  </si>
  <si>
    <t>Texas A&amp;M University System; Texas A&amp;M University Corpus Christi; Texas A&amp;M University System; Texas A&amp;M University College Station; Texas A&amp;M University System; Texas A&amp;M University College Station; Texas A&amp;M University System; Texas A&amp;M University College Station</t>
  </si>
  <si>
    <t>Palmer, TA (corresponding author), Texas A&amp;M Univ Corpus Christi, Harte Res Inst, Corpus Christi, TX 78412 USA.</t>
  </si>
  <si>
    <t>terry.palmer@tamucc.edu</t>
  </si>
  <si>
    <t>Montagna, Paul A./J-8208-2017; Klein, Andrew/AGK-9609-2022</t>
  </si>
  <si>
    <t>Montagna, Paul A./0000-0003-4199-3312; Klein, Andrew/0000-0003-3804-8205</t>
  </si>
  <si>
    <t>US National Science Foundation [OPP-9909445, OPP0354573]; US Army Corps of Engineers Cold Regions Research and Engineering Laboratory [W913E5-05-C-0002, W913E5-06-C-0009, W913E5-07-C-0005, W913E5-08-C-0008, W913E5-07-C-0007, W913E5-19-C-0017, W913E5-11-C-0004, W913E5-12-C-0006, W913E5-13-C-0002, W913E5-15-C-0001, W913E5-16-C-0006]</t>
  </si>
  <si>
    <t>US National Science Foundation(National Science Foundation (NSF)); US Army Corps of Engineers Cold Regions Research and Engineering Laboratory</t>
  </si>
  <si>
    <t>We thank all of the USAP divers, particularly Rob Robbins and Steve Rupp, who conducted most of the sampling for this project. We also thank the several people, especially Sally Palmer, Sara Smith, Kristi Jones and April Gossmann, who helped with field sampling and/or laboratory analysis formacrobenthic fauna. We also acknowledge two anonymous reviewers, who improved thismanuscript. This studywas funded by the US National Science Foundation [grant numbers OPP-9909445 &amp; OPP0354573] and the US Army Corps of Engineers Cold Regions Research and Engineering Laboratory [grant numbers W913E5-05-C-0002, W913E5-06-C-0009, W913E5-07-C-0005, W913E5-08-C-0008, W913E5-07-C-0007, W913E5-19-C-0017, W913E5-11-C-0004, W913E5-12-C-0006, W913E5-13-C-0002, W913E5-15-C-0001, W913E5-16-C-0006]. The funding sources had no involvement in study design, analysis and interpretation of data; in the writing of the manuscript; and in the decision to submit the article for publication. The NSF was involved in logistical support for the collection of samples.</t>
  </si>
  <si>
    <t>APR 10</t>
  </si>
  <si>
    <t>10.1016/j.scitotenv.2020.142798</t>
  </si>
  <si>
    <t>QB6KX</t>
  </si>
  <si>
    <t>WOS:000614249600003</t>
  </si>
  <si>
    <t>Nuruzzama, M; Rahaman, W; Mohan, R</t>
  </si>
  <si>
    <t>Nuruzzama, Mohammad; Rahaman, Waliur; Mohan, Rahul</t>
  </si>
  <si>
    <t>Sources, distribution and biogeochemical cycling of dissolved trace elements in the coastal lakes of Larsemann Hills, East Antarctica</t>
  </si>
  <si>
    <t>Trace metals; Biogeochemistry; Antarctic lakes; Ba dynamics</t>
  </si>
  <si>
    <t>Coastal lakes in Antarctica receive an enormous amount of ions and trace elements (its) during the austral summer. Some of these TEs and ions are utilised as essential nutrients in primary productivity. In the present study, selected dissolved TEs (Ba, Mn. Cu, Co, Cd, Mo and U) along with dissolved organic carbon (DOC) and Chlorophyll-a were studied in ten coastal lakes of the Larsemann Hills, East Antarctica to decipher their (TEs) sources, understand geochemical behaviour and assess their role on nutrient dynamics. Dissolved concentrations of these TEs are in sub-nanomolar range; almost an order of magnitude lower than the average seawater and global river concentrations. Sea-salt spray and chemical weathering in the catchments of these lakes are dominant sources for these TEs and ions. Though most of the Antarctic lakes have been reported for their oligotrophic character, however, a significant amount of DOC and Chlorophyll-a, and occurrence of algal mats in some of the LH lakes indicate seasonal (austral summer) productivity with the availability of sunlight and nutrients. Our investigation reveals that phosphate (PO43-) and Mo act as limiting nutrients because of their lower concentrations in the water column. Dissolved Cu plays an important role in bacterial-induced organic matter decompositions and release of organic carbon to lake water. We also found Ba excess (non-terrigenous) in the lake and catchment sediments varying from 26 to 63%. The higher Ba-excess in the catchment sediments could be due to significant removal of dissolved Ba during the solute transport and later supplied to these lakes. The geochemical data sets presented in this study were found at a natural background level and therefore, would be useful for comparison with other global aquatic environments. Findings of the present study improve our understanding about the biogeochemical cycling of trace elements and their critical role in oligotrophic lakes of Antarctica. (C) 2020 Elsevier B.V. All rights reserved.</t>
  </si>
  <si>
    <t>[Nuruzzama, Mohammad; Rahaman, Waliur; Mohan, Rahul] Minist Earth Sci, Natl Ctr Polar &amp; Ocean Res, Vasco Da Gama 403804, Goa, India; [Nuruzzama, Mohammad] Goa Univ, Sch Earth Ocean &amp; Atmospher Sci, Taleigao, Goa, India</t>
  </si>
  <si>
    <t>Ministry of Earth Sciences (MoES) - India; National Centre for Polar and Ocean Research (NCPOR); Goa University</t>
  </si>
  <si>
    <t>Nuruzzama, M (corresponding author), Minist Earth Sci, Natl Ctr Polar &amp; Ocean Res, Vasco Da Gama 403804, Goa, India.</t>
  </si>
  <si>
    <t>nuruzzama95@ncpor.res.in</t>
  </si>
  <si>
    <t>Rahaman, Waliur/0000-0001-6439-4529</t>
  </si>
  <si>
    <t>University Grants Commission (UGC), India [21/06/2015(i)EU-V]</t>
  </si>
  <si>
    <t>University Grants Commission (UGC), India(University Grants Commission, India)</t>
  </si>
  <si>
    <t>We would like to thank the Director NCPOR for his continuous support and encouragement throughout the study. One of the authors Mohammad Nuruzzama, would like to thank the University Grants Commission (UGC), India, for providing PhD fellowship during this study (Fellowship No. 21/06/2015(i)EU-V). We thank Dr. Filip M.G. Tack for editorial efforts and anonymous reviewers for the constructive comments and suggestions. A sincere thanks to Mr Midhun Mohan for the preparation of the schematic diagram for the manuscript. We sincerely acknowledge Dr. Sambuddha Misra and Dr. N.S Magesh for the constructive comments and discussions during the final version of manuscript preparation. Authors also thank Dr. Shramik Patil for his assistance during sampling, Dr. Pariat Roy for providing the XRF facility. Authors also thank Mr Mohd Tarique and Ms Valency Vaz and Ms. Sahina Gazi for their help during the ICP analysis and EDS-SEManalysis, respectively. This is NCPOR contribution No. J-70/2020-21.</t>
  </si>
  <si>
    <t>10.1016/j.scitotenv.2020.142833</t>
  </si>
  <si>
    <t>WOS:000614249600031</t>
  </si>
  <si>
    <t>Berneira, LM; de Santi, II; da Silva, CC; Venzke, D; Colepicolo, P; Vaucher, RD; dos Santos, MAZ; de Pereira, CMP</t>
  </si>
  <si>
    <t>Berneira, Lucas M.; de Santi, Ivandra I.; da Silva, Caroline C.; Venzke, Dalila; Colepicolo, Pio; Vaucher, Rodrigo de A.; dos Santos, Marco A. Z.; de Pereira, Claudio M. P.</t>
  </si>
  <si>
    <t>Bioactivity and composition of lipophilic metabolites extracted from Antarctic macroalgae</t>
  </si>
  <si>
    <t>BRAZILIAN JOURNAL OF MICROBIOLOGY</t>
  </si>
  <si>
    <t>Lipophilic extract; Bioactive compounds; Macroalgae; Antioxidant activity; Antimicrobial activity</t>
  </si>
  <si>
    <t>GRACILARIA GRACILARIALES; ANTIMICROBIAL ACTIVITY; FATTY-ACIDS; RHODOPHYTA; SEAWEEDS; IDENTIFICATION; ANTIOXIDANT; PHAEOPHYTA; COMPONENTS; STEROLS</t>
  </si>
  <si>
    <t>Macroalgae comprise a vast group of aquatic organisms known for their richness in phytochemicals. In this sense, the lipophilic profile of five Antarctic seaweed species was characterized by chromatographic and spectroscopic analysis and their antioxidant and antimicrobial potential was evaluated. Results showed there were 31 lipophilic substances, mainly fatty acids (48.73 +/- 0.77 to 331.91 +/- 10.79 mg.Kg(-1)), sterols (14.74 +/- 0.74 to 321.25 +/- 30.13 mg.Kg(-1)), and alcohols (13.07 +/- 0.04 to 91.87 +/- 30.07 mg.Kg(-1)). Moreover, Desmarestia confervoides had strong antioxidant activity, inhibiting 86.03 +/- 1.47% of the 2,2-diphenyl-1-picrylhydrazyl (DPPH) radical at 1 mg.mL(-1). Antimicrobial evaluation showed that extracts from Ulva intestinalis, Curdiea racovitzae, and Adenocystis utricularis inhibited the growth of Escherichia coli (ATCC 25922), Staphylococcus aureus (ATCC 25923), and Salmonella typhimurium (ATCC 14028) from concentrations of 1.5 to 6 mg.mL(-1). Therefore, the evaluated brown, red, and green macroalgae contained several phytochemicals with promising biological activities that could be applied in the pharmaceutical, biotechnological, and food industries.</t>
  </si>
  <si>
    <t>[Berneira, Lucas M.; de Santi, Ivandra I.; da Silva, Caroline C.; Venzke, Dalila; dos Santos, Marco A. Z.; de Pereira, Claudio M. P.] Univ Fed Pelotas, Ctr Chem Pharmaceut &amp; Food Sci, Lipidom &amp; Bioorgan Lab, Bioforens Res Grp, Eliseu Maciel St S-N, BR-96900010 Pelotas, RS, Brazil; [Colepicolo, Pio] State Univ Sao Paulo, Inst Chem, Dept Biochem, Lineu Prestes Av 748, BR-05508000 Sao Paulo, SP, Brazil; [Vaucher, Rodrigo de A.] Univ Fed Pelotas, Ctr Chem Pharmaceut &amp; Food Sci, Biochem Res &amp; Mol Biol Microorganisms Lab, Eliseu Maciel St S-N, BR-96900010 Pelotas, RS, Brazil</t>
  </si>
  <si>
    <t>Universidade Federal de Pelotas; Universidade Estadual Paulista; Universidade Federal de Pelotas</t>
  </si>
  <si>
    <t>de Pereira, CMP (corresponding author), Univ Fed Pelotas, Ctr Chem Pharmaceut &amp; Food Sci, Lipidom &amp; Bioorgan Lab, Bioforens Res Grp, Eliseu Maciel St S-N, BR-96900010 Pelotas, RS, Brazil.</t>
  </si>
  <si>
    <t>VAUCHER, RODRIGO/0000-0002-8306-9243</t>
  </si>
  <si>
    <t>Office to Coordinate Improvement of University Personnel (CAPES) [99999.002378/2015-9]; Rio Grande do Sul State Research Foundation (FAPERGS) [2010/50193-1]; Sao Paulo State Research Foundation (FAPESP); National Council for Scientific and Technological Development (CNPq) [407588/2013-2]; Fundacao de Amparo a Pesquisa do Estado de Sao Paulo (FAPESP) [10/50193-1] Funding Source: FAPESP</t>
  </si>
  <si>
    <t>Office to Coordinate Improvement of University Personnel (CAPES); Rio Grande do Sul State Research Foundation (FAPERGS)(Fundacao de Amparo a Ciencia e Tecnologia do Estado do Rio Grande do Sul (FAPERGS)); Sao Paulo State Research Foundation (FAPESP)(Fundacao de Amparo a Pesquisa do Estado de Sao Paulo (FAPESP)); National Council for Scientific and Technological Development (CNPq)(Conselho Nacional de Desenvolvimento Cientifico e Tecnologico (CNPQ)); Fundacao de Amparo a Pesquisa do Estado de Sao Paulo (FAPESP)(Fundacao de Amparo a Pesquisa do Estado de Sao Paulo (FAPESP))</t>
  </si>
  <si>
    <t>We are grateful for the logistical support provided by the Brazilian Antarctic Program and for the financial support by the Office to Coordinate Improvement of University Personnel (CAPES-grant 99999.002378/2015-9), Rio Grande do Sul State Research Foundation (FAPERGS-grant 2010/50193-1), Sao Paulo State Research Foundation (FAPESP) and National Council for Scientific and Technological Development (CNPq-grant 407588/2013-2).</t>
  </si>
  <si>
    <t>1517-8382</t>
  </si>
  <si>
    <t>1678-4405</t>
  </si>
  <si>
    <t>BRAZ J MICROBIOL</t>
  </si>
  <si>
    <t>Braz. J. Microbiol.</t>
  </si>
  <si>
    <t>10.1007/s42770-021-00475-6</t>
  </si>
  <si>
    <t>TS6IT</t>
  </si>
  <si>
    <t>WOS:000638472800001</t>
  </si>
  <si>
    <t>Izaguirre, I; Unrein, F; Schiaffino, MR; Lara, E; Singer, D; Balagué, V; Gasol, JM; Massana, R</t>
  </si>
  <si>
    <t>Izaguirre, Irina; Unrein, Fernando; Romina Schiaffino, M.; Lara, Enrique; Singer, David; Balague, Vanessa; Gasol, Josep M.; Massana, Ramon</t>
  </si>
  <si>
    <t>Phylogenetic diversity and dominant ecological traits of freshwater Antarctic Chrysophyceae</t>
  </si>
  <si>
    <t>Chrysophyceae; Antarctic lakes; Clone library; 18S Illumina HiSeq; Molecular and functional diversity</t>
  </si>
  <si>
    <t>Previous studies conducted in summer in the lakes at Hope Bay (Antarctic Peninsula) between 1991 and 2007 showed a large numerical contribution of flagellated Chrysophyceae to the phytoplankton communities, particularly in the oligotrophic lakes, as evidenced by light microscopy observations and molecular fingerprinting. Given the ecological relevance of this group in these Antarctic microbial foodwebs, we carried out further molecular analyses (clone libraries and 18S Illumina high throughput sequencing) to characterize their phylogenetic diversity. The results of this study significantly increased the retrieved Chrysophyceae biodiversity. Clone libraries in two selected lakes (one oligotrophic and one mesotrophic) yielded 12 different chrysophycean OTUs, whereas 81 Swarm OTUs were recovered from six lakes using Illumina HiSeq. With the combination of both methods, we observed sequences of all the chrysophyte known clades, although most of the diversity belonged to Clade D, a group comprising mixotrophic and heterotrophic species. The percentage of reads for this clade in Illumina HiSeq ranged from 30% to 96% of the total Chrysophyceae reads. Based on experiments and observations, we also describe the main ecological traits of this group: the dominant taxa were small pigmented flagellates, well adapted to survive in oligotrophic systems, sometimes abundant under ice-cover subjected to low light intensities, and that have phagotrophic behavior. The used combination of methods allowed us to characterize the biodiversity and ecology of the Chrysophyceae, the dominant phytoplankton group in the oligotrophic lakes of this Maritime Antarctic region.</t>
  </si>
  <si>
    <t>[Izaguirre, Irina] Univ Buenos Aires, Dept Ecol Genet &amp; Evoluc IEGEBA, UBA CONICET, Fac Ciencias Exactas &amp; Nat, Buenos Aires, DF, Argentina; [Unrein, Fernando] UNAM CONICET, Lab Ecol &amp; Fotobiol Acuat, IIB INTECH, Chascomus, Buenos Aires, Argentina; [Romina Schiaffino, M.] CONICET UNNOBA, CITNOBA, Ctr Invest &amp; Transferencia Noroeste Prov Buenos A, Junin, Buenos Aires, Argentina; [Lara, Enrique] CSIC, Real Jardin Bot Madrid, Madrid, Spain; [Singer, David] Univ Sao Paulo, Inst Biosci, Dept Zool, Sao Paulo, Brazil; [Singer, David] Univ Angers, UMR CNRS LPG BIAF 6112, Angers 1, France; [Balague, Vanessa; Gasol, Josep M.; Massana, Ramon] CSIC, Dept Biol Marina &amp; Oceanog, Inst Ciencies Mar, Barcelona, Spain; [Gasol, Josep M.] Edith Cowan Univ, Ctr Marine Ecosyst Res, Sch Sci, Joondalup, WA, Australia</t>
  </si>
  <si>
    <t>Consejo Nacional de Investigaciones Cientificas y Tecnicas (CONICET); University of Buenos Aires; Consejo Superior de Investigaciones Cientificas (CSIC); CSIC - Real Jardin Botanico de Madrid; Universidade de Sao Paulo; Universite d'Angers; Consejo Superior de Investigaciones Cientificas (CSIC); CSIC - Centro Mediterraneo de Investigaciones Marinas y Ambientales (CMIMA); CSIC - Instituto de Ciencias del Mar (ICM); Edith Cowan University</t>
  </si>
  <si>
    <t>Izaguirre, I (corresponding author), Univ Buenos Aires, Dept Ecol Genet &amp; Evoluc IEGEBA, UBA CONICET, Fac Ciencias Exactas &amp; Nat, Buenos Aires, DF, Argentina.</t>
  </si>
  <si>
    <t>iri@ege.fcen.uba.ar</t>
  </si>
  <si>
    <t>Singer, David/B-6889-2016; Lara, Enrique/N-3679-2017; Massana, Ramon/F-4205-2016; Gasol, Josep M/B-1709-2008</t>
  </si>
  <si>
    <t>Singer, David/0000-0002-4116-033X; Massana, Ramon/0000-0001-9172-5418; Gasol, Josep M/0000-0001-5238-2387; Balague, Vanessa/0000-0001-6813-8207</t>
  </si>
  <si>
    <t>Direccion Nacional del Antartico (DNA) of Argentina; Argentinean Funds for Technical and Scientific Investigation (FONCYT) [PICT 04440, PICT 32732]; Spanish project MIXANTAR from Spanish MECyD [REN2002-11396-E/ANT, SB2001-0166]; Spanish project MICRODIFF from Spanish MECyD [SB2001-0166, DGICYT REN2001-2120/MAR]; Community of Madrid [2017-T1/AMB-5210]; Swiss NSF [P2NEP3-178543]; Swiss National Science Foundation (SNF) [P2NEP3_178543] Funding Source: Swiss National Science Foundation (SNF)</t>
  </si>
  <si>
    <t>Direccion Nacional del Antartico (DNA) of Argentina; Argentinean Funds for Technical and Scientific Investigation (FONCYT)(FONCyT); Spanish project MIXANTAR from Spanish MECyD; Spanish project MICRODIFF from Spanish MECyD; Community of Madrid(Comunidad de Madrid); Swiss NSF(Swiss National Science Foundation (SNSF)); Swiss National Science Foundation (SNF)(Swiss National Science Foundation (SNSF))</t>
  </si>
  <si>
    <t>The Antarctic expeditions were supported by the Direccion Nacional del Antartico (DNA) of Argentina, within the framework of a cooperative project between this institution, University of Buenos Aires and the Institut de Ciencies del Mar (ICM)-CSIC. The investigations were financed by grants of the Argentinean Funds for Technical and Scientific Investigation (FONCYT, PICT 04440 and PICT 32732); the Spanish projects MIXANTAR (REN2002-11396-E/ANT) and MICRODIFF (DGICYT REN2001-2120/MAR) grant SB2001-0166 from the Spanish MECyD; the grant Atraccion de talento investigador from the Community of Madrid (2017-T1/AMB-5210); and the Swiss NSF (P2NEP3-178543). We wish to thank the members of the Argentinian Esperanza Station for the logistic support. We also thank Dr. Elie Verleyen and other two anonymous reviewers for their valuable comments for improving the manuscript.</t>
  </si>
  <si>
    <t>10.1007/s00300-021-02850-3</t>
  </si>
  <si>
    <t>WOS:000638492700001</t>
  </si>
  <si>
    <t>dos Santos, MAZ; Berneira, LM; Goulart, NL; Mansilla, A; Astorga-España, MS; de Pereira, CMP</t>
  </si>
  <si>
    <t>Ziemann dos Santos, Marco Aurelio; Berneira, Lucas Moraes; Goulart, Natalia Leite; Mansilla, Andres; Soledad Astorga-Espana, Maria; Pereira de Pereira, Claudio Martin</t>
  </si>
  <si>
    <t>Rhodophyta, Ochrophyta and Chlorophyta macroalgae from different sub-Antarctic regions (Chile) and their potential for polyunsaturated fatty acids</t>
  </si>
  <si>
    <t>BRAZILIAN JOURNAL OF BOTANY</t>
  </si>
  <si>
    <t>Collection sites; Fatty acids; Gas chromatography; Macroalgae; Principal component analysis</t>
  </si>
  <si>
    <t>Polyunsaturated fatty acids are essential biomolecules to human health since their consumption is associated with decreased risk of cardiovascular, inflammatory and cancer diseases, for instance. Despite largely unexplored, sub-Antarctic macroalgae have a considerable nutraceutical potential since this region is known for its harsh environmental conditions, which forces macroalgae to produce secondary metabolites. Therefore, the aims of this work were to determine the fatty acid profile of Ulva sp., Lessonia flavicans Bory and Pyropia columbina (Montagne) W.A. Nelson collected from different collection sites in the Magellan region. Results showed that macroalgae were comprised of 18 to 24 fatty acids with generally a predominance of saturated fatty acids (SFAs) than unsaturated fatty acids. SFAs comprehended 34.40 +/- 0.61 mol% of Lessonia flavicans while Pyropia columbina had 69.06 +/- 0.77 mol% mainly in the form of palmitic acid. Polyunsaturated fatty acids were found in concentrations ranging from 15.80 +/- 0.56 mol% in Pyropia columbina to 54.93 +/- 0.15 in Lessonia flavicans. The nutraceutical potential of these macroalgae was observed as the samples had a n-ary sumation n3/ n-ary sumation n6 ratio above the indicated by the World Health Organization. Principal Component Analysis showed that the fatty acid profile is characteristic of each macroalgae being a biochemical marker for the identification of the organisms. Therefore, sub-Antarctic macroalgae comprise a promising renewable source of essential fatty acids, mainly as n3, that are essential to the maintenance of human health.</t>
  </si>
  <si>
    <t>[Ziemann dos Santos, Marco Aurelio; Berneira, Lucas Moraes; Goulart, Natalia Leite; Pereira de Pereira, Claudio Martin] Univ Fed Pelotas, Ctr Chem Pharmaceut &amp; Food Sci, Lipid &amp; Bioorgan Lab, Bioforens Res Grp, Eliseu Maciel St S-N, BR-96900010 Pelotas, RS, Brazil; [Mansilla, Andres; Soledad Astorga-Espana, Maria] Univ Magellan, Inst Ecol &amp; Biodiversidad, Lab Antarctic &amp; Subantarctic Marine Ecosyst, Bulnes Ave 01855, Punta Arenas 6200000, Chile</t>
  </si>
  <si>
    <t>Universidade Federal de Pelotas</t>
  </si>
  <si>
    <t>dos Santos, MAZ (corresponding author), Univ Fed Pelotas, Ctr Chem Pharmaceut &amp; Food Sci, Lipid &amp; Bioorgan Lab, Bioforens Res Grp, Eliseu Maciel St S-N, BR-96900010 Pelotas, RS, Brazil.</t>
  </si>
  <si>
    <t>marcziemann@gmail.com</t>
  </si>
  <si>
    <t>; Ziemann dos Santos, Marco Aurelio/O-8253-2014</t>
  </si>
  <si>
    <t>Astorga Espana, Maria Soledad/0000-0003-0647-7515; Ziemann dos Santos, Marco Aurelio/0000-0002-3776-3701; Mansilla, Andres/0000-0003-3505-7018</t>
  </si>
  <si>
    <t>National Council for Scientific and Technological Development (CNPq); Coordination for Improvement of Higher Level Personnel (CAPES); Foundation for Research Support of the State of Rio Grande do Sul (FAPERGS)</t>
  </si>
  <si>
    <t>National Council for Scientific and Technological Development (CNPq)(Conselho Nacional de Desenvolvimento Cientifico e Tecnologico (CNPQ)); Coordination for Improvement of Higher Level Personnel (CAPES)(Coordenacao de Aperfeicoamento de Pessoal de Nivel Superior (CAPES)); Foundation for Research Support of the State of Rio Grande do Sul (FAPERGS)(Fundacao de Amparo a Ciencia e Tecnologia do Estado do Rio Grande do Sul (FAPERGS))</t>
  </si>
  <si>
    <t>The authors are thankful for the financial and fellowship support from the Brazilian research funding agencies National Council for Scientific and Technological Development (CNPq), Coordination for Improvement of Higher Level Personnel (CAPES) and Foundation for Research Support of the State of Rio Grande do Sul (FAPERGS).</t>
  </si>
  <si>
    <t>SOC BOTANICA SAO PAULO</t>
  </si>
  <si>
    <t>SAO PAULO</t>
  </si>
  <si>
    <t>CAIXA POSTAL 57088, SAO PAULO, SP 00000, BRAZIL</t>
  </si>
  <si>
    <t>0100-8404</t>
  </si>
  <si>
    <t>1806-9959</t>
  </si>
  <si>
    <t>BRAZ J BOT</t>
  </si>
  <si>
    <t>Braz. J. Bot.</t>
  </si>
  <si>
    <t>10.1007/s40415-021-00712-0</t>
  </si>
  <si>
    <t>SD6RP</t>
  </si>
  <si>
    <t>WOS:000638513300001</t>
  </si>
  <si>
    <t>Hopp, T; Kleine, T</t>
  </si>
  <si>
    <t>Hopp, Timo; Kleine, Thorsten</t>
  </si>
  <si>
    <t>Ruthenium isotopic fractionation in primitive achondrites: Clues to the early stages of planetesimal melting</t>
  </si>
  <si>
    <t>Primitive achondrites; Partial melting; Isotopic fractionation; Highly siderophile elements; Planetary differentiation</t>
  </si>
  <si>
    <t>SIDEROPHILE ELEMENTS; PARENT BODY; METAL; UREILITES; PLANETARY; DIFFERENTIATION; CONSTRAINTS; WINONAITES; EVOLUTION; NEBULA</t>
  </si>
  <si>
    <t>Primitive achondrites derive from the residual mantle of incompletely differentiated planetesimals, from which partial silicate and metallic melts were extracted. As such, primitive achondrites are uniquely useful to examine the early stages of plan-etesimal melting and differentiation. To better understand this early melting and melt segregation as well as the nature of the melts involved, we obtained mass-dependent Ru isotopic compositions of 17 primitive achondrites, including winonaites, acapulcoite-lodranites, ureilites, brachinites, and two ungrouped samples. Most primitive achondrites with subchondritic Ru concentrations are characterized by heavy Ru isotopic compositions relative to chondrites, likely reflecting the extraction of isotopically light partial metallic melts. While the segregation of early-formed partial Fe-Ni-S melts likely had no effect on the Ru isotope compositions, the subsequent extraction of S-free partial metallic melts at higher temperatures provides a viable mechanism for producing the observed Ru isotopic fractionation and fractionated highly siderophile element ratios among primitive achondrites. Together, these observations indicate that differentiation of primitive achondrite parent bodies involved the segregation of distinct partial metallic melts over a range of temperatures, and that these melts ultimately formed a partial core with fractionated and light Ru isotopic composition. This contrasts with the unfractionated Ru isotope signatures previously estimated for bulk iron meteorite cores, which therefore indicates quantitative metal segregation during core formation in the iron meteorite parent bodies. The less efficient metal segregation in primitive achondrite parent bodies most likely reflects lower initial amounts of heat-producing (26) Al due to later accretion or impact disruption of the parent bodies during differentiation. (C) 2021 The Author(s). Published by Elsevier Ltd.</t>
  </si>
  <si>
    <t>[Hopp, Timo; Kleine, Thorsten] Univ Munster, Inst Planetol, Wilhelm Klemm Str 10, D-48149 Munster, Germany</t>
  </si>
  <si>
    <t>University of Munster</t>
  </si>
  <si>
    <t>Hopp, T (corresponding author), Univ Munster, Inst Planetol, Wilhelm Klemm Str 10, D-48149 Munster, Germany.</t>
  </si>
  <si>
    <t>hopp@uchicago.edu</t>
  </si>
  <si>
    <t>Kleine, Thorsten/S-2792-2017</t>
  </si>
  <si>
    <t>Hopp, Timo/0000-0002-4056-5431</t>
  </si>
  <si>
    <t>NSF; NASA; European Research Council under the European Community; Deutsche Forschungsgemeinschaft (DFG, German Research Foundation) [263649064 - TRR 170]</t>
  </si>
  <si>
    <t>NSF(National Science Foundation (NSF)); NASA(National Aeronautics &amp; Space Administration (NASA)); European Research Council under the European Community(European Research Council (ERC)); Deutsche Forschungsgemeinschaft (DFG, German Research Foundation)(German Research Foundation (DFG))</t>
  </si>
  <si>
    <t>We gratefully acknowledge Addi Bischoff and Kevin Righter (Meteorite Working Group, NASA) for providing some of the samples for this study.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manuscript benefited from constructive and helpful comments from associate editor Munir Humayun and three anonymous reviewers. We also thank Richard Walker for editorial handling of the revised manuscript. We further thank Ulla Heitmann for technical support and sample preparation. This research received funding to Thorsten Kleine from the European Research Council under the European Community's Seventh Framework This study was also funded by the Deutsche Forschungsgemeinschaft (DFG, German Research Foundation) - ProjectID 263649064 - TRR 170. This is TRR 170 pub. no. 129.</t>
  </si>
  <si>
    <t>10.1016/j.gca.2021.03.016</t>
  </si>
  <si>
    <t>RV5WV</t>
  </si>
  <si>
    <t>WOS:000645903700003</t>
  </si>
  <si>
    <t>Capron, E; Rasmussen, SO; Popp, TJ; Erhardt, T; Fischer, H; Landais, A; Pedro, JB; Vettoretti, G; Grinsted, A; Gkinis, V; Vaughn, B; Svensson, A; Vinther, BM; White, JWC</t>
  </si>
  <si>
    <t>Capron, E.; Rasmussen, S. O.; Popp, T. J.; Erhardt, T.; Fischer, H.; Landais, A.; Pedro, J. B.; Vettoretti, G.; Grinsted, A.; Gkinis, V; Vaughn, B.; Svensson, A.; Vinther, B. M.; White, J. W. C.</t>
  </si>
  <si>
    <t>The anatomy of past abrupt warmings recorded in Greenland ice</t>
  </si>
  <si>
    <t>ATLANTIC CLIMATE VARIABILITY; ARCTIC SEA-ICE; RAPID CHANGES; ATMOSPHERIC METHANE; GLACIAL CLIMATE; CORE; ISOTOPE; TEMPERATURE; DEGLACIATION; ORIGIN</t>
  </si>
  <si>
    <t>Data availability and temporal resolution make it challenging to unravel the anatomy (duration and temporal phasing) of the Last Glacial abrupt climate changes. Here, we address these limitations by investigating the anatomy of abrupt changes using sub-decadal-scale records from Greenland ice cores. We highlight the absence of a systematic pattern in the anatomy of abrupt changes as recorded in different ice parameters. This diversity in the sequence of changes seen in ice-core data is also observed in climate parameters derived from numerical simulations which exhibit self-sustained abrupt variability arising from internal atmosphere-ice-ocean interactions. Our analysis of two ice cores shows that the diversity of abrupt warming transitions represents variability inherent to the climate system and not archive-specific noise. Our results hint that during these abrupt events, it may not be possible to infer statistically-robust leads and lags between the different components of the climate system because of their tight coupling. Palaeodata resolution and dating limit the study of the sequence of changes across Earth during past abrupt warmings. Here, the authors show tight decadal-scale coupling between Greenland climate, North Atlantic sea ice and atmospheric circulation during these past events using two highly resolved ice-core records.</t>
  </si>
  <si>
    <t>[Capron, E.; Rasmussen, S. O.; Popp, T. J.; Pedro, J. B.; Vettoretti, G.; Grinsted, A.; Gkinis, V; Svensson, A.; Vinther, B. M.] Univ Copenhagen, Niels Bohr Inst, Phys Ice Climate &amp; Earth, Tagensvej 16, Copenhagen, Denmark; [Capron, E.] Univ Grenoble Alpes, IRD, IGE, CNRS, Grenoble, France; [Erhardt, T.; Fischer, H.] Univ Bern, Phys Inst, Climate &amp; Environm Phys, Sidlerstr 5, Bern, Switzerland; [Erhardt, T.; Fischer, H.] Univ Bern, Oeschger Ctr Climate Change Res, Sidlerstr 5, Bern, Switzerland; [Landais, A.] Univ Paris Saclay, Lab Sci Climat &amp; Environm, LSCE IPSL, CEA CNRS UVSQ, Gif Sur Yvette, France; [Pedro, J. B.] Australian Antarctic Div, Channel Highway, Kingston, Tas, Australia; [Pedro, J. B.] Univ Tasmania, Inst Marine &amp; Antarctic Studies, Australian Antarctic Program Partnership, Hobart, Tas, Australia; [Vaughn, B.; White, J. W. C.] Univ Colorado, Inst Arctic &amp; Alpine Res, Boulder, CO 80309 USA</t>
  </si>
  <si>
    <t>University of Copenhagen; Niels Bohr Institute; Communaute Universite Grenoble Alpes; Universite Grenoble Alpes (UGA); Centre National de la Recherche Scientifique (CNRS); Institut de Recherche pour le Developpement (IRD); University of Bern; University of Bern; CEA; Centre National de la Recherche Scientifique (CNRS); Universite Paris Saclay; Universite Paris Cite; Australian Antarctic Division; University of Tasmania; University of Colorado System; University of Colorado Boulder</t>
  </si>
  <si>
    <t>Capron, E (corresponding author), Univ Copenhagen, Niels Bohr Inst, Phys Ice Climate &amp; Earth, Tagensvej 16, Copenhagen, Denmark.;Capron, E (corresponding author), Univ Grenoble Alpes, IRD, IGE, CNRS, Grenoble, France.</t>
  </si>
  <si>
    <t>emilie.capron@univ-grenoble-alpes.fr</t>
  </si>
  <si>
    <t>White, James W.C./A-7845-2009; Rasmussen, Sune/B-5560-2008; Rasmussen, Sune Olander/AAA-3190-2021; Svensson, Anders/A-2643-2010; Erhardt, Tobias/C-4589-2019; Capron, Emilie/ITU-2672-2023; Fischer, Hubertus/A-1211-2014; Gkinis, Vasileios/E-8185-2011; Pedro, Dr Joel B./M-5632-2014</t>
  </si>
  <si>
    <t>Rasmussen, Sune Olander/0000-0002-4177-3611; Svensson, Anders/0000-0002-4364-6085; Erhardt, Tobias/0000-0002-6683-6746; Vettoretti, Guido/0000-0002-0272-0488; Fischer, Hubertus/0000-0002-2787-4221; Gkinis, Vasileios/0000-0002-5910-1549; Vinther, Bo/0000-0002-6078-771X; VAUGHN, BRUCE/0000-0001-6503-957X; Capron, Emilie/0000-0003-0784-1884; Pedro, Dr Joel B./0000-0002-0728-2712</t>
  </si>
  <si>
    <t>European Union [600207]; Carlsberg Foundation; National Research Agency under the Programme d'Investissements d'Avenir through the Make Our Planet Great Again HOTCLIM project [ANR-19-MPGA-0001]; Swiss National Science Foundation (SNF) [172506, 159563, 137635, 119612, 63333]; Australian Government; European Research Council under European Union [610055]; Denmark (SNF); Germany (AWI); Iceland (RannIs); Japan (MEXT); Sweden (SPRS); Switzerland (SNF); USA (NSF, Office of Polar Programs); Canada (NRCan/GSC); China (CAS); Denmark (FIST); Japan (NIPR); South Korea (KOPRI); The Netherlands (NWO/ALW); Sweden (VR); United Kingdom (NERC); USA (US NSF, Office of Polar Programs); EU Seventh Framework programme Past4Future; EU Seventh Framework programme WaterundertheIce; France (IPEV); France (INSU/CNRS); Belgium (FNRS-CFB); Belgium (FWO); France (CNRS/INSU); France (CEA); France (ANR); Agence Nationale de la Recherche (ANR) [ANR-19-MPGA-0001] Funding Source: Agence Nationale de la Recherche (ANR)</t>
  </si>
  <si>
    <t>European Union(European Union (EU)); Carlsberg Foundation(Carlsberg Foundation); National Research Agency under the Programme d'Investissements d'Avenir through the Make Our Planet Great Again HOTCLIM project(Agence Nationale de la Recherche (ANR)); Swiss National Science Foundation (SNF)(Swiss National Science Foundation (SNSF)); Australian Government(Australian Government); European Research Council under European Union(European Research Council (ERC)); Denmark (SNF); Germany (AWI); Iceland (RannIs); Japan (MEXT)(Ministry of Education, Culture, Sports, Science and Technology, Japan (MEXT)); Sweden (SPRS); Switzerland (SNF); USA (NSF, Office of Polar Programs); Canada (NRCan/GSC)(Natural Resources Canada); China (CAS)(Chinese Academy of Sciences); Denmark (FIST)(Department of Science &amp; Technology (India)); Japan (NIPR); South Korea (KOPRI)(Korea Polar Research Institute of Marine Research Placement (KOPRI)); The Netherlands (NWO/ALW)(Netherlands Organization for Scientific Research (NWO)Netherlands Government); Sweden (VR)(Swedish Research Council); United Kingdom (NERC)(UK Research &amp; Innovation (UKRI)Natural Environment Research Council (NERC)); USA (US NSF, Office of Polar Programs); EU Seventh Framework programme Past4Future; EU Seventh Framework programme WaterundertheIce; France (IPEV); France (INSU/CNRS)(Centre National de la Recherche Scientifique (CNRS)); Belgium (FNRS-CFB)(Fonds de la Recherche Scientifique - FNRS); Belgium (FWO)(FWO); France (CNRS/INSU); France (CEA); France (ANR)(Agence Nationale de la Recherche (ANR)); Agence Nationale de la Recherche (ANR)(Agence Nationale de la Recherche (ANR))</t>
  </si>
  <si>
    <t>We are very grateful to Valerie Morris for her help performing the high-resolution NGRIP water isotope analyses at INSTAAR and to Thomas Stocker for his feedback on an early version of the manuscript. This paper is an outcome of the ANA-Clim (Anatomy and Nature of Abrupt Climate Changes) project funded by the European Union's Seventh Framework Programme for research and innovation under the Marie Sklodowska-Curie grant agreement no. 600207, and the ChronoClimate project funded by the Carlsberg Foundation. This work also benefited from the financial support of the French state managed by the National Research Agency under the Programme d'Investissements d'Avenir through the Make Our Planet Great Again HOTCLIM project (ANR-19-MPGA-0001). T.E. and H.F. gratefully acknowledge the long-term support of ice-core sciences at the University of Bern by the Swiss National Science Foundation (SNF grant nos. 172506, 159563, 137635, 119612, 63333). J.B.P. received grant funding from the Australian Government. Research leading to these results benefit from the discussion as part of the ice2ice project funded by the European Research Council under the European Union's Seventh Framework Programme (FP7/2007-2013)/ERC grant agreement 610055. NGRIP was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(SNF), and the USA (NSF, Office of Polar Programs). NEEM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USA (US NSF, Office of Polar Programs) and the EU Seventh Framework programmes Past4Future and WaterundertheIce.</t>
  </si>
  <si>
    <t>APR 8</t>
  </si>
  <si>
    <t>10.1038/s41467-021-22241-w</t>
  </si>
  <si>
    <t>RL8GY</t>
  </si>
  <si>
    <t>WOS:000639205600005</t>
  </si>
  <si>
    <t>Wang, YT; Hou, YH; Wang, QF</t>
  </si>
  <si>
    <t>Wang, Yatong; Hou, Yanhua; Wang, Quanfu</t>
  </si>
  <si>
    <t>Cloning, Expression, Characterization, and Antioxidant Protection of Glutaredoxin3 From Psychrophilic Bacterium Psychrobacter sp. ANT206</t>
  </si>
  <si>
    <t>antarctic; cold-adapted; expression; homology modeling; site-directed mutagenesis; antioxidant protection</t>
  </si>
  <si>
    <t>Glutaredoxins (Grxs) are proteins that catalyze the glutathione (GSH)-dependent reduction of protein disulfides. In this study, a Grx-related gene (264 bp), encoding a Ps-Grx3, was cloned from Psychrobacter sp. ANT206. Sequence analysis indicated the presence of the active site motif CPYC in this protein. Homology modeling showed that Ps-Grx3 had fewer hydrogen bonds and salt bridges, as well as a lower Arg/(Arg + Lys) ratio than its mesophilic homologs, indicative of an improved catalytic ability at low temperatures. Site-directed mutagenesis demonstrated that the Cys13, Pro14, and Cys16 sites were essential for the catalytic activity of Ps-Grx3, while circular dichroism (CD) spectroscopy confirmed that point mutations in these amino acid residues led to the loss or reduction of enzyme activity. Furthermore, analysis of the biochemical properties of Ps-Grx3 showed that the optimum temperature of this enzyme was 25 degrees C. Importantly, Ps-Grx3 was more sensitive to tBHP and CHP than to H2O2, and retained approximately 40% activity even when the H2O2 concentration was increased to 1 mm Regarding substrate specificity, Ps-Grx3 had a higher affinity for HED, L-cystine, and DHA than for S-sulfocysteine and BSA. We also investigated the DNA-protective ability of Ps-Grx3 using the pUC19 plasmid, and found that Ps-Grx3 could protect supercoiled DNA from oxidation-induced damage at 15 degrees C for 1.5 h. This study provides new insights into the structure and catalytic activity of a cold-adapted Grx3.</t>
  </si>
  <si>
    <t>[Wang, Yatong; Wang, Quanfu] Harbin Inst Technol, Sch Environm, Harbin, Peoples R China; [Hou, Yanhua; Wang, Quanfu] Harbin Inst Technol, Sch Marine Sci &amp; Technol, Weihai, Peoples R China</t>
  </si>
  <si>
    <t>Harbin Institute of Technology; Harbin Institute of Technology</t>
  </si>
  <si>
    <t>Wang, QF (corresponding author), Harbin Inst Technol, Sch Environm, Harbin, Peoples R China.;Hou, YH; Wang, QF (corresponding author), Harbin Inst Technol, Sch Marine Sci &amp; Technol, Weihai, Peoples R China.</t>
  </si>
  <si>
    <t>houyanhuahit@hit.edu.cn; wangquanfuhit@hit.edu.cn</t>
  </si>
  <si>
    <t>wang, yatong/KDN-3824-2024</t>
  </si>
  <si>
    <t>National Natural Science Foundation of China, China [41876149]; Key Research and Development Plan of Shandong Province, China [2019GHY112031]; Natural Science Foundation of Shandong Province, China [ZR2019MD018]; Teaching and Research Program of Harbin Institute of Technology at Weihai [BKJ201902]</t>
  </si>
  <si>
    <t>National Natural Science Foundation of China, China(National Natural Science Foundation of China (NSFC)); Key Research and Development Plan of Shandong Province, China; Natural Science Foundation of Shandong Province, China(Natural Science Foundation of Shandong Province); Teaching and Research Program of Harbin Institute of Technology at Weihai</t>
  </si>
  <si>
    <t>This work was supported by the National Natural Science Foundation of China, China (41876149), the Key Research and Development Plan of Shandong Province, China (2019GHY112031), the Natural Science Foundation of Shandong Province, China (ZR2019MD018), and the Teaching and Research Program of Harbin Institute of Technology at Weihai (BKJ201902).</t>
  </si>
  <si>
    <t>10.3389/fmicb.2021.633362</t>
  </si>
  <si>
    <t>RQ0CS</t>
  </si>
  <si>
    <t>WOS:000642088500001</t>
  </si>
  <si>
    <t>Beem, LH; Young, DA; Greenbaum, JS; Blankenship, DD; Cavitte, MGP; Guo, JX; Bo, S</t>
  </si>
  <si>
    <t>Beem, Lucas H.; Young, Duncan A.; Greenbaum, Jamin S.; Blankenship, Donald D.; Cavitte, Marie G. P.; Guo, Jingxue; Bo, Sun</t>
  </si>
  <si>
    <t>Aerogeophysical characterization of Titan Dome, East Antarctica, and potential as an ice core target</t>
  </si>
  <si>
    <t>Based on sparse data, Titan Dome has been identified as having a higher probability of containing ice that would capture the middle Pleistocene transition (1.25 to 0.7 Ma). New aerogeophysical observations (radar and laser altimetry) collected over Titan Dome, located about 200 km from the South Pole within the East Antarctic Ice Sheet, were used to characterize the region (e.g., geometry, internal structure, bed reflectivity, and flow history) and assess its suitability as a paleoclimate ice core site. The radar coupled with an available ice core chronology enabled the tracing of dated internal reflecting horizons throughout the region, which also served as constraints on basal ice age modeling. The results of the survey revealed new basal topographic detail and better constrain the ice topographical location of Titan Dome, which differs between community datasets. Titan Dome is not expected to be relevant to the study of the middle Pleistocene transition due to a combination of past fast flow dynamics, the basal ice likely being too young, and the temporal resolution likely being too coarse if 1 Ma ice were to exist.</t>
  </si>
  <si>
    <t>[Beem, Lucas H.] Montana State Univ, Dept Earth Sci, Bozeman, MT 59717 USA; [Young, Duncan A.; Greenbaum, Jamin S.; Blankenship, Donald D.] Univ Texas Austin, Inst Geophys, Austin, TX 78758 USA; [Cavitte, Marie G. P.] Catholic Univ Louvain, Georges Lemaitre Ctr Earth &amp; Climate Res, Earth &amp; Life Inst, Pl Louis Pasteur, B-1348 Louvain, Belgium; [Guo, Jingxue; Bo, Sun] Polar Res Inst China, Shanghai 200136, Peoples R China</t>
  </si>
  <si>
    <t>Montana State University System; Montana State University Bozeman; University of Texas System; University of Texas Austin; Universite Catholique Louvain; Polar Research Institute of China</t>
  </si>
  <si>
    <t>Beem, LH (corresponding author), Montana State Univ, Dept Earth Sci, Bozeman, MT 59717 USA.</t>
  </si>
  <si>
    <t>lucas.beem@montana.edu</t>
  </si>
  <si>
    <t>BO, SATHIVEL MURUGAN/AAE-2897-2022; Blankenship, Donald D./G-5935-2010; Young, Duncan/G-6256-2010</t>
  </si>
  <si>
    <t>Greenbaum, Jamin Stevens/0000-0002-0745-7113; Cavitte, Marie/0000-0002-5777-0933; Young, Duncan/0000-0002-6866-8176</t>
  </si>
  <si>
    <t>National Science Foundation, Office of Polar Programs [1443690]; G. Unger Vetlesen Foundation; National Natural Science Foundation of China [41876227]; National Key Research and Development Program of China [2018YFB1307504]; Directorate For Geosciences; Office of Polar Programs (OPP) [1443690] Funding Source: National Science Foundation</t>
  </si>
  <si>
    <t>National Science Foundation, Office of Polar Programs(National Science Foundation (NSF)NSF - Directorate for Geosciences (GEO)); G. Unger Vetlesen Foundation; National Natural Science Foundation of China(National Natural Science Foundation of China (NSFC)); National Key Research and Development Program of China; Directorate For Geosciences; Office of Polar Programs (OPP)(National Science Foundation (NSF)NSF - Directorate for Geosciences (GEO))</t>
  </si>
  <si>
    <t>This research has been supported by the National Science Foundation, Office of Polar Programs (grant no. 1443690), the G. Unger Vetlesen Foundation, the National Natural Science Foundation of China (grant no. 41876227), and the National Key Research and Development Program of China (grant no. 2018YFB1307504).</t>
  </si>
  <si>
    <t>10.5194/tc-15-1719-2021</t>
  </si>
  <si>
    <t>RL5HJ</t>
  </si>
  <si>
    <t>WOS:000639003800001</t>
  </si>
  <si>
    <t>Cakil, ZV; Garlasché, G; Iakovenko, N; Di Cesare, A; Eckert, EM; Guidetti, R; Hamdan, L; Janko, K; Lukashanets, D; Rebecchi, L; Schiaparelli, S; Sforzi, T; Kasparová, ES; Velasco-Castrillón, A; Walsh, EJ; Fontaneto, D; Fraser, C</t>
  </si>
  <si>
    <t>Cakil, Zeyneb Vildan; Garlasche, Giuseppe; Iakovenko, Nataliia; Di Cesare, Andrea; Eckert, Ester M.; Guidetti, Roberto; Hamdan, Lina; Janko, Karel; Lukashanets, Dzmitry; Rebecchi, Lorena; Schiaparelli, Stefano; Sforzi, Tommaso; Kasparova, Eva Stefkova; Velasco-Castrillon, Alejandro; Walsh, Elizabeth J.; Fontaneto, Diego; Fraser, Ceridwen</t>
  </si>
  <si>
    <t>Comparative phylogeography reveals consistently shallow genetic diversity in a mitochondrial marker in Antarctic bdelloid rotifers</t>
  </si>
  <si>
    <t>JOURNAL OF BIOGEOGRAPHY</t>
  </si>
  <si>
    <t>diversification; endemism; meiofauna; polar regions; population genetics; Rotifera</t>
  </si>
  <si>
    <t>SUBSTITUTION RATES; CLIMATE-CHANGE; LIFE-HISTORY; BIOGEOGRAPHY; EVOLUTION; VARIABILITY; SCALE</t>
  </si>
  <si>
    <t>Aim The long history of isolation of the Antarctic continent, coupled with the harsh ecological conditions of freezing temperatures, could affect the patterns of genetic diversity in the organisms living there. We aim (a) to test whether such pattern can be seen in a mitochondrial marker of bdelloid rotifers, a group of microscopic aquatic and limno-terrestrial animals and (b) to speculate on the potential mechanisms driving the pattern. Location Focus on Antarctica. Taxon Rotifera Bdelloidea. Methods We analysed different metrics of genetic diversity, also spatially explicit ones, including number of haplotypes, accumulation curves, genetic distances, time to the most recent common ancestor, number of independently evolving units from DNA taxonomy, strength of the correlation between geographical and genetic distances, population genetics neutrality and differentiation indices, potential historical processes, obtained from an extensive sample of cytochrome oxidase subunit I (COI) sequences obtained from bdelloid rotifers. We included 2242 individuals from 23 species in a comparison between Antarctic and non-Antarctic taxa, correcting for sample size directly in the analyses and then by confirming the results also using only a restricted dataset of nine well-sampled species. Results Antarctic species had consistently lower genetic diversity and potential younger relative age than non-Antarctic species, even if they were similar in sample size, geographical extent, neutrality and differentiation indices, and correlation between genetic and geographical distances. Main conclusions The extensive survey of genetic diversity in one mitochondrial marker in Antarctic bdelloids supports previous suggestions from other organisms that the origin and maintenance of terrestrial Antarctic fauna are different from those of other continents. Such differences could be speculated to be due, in the case of bdelloid rotifers, to the more recent origin of the species living there in comparison to non-Antarctic species.</t>
  </si>
  <si>
    <t>[Cakil, Zeyneb Vildan; Garlasche, Giuseppe; Di Cesare, Andrea; Eckert, Ester M.; Sforzi, Tommaso; Fontaneto, Diego] Natl Res Council Italy, Water Res Inst CNRS IRSA, Mol Ecol Grp MEG, Largo Tonolli 50, I-28922 Verbania, Italy; [Cakil, Zeyneb Vildan] Middle East Tech Univ, Dept Mol Biol &amp; Genet, Ankara, Turkey; [Iakovenko, Nataliia] Czech Univ Life Sci Prague, Fac Forestry &amp; Wood Sci, Dept Game Management &amp; Wildlife Biol, Prague, Czech Republic; [Iakovenko, Nataliia; Janko, Karel] Univ Ostrava, Fac Sci, Dept Biol &amp; Ecol, Ostrava, Czech Republic; [Iakovenko, Nataliia; Janko, Karel; Kasparova, Eva Stefkova] Inst Anim Physiol &amp; Genet AS CR, Lab Fish Genet, Libechov, Czech Republic; [Guidetti, Roberto; Rebecchi, Lorena] Univ Modena &amp; Reggio Emilia, Dept Life Sci, Modena, Italy; [Hamdan, Lina; Walsh, Elizabeth J.] Univ Texas El Paso, Dept Biol Sci, El Paso, TX 79968 USA; [Lukashanets, Dzmitry] Klaipeda Univ, Res Inst, Klaipeda, Lithuania; [Schiaparelli, Stefano] Univ Genoa, Dept Earth Environm &amp; Life Sci DISTAV, Genoa, Italy; [Schiaparelli, Stefano] Univ Genoa, Sect Genoa, Italian Natl Antarctic Museum MNA, Genoa, Italy; [Kasparova, Eva Stefkova] Czech Univ Life Sci Prague, Fac Agrobiol Food &amp; Nat Resources, Dept Genet &amp; Breeding, Prague, Czech Republic; [Velasco-Castrillon, Alejandro] South Australian Museum, Adelaide, SA, Australia</t>
  </si>
  <si>
    <t>Consiglio Nazionale delle Ricerche (CNR); Middle East Technical University; Czech University of Life Sciences Prague; University of Ostrava; Czech Academy of Sciences; Institute of Animal Physiology &amp; Genetics of the Czech Academy of Sciences; Universita di Modena e Reggio Emilia; University of Texas System; University of Texas El Paso; Klaipeda University; University of Genoa; University of Genoa; Czech University of Life Sciences Prague; South Australian Museum</t>
  </si>
  <si>
    <t>Fontaneto, D (corresponding author), Natl Res Council Italy, Water Res Inst CNRS IRSA, Mol Ecol Grp MEG, Largo Tonolli 50, I-28922 Verbania, Italy.</t>
  </si>
  <si>
    <t>diego.fontaneto@cnr.it</t>
  </si>
  <si>
    <t>Di Cesare, Andrea/P-5157-2016; Eckert, Ester M/J-5989-2014; Kasparova, Eva/G-7184-2014; Walsh, Elizabeth/AAK-4653-2020; Fontaneto, Diego/B-9710-2008; Iakovenko, Nataliia/S-6462-2018; Rebecchi, Lorena/E-1653-2015</t>
  </si>
  <si>
    <t>Walsh, Elizabeth/0000-0002-6719-6883; Fontaneto, Diego/0000-0002-5770-0353; Iakovenko, Nataliia/0000-0003-4458-9884; CAKIL, Zeyneb Vildan/0009-0004-5998-6393; Rebecchi, Lorena/0000-0001-5610-806X</t>
  </si>
  <si>
    <t>Italian National Antarctic Research Program (PNRA) [2013/AZ1.13, PNRA16_00120-A1]; US National Science Foundation [DEB 0516032]; Neuron Endowment Fund; Czech project EVA4.0 - OP RDE [CZ.02.1.01/0.0/0.0/16_019/0000803]</t>
  </si>
  <si>
    <t>Italian National Antarctic Research Program (PNRA)(Ministry of Education, Universities and Research (MIUR)); US National Science Foundation(National Science Foundation (NSF)); Neuron Endowment Fund; Czech project EVA4.0 - OP RDE</t>
  </si>
  <si>
    <t>Funding was obtained through the Italian National Antarctic Research Program (PNRA, www.pnra.it) projects 2013/AZ1.13 to LR and PNRA16_00120-A1 (TNB-CODE) to SS and US National Science Foundation DEB 0516032 to EJW; sampling was partially supported by Neuron Endowment Fund to KJ; NI was supported by the Czech project EVA4.0 No. CZ.02.1.01/0.0/0.0/16_019/0000803 financed by OP RDE. We thank Michael Plewka for the photo of the Antarctic bdelloid, and all the logistic support we received to sample bdelloids in Antarctica. Sampling permits in Antarctica were obtained through the national reference contact points of the different countries of the authors, especially for samples from Antarctic Specially Protected Areas (ASPAs) and Antarctic Specially Managed Areas (ASMAs). No permits for Nagoya protocols were needed as the samples came from the national supervised areas by the authors, according to the Antarctic Treaty system. Collections from USA were taken under permits to EJW (Big Bend National Park, permit #BIBE-2006-SCI-0003; Guadalupe Mountains National Park, permit #GUMO-2009-SCI-0009; Carlsbad Caverns National Park, permit #CAVE-2008-SCI-0005; Balmorhea State Park, Texas Parks and Wildlife Department, permit #02-04). Collections from Mexico (Ojo de la Punta, Ojo de Santa Maria B, Ojo de en Medio, Poza Tortugas, and Manantial San Sebastian) were taken under a permit to Dr. Marcelo Silva Briano (permit #DGOPA/16216/281105-07984).</t>
  </si>
  <si>
    <t>0305-0270</t>
  </si>
  <si>
    <t>1365-2699</t>
  </si>
  <si>
    <t>J BIOGEOGR</t>
  </si>
  <si>
    <t>J. Biogeogr.</t>
  </si>
  <si>
    <t>10.1111/jbi.14116</t>
  </si>
  <si>
    <t>Ecology; Geography, Physical</t>
  </si>
  <si>
    <t>Environmental Sciences &amp; Ecology; Physical Geography</t>
  </si>
  <si>
    <t>TA1OD</t>
  </si>
  <si>
    <t>WOS:000637788400001</t>
  </si>
  <si>
    <t>Mair, L; Bennun, LA; Brooks, TM; Butchart, SHM; Bolam, FC; Burgess, ND; Ekstrom, JMM; Milner-Gulland, EJ; Hoffmann, M; Ma, KP; Macfarlane, NBW; Raimondo, DC; Rodrigues, ASL; Shen, XL; Strassburg, BBN; Beatty, CR; Gómez-Creutzberg, C; Iribarrem, A; Irmadhiany, M; Lacerda, E; Mattos, BC; Parakkasi, K; Tognelli, MF; Bennett, EL; Bryan, C; Carbone, G; Chaudhary, A; Eiselin, M; da Fonseca, GAB; Galt, R; Geschke, A; Glew, L; Goedicke, R; Green, JMH; Gregory, RD; Hill, SLL; Hole, DG; Hughes, J; Hutton, J; Keijzer, MPW; Navarro, LM; Lughadha, EN; Plumptre, AJ; Puydarrieux, P; Possingham, HP; Rankovic, A; Regan, EC; Rondinini, C; Schneck, JD; Siikamäki, J; Sendashonga, C; Seutin, G; Sinclair, S; Skowno, AL; Soto-Navarro, CA; Stuart, SN; Temple, HJ; Vallier, A; Verones, F; Viana, LR; Watson, J; Bezeng, S; Böhm, M; Burfield, IJ; Clausnitzer, V; Clubbe, C; Cox, NA; Freyhof, J; Gerber, LR; Hilton-Taylor, C; Jenkins, R; Joolia, A; Joppa, LN; Koh, LP; Lacher, TE; Langhammer, PF; Long, B; Mallon, D; Pacifici, M; Polidoro, BA; Pollock, CM; Rivers, MC; Roach, NS; Rodríguez, JP; Smart, J; Young, BE; Hawkins, F; McGowan, PJK</t>
  </si>
  <si>
    <t>Mair, Louise; Bennun, Leon A.; Brooks, Thomas M.; Butchart, Stuart H. M.; Bolam, Friederike C.; Burgess, Neil D.; Ekstrom, Jonathan M. M.; Milner-Gulland, E. J.; Hoffmann, Michael; Ma, Keping; Macfarlane, Nicholas B. W.; Raimondo, Domitilla C.; Rodrigues, Ana S. L.; Shen, Xiaoli; Strassburg, Bernardo B. N.; Beatty, Craig R.; Gomez-Creutzberg, Carla; Iribarrem, Alvaro; Irmadhiany, Meizani; Lacerda, Eduardo; Mattos, Bianca C.; Parakkasi, Karmila; Tognelli, Marcelo F.; Bennett, Elizabeth L.; Bryan, Catherine; Carbone, Giulia; Chaudhary, Abhishek; Eiselin, Maxime; da Fonseca, Gustavo A. B.; Galt, Russell; Geschke, Arne; Glew, Louise; Goedicke, Romie; Green, Jonathan M. H.; Gregory, Richard D.; Hill, Samantha L. L.; Hole, David G.; Hughes, Jonathan; Hutton, Jonathan; Keijzer, Marco P. W.; Navarro, Laetitia M.; Nic Lughadha, Eimear; Plumptre, Andrew J.; Puydarrieux, Philippe; Possingham, Hugh P.; Rankovic, Aleksandar; Regan, Eugenie C.; Rondinini, Carlo; Schneck, Joshua D.; Siikamaki, Juha; Sendashonga, Cyriaque; Seutin, Gilles; Sinclair, Sam; Skowno, Andrew L.; Soto-Navarro, Carolina A.; Stuart, Simon N.; Temple, Helen J.; Vallier, Antoine; Verones, Francesca; Viana, Leonardo R.; Watson, James; Bezeng, Simeon; Bohm, Monika; Burfield, Ian J.; Clausnitzer, Viola; Clubbe, Colin; Cox, Neil A.; Freyhof, Joerg; Gerber, Leah R.; Hilton-Taylor, Craig; Jenkins, Richard; Joolia, Ackbar; Joppa, Lucas N.; Koh, Lian Pin; Lacher, Thomas E., Jr.; Langhammer, Penny F.; Long, Barney; Mallon, David; Pacifici, Michela; Polidoro, Beth A.; Pollock, Caroline M.; Rivers, Malin C.; Roach, Nicolette S.; Rodriguez, Jon Paul; Smart, Jane; Young, Bruce E.; Hawkins, Frank; McGowan, Philip J. K.</t>
  </si>
  <si>
    <t>A metric for spatially explicit contributions to science-based species targets</t>
  </si>
  <si>
    <t>NATURE ECOLOGY &amp; EVOLUTION</t>
  </si>
  <si>
    <t>RED LIST INDEXES; BIODIVERSITY CONSERVATION; THREATS; AREAS</t>
  </si>
  <si>
    <t>The species threat abatement and restoration (STAR) metric quantifies the contributions that abating threats and restoring habitats offer towards reducing species' extinction risk in specific places. The Convention on Biological Diversity's post-2020 Global Biodiversity Framework will probably include a goal to stabilize and restore the status of species. Its delivery would be facilitated by making the actions required to halt and reverse species loss spatially explicit. Here, we develop a species threat abatement and restoration (STAR) metric that is scalable across species, threats and geographies. STAR quantifies the contributions that abating threats and restoring habitats in specific places offer towards reducing extinction risk. While every nation can contribute towards halting biodiversity loss, Indonesia, Colombia, Mexico, Madagascar and Brazil combined have stewardship over 31% of total STAR values for terrestrial amphibians, birds and mammals. Among actions, sustainable crop production and forestry dominate, contributing 41% of total STAR values for these taxonomic groups. Key Biodiversity Areas cover 9% of the terrestrial surface but capture 47% of STAR values. STAR could support governmental and non-state actors in quantifying their contributions to meeting science-based species targets within the framework.</t>
  </si>
  <si>
    <t>[Mair, Louise; Bolam, Friederike C.; McGowan, Philip J. K.] Newcastle Univ, Sch Nat &amp; Environm Sci, Newcastle Upon Tyne, Tyne &amp; Wear, England; [Bennun, Leon A.; Ekstrom, Jonathan M. M.; Temple, Helen J.] Biodivers Consultancy, Cambridge, England; [Bennun, Leon A.; Butchart, Stuart H. M.; Plumptre, Andrew J.] Univ Cambridge, Dept Zool, Cambridge, England; [Brooks, Thomas M.; Carbone, Giulia; Puydarrieux, Philippe; Sendashonga, Cyriaque; Smart, Jane] IUCN, Gland, Switzerland; [Brooks, Thomas M.] Univ Philippines Los Banos, World Agroforestry Ctr ICRAF, Los Banos, Laguna, Philippines; [Brooks, Thomas M.] Univ Tasmania, Inst Marine &amp; Antarctic Studies, Hobart, Tas, Australia; [Butchart, Stuart H. M.; Burfield, Ian J.] BirdLife Int, Cambridge, England; [Bolam, Friederike C.; Burgess, Neil D.; Hill, Samantha L. L.; Hughes, Jonathan; Regan, Eugenie C.; Soto-Navarro, Carolina A.] World Conservat Monitoring Ctr UNEP WCMC, United Nations Environm Programme, Cambridge, England; [Burgess, Neil D.] Univ Copenhagen, GLOBE Inst, Copenhagen, Denmark; [Milner-Gulland, E. J.] Univ Oxford, Dept Zool, Oxford, England; [Hoffmann, Michael; Bohm, Monika] Zool Soc London, London, England; [Ma, Keping; Shen, Xiaoli] Chinese Acad Sci, Inst Bot, State Key Lab Vegetat &amp; Environm Change, Beijing, Peoples R China; [Macfarlane, Nicholas B. W.; Beatty, Craig R.; Schneck, Joshua D.; Siikamaki, Juha; Hawkins, Frank] IUCN, Washington, DC USA; [Raimondo, Domitilla C.; Skowno, Andrew L.] South African Natl Biodivers Inst, Pretoria, South Africa; [Raimondo, Domitilla C.] IUCN Species Survival Commiss, Pretoria, South Africa; [Rodrigues, Ana S. L.] Univ Montpellier, CNRS, CEFE, EPHE,IRD, Montpellier, France; [Strassburg, Bernardo B. N.; Iribarrem, Alvaro] Pontificia Univ Catolica Rio de Janeiro, Dept Geog &amp; Environm, Rio Conservat &amp; Sustainabil Sci Ctr, Rio de Janeiro, Brazil; [Strassburg, Bernardo B. N.; Iribarrem, Alvaro; Lacerda, Eduardo] Int Inst Sustainabil, Rio De Janeiro, Brazil; [Beatty, Craig R.; Glew, Louise] World Wildlife Fund, Washington, DC USA; [Gomez-Creutzberg, Carla] IUCN, San Jose, Costa Rica; [Irmadhiany, Meizani; Parakkasi, Karmila] PT Royal Lestari Utama, Jakarta, Indonesia; [Lacerda, Eduardo] Fluminense Fed Univ, Niteroi, RJ, Brazil; [Mattos, Bianca C.] SSC Post 2020 Biodivers Task Force, Seville, Spain; [Tognelli, Marcelo F.; Hole, David G.; Viana, Leonardo R.; Cox, Neil A.] Conservat Int, Arlington, VA USA; [Tognelli, Marcelo F.; Cox, Neil A.] IUCN Conservat Int Biodivers Assessment Unit, Washington, DC USA; [Bennett, Elizabeth L.; Watson, James] Wildlife Conservat Soc, New York, NY USA; [Bryan, Catherine; Stuart, Simon N.] Synchron Earth, London, England; [Chaudhary, Abhishek] Indian Inst Technol IIT Kanpur, Kanpur, Uttar Pradesh, India; [Eiselin, Maxime; Goedicke, Romie; Keijzer, Marco P. W.] IUCN Natl Comm Netherlands, Amsterdam, Netherlands; [da Fonseca, Gustavo A. B.] Global Environm Facil, Washington, DC USA; [Galt, Russell; Hilton-Taylor, Craig; Jenkins, Richard; Joolia, Ackbar; Pollock, Caroline M.] IUCN, Cambridge, England; [Geschke, Arne] Univ Sydney, Sch Phys, Integrated Sustainabil Anal, Sydney, NSW, Australia; [Green, Jonathan M. H.] Univ York, Stockholm Environm Inst York, Dept Environm &amp; Geog, York, N Yorkshire, England; [Gregory, Richard D.] RSPB, Sandy, Beds, England; [Gregory, Richard D.] UCL, Dept Genet Evolut &amp; Environm, Ctr Biodivers &amp; Environm Res, London, England; [Hutton, Jonathan; Soto-Navarro, Carolina A.] Luc Hoffmann Inst, Gland, Switzerland; [Navarro, Laetitia M.] German Ctr Integrat Biodivers Res iDiv, Leipzig, Germany; [Navarro, Laetitia M.] Martin Luther Univ Halle Wittenberg, Inst Biol, Halle, Germany; [Nic Lughadha, Eimear; Clubbe, Colin] Royal Bot Gardens, Conservat Sci Dept, London, England; [Plumptre, Andrew J.] BirdLife Int, Key Biodivers Areas Secretariat, Cambridge, England; [Possingham, Hugh P.] Nature Conservancy, 1815 N Lynn St, Arlington, VA USA; [Possingham, Hugh P.; Watson, James] Univ Queensland, Brisbane, Qld, Australia; [Rankovic, Aleksandar] Sci Po, Inst Sustainable Dev &amp; Int Relat, Paris, France; [Regan, Eugenie C.] Springer Nat, London, England; [Rondinini, Carlo; Pacifici, Michela] Sapienza Univ Roma, Global Mammal Assessment Programme, Dipartimento Biol &amp; Biotecnol Charles Darwin, Rome, Italy; [Seutin, Gilles] Parks Canada, Gatineau, PQ, Canada; [Sinclair, Sam] Biodiversify, Newark, England; [Skowno, Andrew L.] Univ Cape Town, Dept Biol Sci, Cape Town, South Africa; [Stuart, Simon N.] IUCN Species Survival Commiss, Bath, Avon, England; [Stuart, Simon N.] A Rocha Int, London, England; [Vallier, Antoine] CDC Biodivers, Paris, France; [Verones, Francesca] Norwegian Univ Sci &amp; Technol NTNU, Ind Ecol Programme, Trondheim, Norway; [Viana, Leonardo R.] Sustainable Forestry Initiat Inc, Washington, DC USA; [Bezeng, Simeon] BirdLife South Africa, Johannesburg, South Africa; [Bezeng, Simeon] Univ Johannesburg, Dept Geog Environm Management &amp; Energy Studies, Johannesburg, South Africa; [Clausnitzer, Viola] Senckenberg Res Inst, Goerlitz, Germany; [Freyhof, Joerg] Leibniz Inst Evolut &amp; Biodivers Sci, Museum Naturkunde, Berlin, Germany; [Gerber, Leah R.; Polidoro, Beth A.] Arizona State Univ, Ctr Biodivers Outcomes, Tempe, AZ USA; [Joppa, Lucas N.] Microsoft, Redmond, WA USA; [Koh, Lian Pin] Natl Univ Singapore, Dept Biol Sci, Singapore, Singapore; [Lacher, Thomas E., Jr.; Roach, Nicolette S.] Texas A&amp;M Univ, Dept Ecol &amp; Conservat Biol, College Stn, TX USA; [Lacher, Thomas E., Jr.; Langhammer, Penny F.; Long, Barney; Roach, Nicolette S.] Global Wildlife Conservat, Austin, TX USA; [Langhammer, Penny F.] Arizona State Univ, Sch Life Sci, Tempe, AZ USA; [Mallon, David] Manchester Metropolitan Univ, Manchester, Lancs, England; [Polidoro, Beth A.] Arizona State Univ, Sch Math &amp; Nat Sci, Glendale, AZ USA; [Rivers, Malin C.] Bot Gardens Conservat Int, Richmond, Surrey, England; [Rodriguez, Jon Paul] IUCN Species Survival Commiss, Caracas, Venezuela; [Rodriguez, Jon Paul] Venezuelan Inst Sci Invest IVIC, Caracas, Venezuela; [Rodriguez, Jon Paul] Provita, Caracas, Venezuela; [Young, Bruce E.] NatureServe, Arlington, VA USA</t>
  </si>
  <si>
    <t>Newcastle University - UK; University of Cambridge; University of the Philippines System; University of the Philippines Los Banos; CGIAR; World Agroforestry (ICRAF); University of Tasmania; BirdLife International; United Nations Environment Programme; University of Copenhagen; University of Oxford; Zoological Society of London; Chinese Academy of Sciences; Institute of Botany, CAS; South African National Biodiversity Institute; Universite PSL; Ecole Pratique des Hautes Etudes (EPHE); Institut Agro; Montpellier SupAgro; CIRAD; Centre National de la Recherche Scientifique (CNRS); Institut de Recherche pour le Developpement (IRD); Universite Paul-Valery; Universite de Montpellier; Pontificia Universidade Catolica do Rio de Janeiro; World Wildlife Fund; Universidade Federal Fluminense; Conservation International; Wildlife Conservation Society; Indian Institute of Technology System (IIT System); Indian Institute of Technology (IIT) - Kanpur; University of Sydney; University of York - UK; Royal Society for Protection of Birds; University of London; University College London; Martin Luther University Halle Wittenberg; Royal Botanic Gardens, Kew; BirdLife International; Nature Conservancy; University of Queensland; Institut d'Etudes Politiques Paris (Sciences Po); Springer Nature; Sapienza University Rome; Parks Canada; University of Cape Town; Norwegian University of Science &amp; Technology (NTNU); University of Johannesburg; Senckenberg Gesellschaft fur Naturforschung (SGN); Leibniz Institut fur Evolutions und Biodiversitatsforschung; Arizona State University; Arizona State University-Tempe; Microsoft; National University of Singapore; Texas A&amp;M University System; Texas A&amp;M University College Station; Arizona State University; Arizona State University-Tempe; Manchester Metropolitan University; Arizona State University; Royal Botanic Gardens, Kew; Nature Conservancy</t>
  </si>
  <si>
    <t>Mair, L (corresponding author), Newcastle Univ, Sch Nat &amp; Environm Sci, Newcastle Upon Tyne, Tyne &amp; Wear, England.</t>
  </si>
  <si>
    <t>Louise.Mair@newcastle.ac.uk</t>
  </si>
  <si>
    <t>Watson, James Edward Maxwell/D-8779-2013; Possingham, Hugh/B-1337-2008; Rodrigues, Ana S.L./A-5914-2009; Skowno, Andrew/M-5196-2019; POSSINGHAM, HUGH/R-8310-2019; Rodrigues, Ana/GYQ-6273-2022; Böhm, Monika/E-1153-2018; Koh, Lian Pin/A-5794-2010; Rondinini, Carlo/E-9027-2011; Hole, David/Q-1692-2019; Mair, Louise/AAL-4986-2020; Rodriguez, Jon P/A-1491-2009; Rodriguez, Jon P/G-7224-2012; Geschke, Arne/AAM-7434-2020; Lughadha, Eimear M Nic/N-4560-2014; Butchart, Stuart HM/Y-2711-2018; Hoffmann, Michael/E-6419-2010; Navarro, Laetitia/U-1899-2017</t>
  </si>
  <si>
    <t>Watson, James Edward Maxwell/0000-0003-4942-1984; Possingham, Hugh/0000-0001-7755-996X; Rodrigues, Ana S.L./0000-0003-4775-0127; Skowno, Andrew/0000-0002-2726-7886; POSSINGHAM, HUGH/0000-0001-7755-996X; Koh, Lian Pin/0000-0001-8152-3871; Hole, David/0000-0001-9117-2956; Mair, Louise/0000-0002-7419-7200; Rodriguez, Jon P/0000-0001-5019-2870; Geschke, Arne/0000-0001-9193-5829; Brooks, Thomas/0000-0001-8159-3116; McGowan, Philip/0000-0001-8674-7444; Rondinini, Carlo/0000-0002-6617-018X; Hoffmann, Michael/0000-0003-4785-2254; Bolam, Friederike/0000-0002-2021-0828; Viana, Leonardo/0000-0003-4239-3992; Navarro, Laetitia/0000-0003-1099-5147; Gerber, Leah/0000-0002-6763-6842; Raimondo, Domitilla/0000-0003-3998-752X; Mattos, Bianca/0000-0002-5119-9481; Milner-Gulland, E.J./0000-0003-0324-2710; Ma, Keping/0000-0001-9112-5340; Bennun, Leon/0000-0002-1671-9402; Chaudhary, Abhishek/0000-0002-6602-7279</t>
  </si>
  <si>
    <t>Conservation International GEF Project Agency; Newcastle University; IUCN; National Research Foundation Singapore [NRF-RSS2019-007]; Rufford Foundation; 'Investissements d'Avenir' programme [ANR-10-LABX-14-01]; Luc Hoffmann Institute; Vulcan; Synchronicity Earth; Global Environment Facility</t>
  </si>
  <si>
    <t>Conservation International GEF Project Agency; Newcastle University; IUCN; National Research Foundation Singapore(National Research Foundation, Singapore); Rufford Foundation; 'Investissements d'Avenir' programme(Agence Nationale de la Recherche (ANR)); Luc Hoffmann Institute; Vulcan; Synchronicity Earth; Global Environment Facility</t>
  </si>
  <si>
    <t>We acknowledge funding from the Luc Hoffmann Institute, Vulcan, Synchronicity Earth and the Global Environment Facility, as well as support from the Conservation International GEF Project Agency. We thank L. Genasci (ADM Foundation) for providing technical guidance for the field tests, J. Deutsch for facilitating funding and R. Akcakaya for comments on the manuscript. L.M. is funded by Newcastle University and IUCN, L.P.K. by the National Research Foundation Singapore (NRF-RSS2019-007), M.B. by The Rufford Foundation and A.R. by the 'Investissements d'Avenir' programme, which is managed by the French National Research Agency (ANR-10-LABX-14-01).</t>
  </si>
  <si>
    <t>2397-334X</t>
  </si>
  <si>
    <t>NAT ECOL EVOL</t>
  </si>
  <si>
    <t>Nat. Ecol. Evol.</t>
  </si>
  <si>
    <t>10.1038/s41559-021-01432-0</t>
  </si>
  <si>
    <t>Ecology; Evolutionary Biology</t>
  </si>
  <si>
    <t>Environmental Sciences &amp; Ecology; Evolutionary Biology</t>
  </si>
  <si>
    <t>SM8EW</t>
  </si>
  <si>
    <t>Green Submitted, Green Accepted</t>
  </si>
  <si>
    <t>WOS:000638077600001</t>
  </si>
  <si>
    <t>Ibrion, M; Paltrinieri, N; Nejad, AR</t>
  </si>
  <si>
    <t>Ibrion, Michaela; Paltrinieri, Nicola; Nejad, Amir R.</t>
  </si>
  <si>
    <t>Learning from failures in cruise ship industry: The blackout of Viking Sky in Hustadvika, Norway</t>
  </si>
  <si>
    <t>ENGINEERING FAILURE ANALYSIS</t>
  </si>
  <si>
    <t>Engine failure; Cruise ship; Blackout; Viking Sky; Hustadvika-Norway; Learning; Marine accidents and Digital Twin</t>
  </si>
  <si>
    <t>This article brings to attention learning from the failure - blackout, loss of propulsion and near grounding - of Viking Sky cruise ship which occurred in Hustadvika, Norway, in March 2019. Failures and accidents in the cruise ship industry attract the global media and can severely impact reputation and business performance of companies and authorities involved. A system approach investigation and analysis - CAST - was employed with the aim to maximize learning from the Viking Sky's failure through a systematic approach and to contribute to failure reduction in the cruise ship industry. Three main recommendations emerged from this study: an overview of the accident or failure precursors and resilience indicators; safety recommendations for other cruise ships; lessons and strategies of actions for the increased cruise operations in the Arctic and Antarctic areas. It was found that several accident or failure precursors, for example, a low level of lubricating oil, the failure of a turbocharger, an inoperative large diesel generator, lack of functionality for safety equipment due to bad weather, and others precursors contributed to failure and highly critical situation encountered by Viking Sky in Hustadvika. Resilience indicators such as the master's immediate decision to launch mayday, the crew preparedness, and the way how the emergency situation was handled were found to have positive impacts on critical situation of Viking Sky. This article highlights also that adaptations and improvement of standards and regulations for harsh environmental conditions can play an important role in prevention of marine accidents. Furthermore, for a better understanding of correlation between environmental loads and their effects on machinery systems, digital solutions such as digital twin for condition monitoring of cruise ships in the Polar areas are seen as possible innovative solutions yet to be fully implemented in the marine industry.</t>
  </si>
  <si>
    <t>[Ibrion, Michaela; Paltrinieri, Nicola] Norwegian Univ Sci &amp; Technol, Dept Mech &amp; Ind Engn, NO-7491 Trondheim, Norway; [Nejad, Amir R.] Norwegian Univ Sci &amp; Technol, Dept Marine Technol, NO-7491 Trondheim, Norway</t>
  </si>
  <si>
    <t>Norwegian University of Science &amp; Technology (NTNU); Norwegian University of Science &amp; Technology (NTNU)</t>
  </si>
  <si>
    <t>Ibrion, M (corresponding author), Norwegian Univ Sci &amp; Technol, Dept Mech &amp; Ind Engn, NO-7491 Trondheim, Norway.</t>
  </si>
  <si>
    <t>Michaela.Ibrion@ntnu.no</t>
  </si>
  <si>
    <t>Nejad, Amir R./0000-0003-0391-8696; Ibrion, Michaela/0000-0002-2692-0038</t>
  </si>
  <si>
    <t>European Commission; Research Council of Norway [311502]</t>
  </si>
  <si>
    <t>European Commission(European Union (EU)European Commission Joint Research Centre); Research Council of Norway(Research Council of Norway)</t>
  </si>
  <si>
    <t>The first and last authors would like to acknowledge support from MarTERA - an ERA-NET Cofund scheme of Horizon 2020 of the European Commission - and the Research Council of Norway through the HealthProp project (Project No. 311502).</t>
  </si>
  <si>
    <t>1350-6307</t>
  </si>
  <si>
    <t>1873-1961</t>
  </si>
  <si>
    <t>ENG FAIL ANAL</t>
  </si>
  <si>
    <t>Eng. Fail. Anal.</t>
  </si>
  <si>
    <t>10.1016/j.engfailanal.2021.105355</t>
  </si>
  <si>
    <t>Engineering, Mechanical; Materials Science, Characterization &amp; Testing</t>
  </si>
  <si>
    <t>Engineering; Materials Science</t>
  </si>
  <si>
    <t>SU4PE</t>
  </si>
  <si>
    <t>WOS:000663120800004</t>
  </si>
  <si>
    <t>Shi, GT; Ma, HM; Zhu, ZY; Hu, ZY; Chen, ZL; Jiang, S; An, CL; Yu, JH; Ma, TM; Li, YS; Sun, B; Hastings, MG</t>
  </si>
  <si>
    <t>Shi, Guitao; Ma, Hongmei; Zhu, Zhuoyi; Hu, Zhengyi; Chen, Zhenlou; Jiang, Su; An, Chunlei; Yu, Jinhai; Ma, Tianming; Li, Yuansheng; Sun, Bo; Hastings, Meredith G.</t>
  </si>
  <si>
    <t>Using stable isotopes to distinguish atmospheric nitrate production and its contribution to the surface ocean across hemispheres</t>
  </si>
  <si>
    <t>EARTH AND PLANETARY SCIENCE LETTERS</t>
  </si>
  <si>
    <t>atmospheric deposition; seawater; nitrate; stable isotopes; Antarctica</t>
  </si>
  <si>
    <t>ANTHROPOGENIC NITROGEN; PACIFIC-OCEAN; FORMATION PATHWAYS; REACTIVE NITROGEN; EAST ANTARCTICA; OXYGEN ISOTOPES; BOUNDARY-LAYER; GLOBAL-MODEL; DEPOSITION; AEROSOL</t>
  </si>
  <si>
    <t>Atmospheric samples and surface seawater collected on a Chinese Antarctic Research Expedition (CHINARE) transect are used to investigate sources and production of nitrate (NO3-) in the atmosphere and its contribution to the surface NO3- pool in the ocean. Most atmospheric NO3- is concentrated on intermediate size particles, and much higher concentrations were observed in the northern hemisphere than in the high southern latitudes. Isotopes of NO3-(delta N-15, delta O-18 and Delta O-17) suggest that elevated atmospheric NO3- in coastal areas was associated with human activities, while NO3- in the high southern latitudes tends to be influenced by precursor Antarctic snowpack emissions driven by photolysis. In general, no clear association was found between the isotopes of surface seawater and atmospheric NO3-, suggesting that the ocean is unlikely to be an important direct source of atmospheric NOx on this transect. A significant linear relationship between delta O-18 and Delta O-17 of NO3- is used to interpret important pathways for NO- 3production. In the tropics, &gt;59% of atmospheric NO3- is produced via OH oxidation of NO2, while the elevated oxygen isotopic ratios (delta O-18 and Delta O-17) in the high southern latitudes suggest increased NO3- production via BrO and/or DMS pathways assuming a minor contribution of the N2O5 channel. In surface seawater, high NO3- concentrations are present in the coastal areas and in the Southern Ocean. In coastal areas of China, positive Delta O-17 values in seawater NO3-(1.7 +/- 1.0 parts per thousand) provide direct evidence of uncycled atmospheric deposition contribution, with a calculated contribution of at least 2-3% to total surface NO3-. A Delta O-17 = 0 was found everywhere else in seawater, suggesting that atmospheric deposition has a minimal presence in the surface NO3- pool. Near Antarctica, deposition of atmospheric NO3- with extremely low delta N-15(&lt; - 30 parts per thousand) could lower delta N-15 found in sea ice, and this process could be isotopically important to evaluate nitrogen cycling in sea ice. (C) 2021 Elsevier B.V. All rights reserved.</t>
  </si>
  <si>
    <t>[Shi, Guitao; Chen, Zhenlou] East China Normal Univ, Sch Geog Sci, Key Lab Geog Informat Sci, Minist Educ, Shanghai 200241, Peoples R China; [Shi, Guitao; Zhu, Zhuoyi] East China Normal Univ, State Key Lab Estuarine &amp; Coastal Res, Shanghai 200241, Peoples R China; [Shi, Guitao; Ma, Hongmei; Hu, Zhengyi; Jiang, Su; An, Chunlei; Yu, Jinhai; Ma, Tianming; Li, Yuansheng; Sun, Bo] Polar Res Inst China, Shanghai 200062, Peoples R China; [Hastings, Meredith G.] Brown Univ, Dept Earth Environm &amp; Planetary Sci, Providence, RI 02912 USA; [Hastings, Meredith G.] Brown Univ, Inst Brown Environm &amp; Soc, Providence, RI 02912 USA</t>
  </si>
  <si>
    <t>East China Normal University; East China Normal University; Polar Research Institute of China; Brown University; Brown University</t>
  </si>
  <si>
    <t>Shi, GT (corresponding author), East China Normal Univ, Sch Geog Sci, Key Lab Geog Informat Sci, Minist Educ, Shanghai 200241, Peoples R China.;Hastings, MG (corresponding author), Brown Univ, Dept Earth Environm &amp; Planetary Sci, Providence, RI 02912 USA.;Hastings, MG (corresponding author), Brown Univ, Inst Brown Environm &amp; Soc, Providence, RI 02912 USA.</t>
  </si>
  <si>
    <t>gtshi@geo.ecnu.edu.cn; meredith_hastings@brown.edu</t>
  </si>
  <si>
    <t>Zhu, Zhuoyi/HNS-4424-2023; sun, bo/JFA-9978-2023; Hastings, Meredith/C-6199-2008</t>
  </si>
  <si>
    <t>Hastings, Meredith/0000-0001-6716-6783; An, Chunlei/0000-0002-8579-2400; Zhu, Zhuo-Yi/0000-0002-0276-2418</t>
  </si>
  <si>
    <t>National Science Foundation of China [41922046, 41876225, 41576190]; Program of Shanghai Academic/Technology Research Leader [20XD1421600]; National Key Research and Development Program of China [2016YFA0302204, 2019YFC1509102]; Fundamental Research Funds for the Central Universities</t>
  </si>
  <si>
    <t>National Science Foundation of China(National Natural Science Foundation of China (NSFC)); Program of Shanghai Academic/Technology Research Leader; National Key Research and Development Program of China; Fundamental Research Funds for the Central Universities(Fundamental Research Funds for the Central Universities)</t>
  </si>
  <si>
    <t>This work was supported by the National Science Foundation of China (Grant Nos. 41922046, 41876225 and 41576190), the Program of Shanghai Academic/Technology Research Leader (Grant No. 20XD1421600), the National Key Research and Development Program of China (Grant No. 2016YFA0302204 and 2019YFC1509102), and the Fundamental Research Funds for the Central Universities. The authors are grateful to Ruby Ho at Brown University and the CHINARE members for technical support and assistance.</t>
  </si>
  <si>
    <t>0012-821X</t>
  </si>
  <si>
    <t>1385-013X</t>
  </si>
  <si>
    <t>EARTH PLANET SC LETT</t>
  </si>
  <si>
    <t>Earth Planet. Sci. Lett.</t>
  </si>
  <si>
    <t>10.1016/j.epsl.2021.116914</t>
  </si>
  <si>
    <t>RU4DB</t>
  </si>
  <si>
    <t>WOS:000645097600015</t>
  </si>
  <si>
    <t>Martinelli, AG; Soto-Acuña, S; Goin, FJ; Kaluza, J; Bostelmann, JE; Fonseca, PHM; Reguero, MA; Leppe, M; Vargas, AO</t>
  </si>
  <si>
    <t>Martinelli, Agustin G.; Soto-Acuna, Sergio; Goin, Francisco J.; Kaluza, Jonatan; Enrique Bostelmann, J.; Fonseca, Pedro H. M.; Reguero, Marcelo A.; Leppe, Marcelo; Vargas, Alexander O.</t>
  </si>
  <si>
    <t>New cladotherian mammal from southern Chile and the evolution of mesungulatid meridiolestidans at the dusk of the Mesozoic era</t>
  </si>
  <si>
    <t>EARLY MIOCENE; LOS-ALAMITOS; NECROLESTES; AGE; TRECHNOTHERIA; PHYLOGENY; DINOSAURS; SPECIMENS; RADIATION; PATAGONIA</t>
  </si>
  <si>
    <t>In the last decades, several discoveries have uncovered the complexity of mammalian evolution during the Mesozoic Era, including important Gondwanan lineages: the australosphenidans, gondwanatherians, and meridiolestidans (Dryolestoidea). Most often, their presence and diversity is documented by isolated teeth and jaws. Here, we describe a new meridiolestidan mammal, Orretherium tzen gen. et sp. nov., from the Late Cretaceous of southern Chile, based on a partial jaw with five cheek teeth in locis and an isolated upper premolar. Phylogenetic analysis places Orretherium as the earliest divergence within Mesungulatidae, before other forms such as the Late Cretaceous Mesungulatum and Coloniatherium, and the early Paleocene Peligrotherium. The in loco tooth sequence (last two premolars and three molars) is the first recovered for a Cretaceous taxon in this family and suggests that reconstructed tooth sequences for other Mesozoic mesungulatids may include more than one species. Tooth eruption and replacement show that molar eruption in mesungulatids is heterochronically delayed with regard to basal dryolestoids, with therian-like simultaneous eruption of the last premolar and last molar. Meridiolestidans seem endemic to Patagonia, but given their diversity and abundance, and the similarity of vertebrate faunas in other regions of Gondwana, they may yet be discovered in other continents.</t>
  </si>
  <si>
    <t>[Martinelli, Agustin G.] Consejo Nacl Invest Cient &amp; Tecn, Secc Paleontol Vertebrados, Museo Argentino Ciencias Nat Bernardino Rivadavia, Av Angel Gallardo 470,C1405DJR, Caba, Argentina; [Martinelli, Agustin G.; Soto-Acuna, Sergio; Kaluza, Jonatan; Vargas, Alexander O.] Univ Chile, Fac Ciencias, Dept Biol, Lab Ontogenia &amp; Filogenia,Red Paleontol Chile, Las Palmeras 3425, Santiago 7750000, Chile; [Soto-Acuna, Sergio] KayTreng Consultores SpA, Jose Domingo Callas 1640,Apt 1502, Santiago 7750000, Chile; [Goin, Francisco J.; Reguero, Marcelo A.] Consejo Nacl Invest Cient &amp; Tecn, Div Paleontol Vertebrados, Museo La Plata, Paseo Bosque S-N,B1900FWA, La Plata, Argentina; [Kaluza, Jonatan] Univ Maimonides, Fdn Hist Nat Felix Azara, Hidalgo 775,C1405BCK, Caba, Argentina; [Enrique Bostelmann, J.] Univ Austral Chile, Fac Ciencias, Inst Ciencias Tierra, Los Laureles S-N, Valdivia 5090000, Chile; [Enrique Bostelmann, J.] Univ Austral Chile, Programa Doctorado Ciencias Ment Ecol &amp; Evolut, Los Laureles S-N, Valdivia 5090000, Chile; [Enrique Bostelmann, J.] Museo Reg Aysen, Kilometro 3 Camino Coyha Alto, Coyhaique, Region De Aysen, Chile; [Fonseca, Pedro H. M.] Univ Fed Rio Grande do Sul, Inst Geociencias, Programa Posgrad Geociencias, Av Bento Goncalves,9500 Agron, BR-91501970 Porto Alegre, RS, Brazil; [Leppe, Marcelo] Inst Antartico Chileno, Lab Paleobiol Antart &amp; Patagonia, Plaza Munoz Gamero 1055, Punta Arenas 6200000, Chile</t>
  </si>
  <si>
    <t>Museo Argentino de Ciencias Naturales Bernardino Rivadavia (MACN); Consejo Nacional de Investigaciones Cientificas y Tecnicas (CONICET); Universidad de Chile; National University of La Plata; Museo La Plata; Consejo Nacional de Investigaciones Cientificas y Tecnicas (CONICET); Universidad Austral de Chile; Universidad Austral de Chile; Universidade Federal do Rio Grande do Sul</t>
  </si>
  <si>
    <t>Martinelli, AG (corresponding author), Consejo Nacl Invest Cient &amp; Tecn, Secc Paleontol Vertebrados, Museo Argentino Ciencias Nat Bernardino Rivadavia, Av Angel Gallardo 470,C1405DJR, Caba, Argentina.;Martinelli, AG; Soto-Acuña, S (corresponding author), Univ Chile, Fac Ciencias, Dept Biol, Lab Ontogenia &amp; Filogenia,Red Paleontol Chile, Las Palmeras 3425, Santiago 7750000, Chile.;Soto-Acuña, S (corresponding author), KayTreng Consultores SpA, Jose Domingo Callas 1640,Apt 1502, Santiago 7750000, Chile.</t>
  </si>
  <si>
    <t>martinelli@yahoo.com.ar; sesotacu@ug.uchile.cl</t>
  </si>
  <si>
    <t>Leppe, Marcelo/L-5447-2014; Reguero, Marcelo A./JHS-4893-2023; Vargas, Alexander O/L-3788-2017</t>
  </si>
  <si>
    <t>Leppe, Marcelo/0000-0002-1545-8167; Vargas, Alexander O/0000-0002-2009-7116; Soto Acuna, Sergio/0000-0002-9311-9355; Fonseca, Pedro Henrique/0000-0001-7721-9818; Bostelmann Torrealba, Juan Enrique/0000-0001-7939-8346</t>
  </si>
  <si>
    <t>Anillo Grant (PIA-ANID Chile) [ACT-172099]; FONDECYT [1151389]</t>
  </si>
  <si>
    <t>Anillo Grant (PIA-ANID Chile); FONDECYT(Comision Nacional de Investigacion Cientifica y Tecnologica (CONICYT)CONICYT FONDECYT)</t>
  </si>
  <si>
    <t>We thank Barbara Aravena, Catalina Ferrada, Cristine Trevisan, Daniel Bajor, Felipe Suazo, Guillermo Aguirrezabala, Hector Mansilla, Hector Ortiz, Jhonatan Alarcon, Jose A. Palma, Juan Pablo Pino, Leslie M. E. Manriquez, Luna Nunez, Rodrigo Otero, Marcelo Minana, Roy A. Fernandez, Sarah Davis, Valentina Poblete, Veronica Milla, and Vicente Munoz for their valuable field assistance. We also thank Javier Reinoso for the assistance with the picking on concentrates. INACH and Estancia Cerro Guido provide us with invaluable logistic support. We also thank to Daniela Poblete of the Plataforma Experimental Bio-CT of the Universidad de Chile for allowing the access and assistance with the CT equipment. For access to collection we are grateful to Eduardo Ruigomez (MPEF). AGM especially acknowledge sustaining discussions on South American Mesozoic mammals with Guillermo W. Rougier, Analia M. Forasiepi and the late Jose F. Bonaparte during the last decades. We also thank the Museo Argentino de Ciencias Naturales Bernardino Rivadavia (Buenos Aires), the Conicet (Argentina), the Fundacion Felix de Azara, Universidad de Maimonides (Buenos Aires), and the Museo Municipal de Ciencias Naturales Carlos Ameghino (Mercedes). This research was supported by an Anillo Grant ACT-172099 (PIA-ANID Chile) and a FONDECYT grant N degrees 1151389 Paleogeographic patterns v/s climate change in South America and the Antarctic Peninsula during the latest Cretaceous: A possible explanation for the origin of the Austral biota?. We appreciate the comments made by the reviewers Thomas Martin and Alexander Averianov and the Editor Robin Beck that considerably improved the text.</t>
  </si>
  <si>
    <t>APR 7</t>
  </si>
  <si>
    <t>10.1038/s41598-021-87245-4</t>
  </si>
  <si>
    <t>RN5LD</t>
  </si>
  <si>
    <t>WOS:000640391700031</t>
  </si>
  <si>
    <t>Kusahara, K; Hirano, D; Fujii, M; Fraser, AD; Tamura, T</t>
  </si>
  <si>
    <t>Kusahara, Kazuya; Hirano, Daisuke; Fujii, Masakazu; Fraser, Alexander D.; Tamura, Takeshi</t>
  </si>
  <si>
    <t>Modeling intensive ocean-cryosphere interactions in Lutzow-Holm Bay, East Antarctica</t>
  </si>
  <si>
    <t>LANDFAST SEA-ICE; SHELF; VARIABILITY; BOUNDARY</t>
  </si>
  <si>
    <t>Basal melting of Antarctic ice shelves accounts for more than half of the mass loss from the Antarctic ice sheet. Many studies have focused on active basal melting at ice shelves in the Amundsen-Bellingshausen seas and the Totten ice shelf, East Antarctica. In these regions, the intrusion of Circumpolar Deep Water (CDW) onto the continental shelf is a key component for the localized intensive basal melting. Both regions have a common oceanographic feature: southward deflection of the Antarctic Circumpolar Current brings CDW toward the continental shelves. The physical setting of the Shirase Glacier tongue (SGT) in Lutzow-Holm Bay corresponds to a similar configuration on the southeastern side of the Weddell Gyre in the Atlantic sector. Here, we conduct a 2-3 km resolution simulation of an ocean-sea ice-ice shelf model using a recently compiled bottom-topography dataset in the bay. The model can reproduce the observed CDW intrusion along the deep trough. The modeled SGT basal melting reaches a peak in summer and a minimum in autumn and winter, consistent with the wind-driven seasonality of the CDW thickness in the bay. The model results suggest the existence of an eastward-flowing undercurrent on the upper continental slope in summer, and the undercurrent contributes to the seasonal-to-interannual variability in the warm water intrusion into the bay. Furthermore, numerical experiments with and without fast-ice cover in the bay demonstrate that fast ice plays a role as an effective thermal insulator and reduces local sea ice formation, resulting in much warmer water intrusion into the SGT cavity.</t>
  </si>
  <si>
    <t>[Kusahara, Kazuya] Japan Agcy Marine Earth Sci &amp; Technol JAMSTEC, Yokohama, Kanagawa 2360001, Japan; [Hirano, Daisuke] Hokkaido Univ, Inst Low Temp Sci, Sapporo, Hokkaido 0600819, Japan; [Hirano, Daisuke] Hokkaido Univ, Arctic Res Ctr, Sapporo, Hokkaido 0010021, Japan; [Fujii, Masakazu; Tamura, Takeshi] Natl Inst Polar Res, Tokyo 1908518, Japan; [Fujii, Masakazu; Tamura, Takeshi] Grad Univ Adv Studies SOKENDAI, Tachikawa, Tokyo 1908518, Japan; [Fraser, Alexander D.] Univ Tasmania, Australian Antarctic Program Partnership, Hobart, Tas 7004, Australia</t>
  </si>
  <si>
    <t>Japan Agency for Marine-Earth Science &amp; Technology (JAMSTEC); Hokkaido University; Hokkaido University; Research Organization of Information &amp; Systems (ROIS); National Institute of Polar Research (NIPR) - Japan; Graduate University for Advanced Studies - Japan; University of Tasmania</t>
  </si>
  <si>
    <t>Kusahara, K (corresponding author), Japan Agcy Marine Earth Sci &amp; Technol JAMSTEC, Yokohama, Kanagawa 2360001, Japan.</t>
  </si>
  <si>
    <t>kazuya.kusahara@gmail.com</t>
  </si>
  <si>
    <t>zhao, xiang/P-5590-2016; Fraser, Alexander/AFO-7186-2022; Hirano, Daisuke/P-3963-2019</t>
  </si>
  <si>
    <t>Fraser, Alexander/0000-0003-1924-0015; Kusahara, Kazuya/0000-0003-4067-7959; Fujii, Masakazu/0000-0003-0527-1742</t>
  </si>
  <si>
    <t>Japan Society for the Promotion of Science [JP19K12301, JP17H06323, JP20K12132, JP17K12811, JP17H06322, JP17H04710, JP17H06317]; Antarctic Science Collaboration Initiative program [ASCI000002]; Japanese Antarctic Research Expedition (JARE) [AJ0902]; National Institute of Polar Research (NIPR) [KP-303]; Grants-in-Aid for Scientific Research [21H04931, 20H05707, 20H04961, 20K12132] Funding Source: KAKEN</t>
  </si>
  <si>
    <t>Japan Society for the Promotion of Science(Ministry of Education, Culture, Sports, Science and Technology, Japan (MEXT)Japan Society for the Promotion of Science); Antarctic Science Collaboration Initiative program; Japanese Antarctic Research Expedition (JARE);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</si>
  <si>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This research has been supported by the Japan Society for the Promotion of Science (grant nos. JP19K12301, JP17H06323, JP20K12132, JP17K12811, JP17H06322, JP17H04710, JP17H06317), the Antarctic Science Collaboration Initiative program (grant no. ASCI000002), the Japanese Antarctic Research Expedition (JARE) (grant no. AJ0902), and the National Institute of Polar Research (NIPR) through Project Research (grant no. KP-303).</t>
  </si>
  <si>
    <t>10.5194/tc-15-1697-2021</t>
  </si>
  <si>
    <t>RL5EO</t>
  </si>
  <si>
    <t>Green Accepted, gold</t>
  </si>
  <si>
    <t>WOS:000638996500002</t>
  </si>
  <si>
    <t>Bairstow, F; Gastauer, S; Finley, L; Edwards, T; Brown, CTA; Kawaguchi, S; Cox, MJ</t>
  </si>
  <si>
    <t>Bairstow, Fiona; Gastauer, Sven; Finley, Luke; Edwards, Tom; Brown, C. Tom A.; Kawaguchi, So; Cox, Martin J.</t>
  </si>
  <si>
    <t>Improving the Accuracy of Krill Target Strength Using a Shape Catalog</t>
  </si>
  <si>
    <t>Antarctic krill; Euphausia superba; morphometrics; target strength; acoustic scattering</t>
  </si>
  <si>
    <t>Antarctic krill are subject to precautionary catch limits, based on biomass estimates, to ensure human activities do not adversely impact their important ecological role. Accurate target strength models of individual krill underpin biomass estimates. These models are scaled using measured and estimated distributions of length and orientation. However, while the length distribution of a krill swarm is accessible from net samples, there is currently limited consensus on the method for estimating krill orientation distribution. This leads to a limiting factor in biomass calculations. In this work, we consider geometric shape as a variable in target strength calculations and describe a practical method for generating a catalog of krill shapes. A catalog of shapes produces a more variable target strength response than an equivalent population of a scaled generic shape. Furthermore, using a shape catalog has the greatest impact on backscattering cross-section (linearized target strength) where the dominant scattering mechanism is mie scattering, irrespective of orientation distribution weighting. We suggest that shape distributions should be used in addition to length and orientation distributions to improve the accuracy of krill biomass estimates.</t>
  </si>
  <si>
    <t>[Bairstow, Fiona; Edwards, Tom; Brown, C. Tom A.] Univ St Andrews, Sch Phys &amp; Astron, Scottish Univ Phys Alliance, St Andrews, Fife, Scotland; [Gastauer, Sven] Univ Calif San Diego, Integrat Oceanog, Scripps Inst Oceanog, San Diego, CA 92103 USA; [Gastauer, Sven] Thunen Inst Sea Fisheries, Bremerhaven, Germany; [Finley, Luke] Elgin Associates Pty Ltd, Hobart, Tas, Australia; [Kawaguchi, So; Cox, Martin J.] Australian Antarctic Div, Dept Agr Water &amp; Environm, Kingston, Tas, Australia</t>
  </si>
  <si>
    <t>University of St Andrews; University of California System; University of California San Diego; Scripps Institution of Oceanography; Johann Heinrich von Thunen Institute; Australian Antarctic Division</t>
  </si>
  <si>
    <t>Bairstow, F (corresponding author), Univ St Andrews, Sch Phys &amp; Astron, Scottish Univ Phys Alliance, St Andrews, Fife, Scotland.;Cox, MJ (corresponding author), Australian Antarctic Div, Dept Agr Water &amp; Environm, Kingston, Tas, Australia.</t>
  </si>
  <si>
    <t>fjb5@st-andrews.ac.uk; martin.cox@aad.gov.au</t>
  </si>
  <si>
    <t>Gastauer, Sven/KFT-2835-2024</t>
  </si>
  <si>
    <t>Brown, Christian Thomas Alcuin/0000-0002-4405-6677; Gastauer, Sven/0000-0001-9676-9946</t>
  </si>
  <si>
    <t>EPSRC studentship [EP/R513337/1]; Gordon and Betty Moore Foundation; EPSRC [EP/R513337/1] Funding Source: UKRI</t>
  </si>
  <si>
    <t>EPSRC studentship(UK Research &amp; Innovation (UKRI)Engineering &amp; Physical Sciences Research Council (EPSRC)); Gordon and Betty Moore Foundation(Gordon and Betty Moore Foundation); EPSRC(UK Research &amp; Innovation (UKRI)Engineering &amp; Physical Sciences Research Council (EPSRC))</t>
  </si>
  <si>
    <t>FB was funded by an EPSRC studentship (grant code: EP/R513337/1) . SG received financial support from the Gordon and Betty Moore Foundation.</t>
  </si>
  <si>
    <t>10.3389/fmars.2021.658384</t>
  </si>
  <si>
    <t>RK3ZR</t>
  </si>
  <si>
    <t>WOS:000638238200001</t>
  </si>
  <si>
    <t>Hückstädt, LA; Piñones, A; Palacios, DM; McDonald, BI; Dinniman, MS; Hofmann, EE; Burns, JM; Crocker, DE; Costa, DP</t>
  </si>
  <si>
    <t>Huckstadt, Luis A.; Pinones, Andrea; Palacios, Daniel M.; McDonald, Birgitte I.; Dinniman, Michael S.; Hofmann, Eileen E.; Burns, Jennifer M.; Crocker, Daniel E.; Costa, Daniel P.</t>
  </si>
  <si>
    <t>Projected shifts in the foraging habitat of crabeater seals along the Antarctic Peninsula (vol 10, pg 472, 2020)</t>
  </si>
  <si>
    <t>NATURE CLIMATE CHANGE</t>
  </si>
  <si>
    <t>Correction</t>
  </si>
  <si>
    <t>lahuckst@ucsc.edu</t>
  </si>
  <si>
    <t>Huckstadt, Luis/JNR-7637-2023; Palacios, Daniel M./B-9180-2008; Burns, Jennifer M/C-4159-2013</t>
  </si>
  <si>
    <t>Palacios, Daniel M./0000-0001-7069-7913; Burns, Jennifer/0000-0001-9652-2943; Dinniman, Michael/0000-0001-7519-9278</t>
  </si>
  <si>
    <t>NATURE RESEARCH</t>
  </si>
  <si>
    <t>1758-678X</t>
  </si>
  <si>
    <t>1758-6798</t>
  </si>
  <si>
    <t>NAT CLIM CHANGE</t>
  </si>
  <si>
    <t>Nat. Clim. Chang.</t>
  </si>
  <si>
    <t>10.1038/s41558-021-01036-3</t>
  </si>
  <si>
    <t>Environmental Sciences; Environmental Studies; Meteorology &amp; Atmospheric Sciences</t>
  </si>
  <si>
    <t>SN4PI</t>
  </si>
  <si>
    <t>WOS:000637647600001</t>
  </si>
  <si>
    <t>Grundger, F; Probandt, D; Knittel, K; Carrier, V; Kalenitchenko, D; Silyakova, A; Serov, P; Ferré, B; Svenning, MM; Niemann, H</t>
  </si>
  <si>
    <t>Grundger, Friederike; Probandt, David; Knittel, Katrin; Carrier, Vincent; Kalenitchenko, Dimitri; Silyakova, Anna; Serov, Pavel; Ferre, Benedicte; Svenning, Mette M.; Niemann, Helge</t>
  </si>
  <si>
    <t>Seasonal shifts of microbial methane oxidation in Arctic shelf waters above gas seeps</t>
  </si>
  <si>
    <t>The Arctic Ocean subseabed holds vast reservoirs of the potent greenhouse gas methane (CH4), often seeping into the ocean water column. In a continuously warming ocean as a result of climate change an increase of CH4 seepage from the seabed is hypothesized. Today, CH4 is largely retained in the water column due to the activity of methane-oxidizing bacteria (MOB) that thrive there. Predicted future oceanographic changes, bottom water warming and increasing CH4 release may alter efficacy of this microbially mediated CH4 sink. Here we investigate the composition and principle controls on abundance and activity of the MOB communities at the shallow continental shelf west of Svalbard, which is subject to strong seasonal changes in oceanographic conditions. Covering a large area (364 km(2)), we measured vertical distribution of microbial methane oxidation (MOx) rates, MOB community composition, dissolved CH4 concentrations, temperature and salinity four times throughout spring and summer during three consecutive years. Sequencing analyses of the pmoA gene revealed a small, relatively uniform community mainly composed of type-Ia methanotrophs (deep-sea 3 clade). We found highest MOx rates (7 nM d(-1)) in summer in bathymetric depressions filled with stagnant Atlantic Water containing moderate concentrations of dissolved CH4 (&lt; 100 nM). MOx rates in these depressions during spring were much lower (&lt; 0.5 nM d(-1)) due to lower temperatures and mixing of Transformed Atlantic Water flushing MOB with the Atlantic Water out of the depressions. Our results show that MOB and MOx in CH4-rich bottom waters are highly affected by geomorphology and seasonal conditions.</t>
  </si>
  <si>
    <t>[Grundger, Friederike; Carrier, Vincent; Kalenitchenko, Dimitri; Silyakova, Anna; Serov, Pavel; Ferre, Benedicte; Svenning, Mette M.; Niemann, Helge] UiT Arctic Univ Norway, Dept Geosci, CAGE Ctr Arctic Gas Hydrate Environm &amp; Climate, Tromso, Norway; [Grundger, Friederike] Aarhus Univ, Dept Biol, Arctic Res Ctr, Aarhus, Denmark; [Probandt, David; Knittel, Katrin] Max Planck Inst Marine Microbiol, Dept Mol Ecol, Bremen, Germany; [Carrier, Vincent; Svenning, Mette M.] UiT Arctic Univ Norway, Dept Arctic &amp; Marine Biol, Tromso, Norway; [Niemann, Helge] NIOZ Royal Netherlands Inst Sea Res, Dept Marine Microbiol &amp; Biogeochem, Texel, Netherlands; [Niemann, Helge] Univ Utrecht, Fac Geosci, Dept Earth Sci, Utrecht, Netherlands</t>
  </si>
  <si>
    <t>UiT The Arctic University of Tromso; Aarhus University; Max Planck Society; UiT The Arctic University of Tromso; Utrecht University; Royal Netherlands Institute for Sea Research (NIOZ); Utrecht University</t>
  </si>
  <si>
    <t>Grundger, F (corresponding author), UiT Arctic Univ Norway, Dept Geosci, CAGE Ctr Arctic Gas Hydrate Environm &amp; Climate, Tromso, Norway.;Grundger, F (corresponding author), Aarhus Univ, Dept Biol, Arctic Res Ctr, Aarhus, Denmark.</t>
  </si>
  <si>
    <t>friederike.gruendger@bio.au.dk</t>
  </si>
  <si>
    <t>Gruendger, Friederike/IWU-8195-2023; Kalenitchenko, Dimitri/ABF-3371-2020; Niemann, Helge/C-6630-2014</t>
  </si>
  <si>
    <t>Gruendger, Friederike/0000-0002-7386-3603; Kalenitchenko, Dimitri/0000-0002-8316-0784; Niemann, Helge/0000-0002-3468-8304; Ferre, Benedicte/0000-0003-1646-9287; serov, pavel/0000-0001-6417-9941; Carrier, Vincent/0000-0002-5695-6146</t>
  </si>
  <si>
    <t>CAGE (Centre for Arctic Gas Hydrate, Environment and Climate), Norwegian Research Council [223259]</t>
  </si>
  <si>
    <t>CAGE (Centre for Arctic Gas Hydrate, Environment and Climate), Norwegian Research Council</t>
  </si>
  <si>
    <t>We would like to thank the captain, crew, and scientific research party of the R/V Helmer Hanssen as well as the chief scientists of the cruises: CAGE15-3, CAGE16-4, CAGE16-5, and CAGE17-1. We are particularly grateful to the participants at BareLab, the Russian Scientific Center on Spitsbergen, and Anna Nikulina from the Arctic and Antarctic Research Institute (AARI) for their unelaborated and kind provision of laboratory facilities at Barentsburg. Matteus Lindgren is thanked for measuring methane concentrations in CAGE17-1 samples, JoLynn Carroll for her assistance in initiating the project, and Greta Reintjes for support in statistical analysis. Computations were performed using resources provided by UNINETT Sigma2-the National Infrastructure for High Performance Computing and Data Storage in Norway, account numbers NN9639K and NS9593K. This study is funded by CAGE (Centre for Arctic Gas Hydrate, Environment and Climate), Norwegian Research Council grant no. 223259.</t>
  </si>
  <si>
    <t>10.1002/lno.11731</t>
  </si>
  <si>
    <t>SE2GA</t>
  </si>
  <si>
    <t>WOS:000637429800001</t>
  </si>
  <si>
    <t>Dehnhard, N; Klekociuk, AR; Emmerson, L</t>
  </si>
  <si>
    <t>Dehnhard, Nina; Klekociuk, Andrew R.; Emmerson, Louise</t>
  </si>
  <si>
    <t>Interactive effects of body mass changes and species-specific morphology on flight behavior of chick-rearing Antarctic fulmarine petrels under diurnal wind patterns</t>
  </si>
  <si>
    <t>ECOLOGY AND EVOLUTION</t>
  </si>
  <si>
    <t>climate change; flight cost; foraging; gust soaring; katabatic wind; movement ecology; optimization; procellariiform</t>
  </si>
  <si>
    <t>CLIMATE-CHANGE; FORAGING STRATEGIES; KATABATIC WINDS; SEABIRDS; SPEED; ALBATROSS; DIRECTION; SUPPORT; FUTURE; ENERGY</t>
  </si>
  <si>
    <t>For procellariiform seabirds, wind and morphology are crucial determinants of flight costs and flight speeds. During chick-rearing, parental seabirds commute frequently to provision their chicks, and their body mass typically changes between outbound and return legs. In Antarctica, the characteristic diurnal katabatic winds, which blow stronger in the mornings, form a natural experimental setup to investigate flight behaviors of commuting seabirds in response to wind conditions. We GPS-tracked three closely related species of sympatrically breeding Antarctic fulmarine petrels, which differ in wing loading and aspect ratio, and investigated their flight behavior in response to wind and changes in body mass. Such information is critical for understanding how species may respond to climate change. All three species reached higher ground speeds (i.e., the speed over ground) under stronger tailwinds, especially on return legs from foraging. Ground speeds decreased under stronger headwinds. Antarctic petrels (Thalassoica antarctica; intermediate body mass, highest wing loading, and aspect ratio) responded stronger to changes in wind speed and direction than cape petrels (Daption capense; lowest body mass, wing loading, and aspect ratio) or southern fulmars (Fulmarus glacialoides; highest body mass, intermediate wing loading, and aspect ratio). Birds did not adjust their flight direction in relation to wind direction nor the maximum distance from their nests when encountering headwinds on outbound commutes. However, birds appeared to adjust the timing of commutes to benefit from strong katabatic winds as tailwinds on outbound legs and avoid strong katabatic winds as headwinds on return legs. Despite these adaptations to the predictable diurnal wind conditions, birds frequently encountered unfavorably strong headwinds, possibly as a result of weather systems disrupting the katabatics. How the predicted decrease in Antarctic near-coastal wind speeds over the remainder of the century will affect flight costs and breeding success and ultimately population trajectories remains to be seen.</t>
  </si>
  <si>
    <t>[Dehnhard, Nina] Univ Antwerp, Dept Biol, Behav Ecol &amp; Ecophysiol Grp, Campus Drie Eiken,Univ Pl 1, B-2610 Antwerp, Belgium; [Dehnhard, Nina; Klekociuk, Andrew R.; Emmerson, Louise] Australian Antarctic Div, Dept Agr Water &amp; Environm, Kingston, Tas, Australia; [Dehnhard, Nina] Norwegian Inst Nat Res NINA, Trondheim, Norway</t>
  </si>
  <si>
    <t>University of Antwerp; Australian Antarctic Division; Norwegian Institute Nature Research</t>
  </si>
  <si>
    <t>Dehnhard, N (corresponding author), Univ Antwerp, Dept Biol, Behav Ecol &amp; Ecophysiol Grp, Campus Drie Eiken,Univ Pl 1, B-2610 Antwerp, Belgium.</t>
  </si>
  <si>
    <t>nina.dehnhard@nina.no; andrew.klekociuk@awe.gov.au</t>
  </si>
  <si>
    <t>Dehnhard, Nina/H-6160-2016; Klekociuk, Andrew/A-4498-2015</t>
  </si>
  <si>
    <t>Dehnhard, Nina/0000-0002-4182-2698; Klekociuk, Andrew/0000-0003-3335-0034</t>
  </si>
  <si>
    <t>Australian Antarctic Science Program [4087]; Flemish Science Foundation [12Q6915N, V458215N, V416817N]; University of Antwerp [31032]</t>
  </si>
  <si>
    <t>Australian Antarctic Science Program; Flemish Science Foundation(FWO); University of Antwerp</t>
  </si>
  <si>
    <t>Australian Antarctic Science Program, Grant/Award Number: #4087; Flemish Science Foundation, Grant/Award Number: 12Q6915N, V458215N and V416817N; University of Antwerp, Grant/Award Number: 31032</t>
  </si>
  <si>
    <t>2045-7758</t>
  </si>
  <si>
    <t>ECOL EVOL</t>
  </si>
  <si>
    <t>Ecol. Evol.</t>
  </si>
  <si>
    <t>10.1002/ece3.7501</t>
  </si>
  <si>
    <t>RW6CD</t>
  </si>
  <si>
    <t>WOS:000637155500001</t>
  </si>
  <si>
    <t>Cummings, VJ; Bowden, DA; Pinkerton, MH; Halliday, NJ; Hewitt, JE</t>
  </si>
  <si>
    <t>Cummings, Vonda J.; Bowden, David A.; Pinkerton, Matthew H.; Halliday, N. Jane; Hewitt, Judi E.</t>
  </si>
  <si>
    <t>Ross Sea Benthic Ecosystems: Macro- and Mega-faunal Community Patterns From a Multi-environment Survey</t>
  </si>
  <si>
    <t>Antarctica; benthic community; sea ice; productivity; environmental change; marine protected area; functional traits</t>
  </si>
  <si>
    <t>CLIMATE-CHANGE; ANTARCTIC SHELF; WEDDELL SEA; ICE; DIVERSITY; BIODIVERSITY; MICROWAVE; EVOLUTION; IMPACTS; RATES</t>
  </si>
  <si>
    <t>The Ross Sea, Antarctica, is amongst the least human-impacted marine environments, and the site of the world's largest Marine Protected Area. We present research on two components of the Ross Sea benthic fauna: mega-epifauna, and macro-infauna, sampled using video and multicore, respectively, on the continental shelf and in previously unsampled habitats on the northern continental slope and abyssal plain. We describe physical habitat characteristics and community composition, in terms of faunal diversity, abundance, and functional traits, and compare similarities within and between habitats. We also examine relationships between faunal distributions and ice cover and productivity, using summaries of satellite-derived data over the decade prior to our sampling. Clear differences in seafloor characteristics and communities were noted between environments. Seafloor substrates were more diverse on the Slope and Abyss, while taxa were generally more diverse on the Shelf. Mega-epifauna were predominantly suspension feeders across the Shelf and Slope, with deposit feeder-grazers found in higher or equal abundances in the Abyss. In contrast, suspension feeders were the least common macro-infaunal feeding type on the Shelf and Slope. Concordance between the mega-epifauna and macro-infauna data suggests that non-destructive video sampling of mega-epifauna can be used to indicate likely composition of macro-infauna, at larger spatial scales, at least. Primary productivity, seabed organic flux, and sea ice concentrations, and their variability over time, were important structuring factors for both community types. This illustrates the importance of better understanding bentho-pelagic coupling and incorporating this in biogeographic and process-distribution models, to enable meaningful predictions of how these ecosystems may be impacted by projected environmental changes. This study has enhanced our understanding of the distributions and functions of seabed habitats and fauna inside and outside the Ross Sea MPA boundaries, expanding the baseline dataset against which the success of the MPA, as well as variability and change in benthic communities can be evaluated longer term.</t>
  </si>
  <si>
    <t>[Cummings, Vonda J.; Bowden, David A.; Pinkerton, Matthew H.; Halliday, N. Jane] Natl Inst Water &amp; Atmospher Res, Wellington, New Zealand; [Hewitt, Judi E.] Natl Inst Water &amp; Atmospher Res, Hamilton, New Zealand; [Hewitt, Judi E.] Univ Auckland, Dept Stat, Auckland, New Zealand</t>
  </si>
  <si>
    <t>National Institute of Water &amp; Atmospheric Research (NIWA) - New Zealand; National Institute of Water &amp; Atmospheric Research (NIWA) - New Zealand; University of Auckland</t>
  </si>
  <si>
    <t>Cummings, VJ (corresponding author), Natl Inst Water &amp; Atmospher Res, Wellington, New Zealand.</t>
  </si>
  <si>
    <t>vonda.cummings@niwa.co.nz</t>
  </si>
  <si>
    <t>Halliday, Jane/0000-0002-9718-0348; Cummings, Vonda/0000-0003-1076-3995</t>
  </si>
  <si>
    <t>New Zealand Government under the New Zealand International Polar Year-Census of Antarctic Marine Life Project [IPY2007-01]; NIWA Coasts and Oceans SSIF</t>
  </si>
  <si>
    <t>New Zealand Government under the New Zealand International Polar Year-Census of Antarctic Marine Life Project; NIWA Coasts and Oceans SSIF</t>
  </si>
  <si>
    <t>Data collection for this research was funded by the New Zealand Government under the New Zealand International Polar Year-Census of Antarctic Marine Life Project (IPY2007-01). The write up and analyses were funded by NIWA Coasts and Oceans SSIF.</t>
  </si>
  <si>
    <t>10.3389/fmars.2021.629787</t>
  </si>
  <si>
    <t>RL8GG</t>
  </si>
  <si>
    <t>WOS:000639203800001</t>
  </si>
  <si>
    <t>Morée, AL; Schwinger, J; Ninnemann, US; Jeltsch-Thömmes, A; Bethke, I; Heinze, C</t>
  </si>
  <si>
    <t>Moree, Anne L.; Schwinger, Jorg; Ninnemann, Ulysses S.; Jeltsch-Thommes, Aurich; Bethke, Ingo; Heinze, Christoph</t>
  </si>
  <si>
    <t>Evaluating the biological pump efficiency of the Last Glacial Maximum ocean using δ13C</t>
  </si>
  <si>
    <t>EARTH SYSTEM MODEL; MERIDIONAL OVERTURNING CIRCULATION; ANTARCTIC SEA-ICE; ATMOSPHERIC CARBON-DIOXIDE; SOUTHERN-OCEAN; CIRCUMPOLAR CURRENT; INTERGLACIAL CHANGES; MARINE DELTA-C-13; ATLANTIC; CO2</t>
  </si>
  <si>
    <t>Although both physical and biological marine changes are required to explain the 100 ppm lower atmospheric pCO(2) of the Last Glacial Maximum (LGM, similar to 21 ka) as compared to preindustrial (PI) times, their exact contributions are debated. Proxies of past marine carbon cycling (such as delta C-13) document these changes and thus provide constraints for quantifying the drivers of long-term carbon cycle variability. This modeling study discusses the physical and biological changes in the ocean needed to simulate an LGM ocean in satisfactory agreement with proxy data, here focusing especially on delta C-13. We prepared a PI and LGM equilibrium simulation using the ocean model NorESM-OC with full biogeochemistry (including the carbon isotopes delta C-13 and radiocarbon) and dynamic sea ice. The modeled LGM-PI differences are evaluated against a wide range of physical and biogeochemical proxy data and show agreement for key aspects of the physical ocean state within the data uncertainties. However, the lack of a simulated increase of regenerated nutrients for the LGM indicates that additional biogeochemical changes are required to simulate an LGM ocean in agreement with proxy data. In order to examine these changes, we explore the potential effects of different global mean biological pump efficiencies on the simulated marine biogeochemical tracer distributions. Through estimating which biological pump efficiency reduces LGM model-proxy biases the most, we estimate that the global mean biological pump efficiency increased from 38% (PI) to up to 75% (LGM). The drivers of such an increase in the biological pump efficiency may be both biological and related to circulation changes that are incompletely captured by our model - such as stronger isolation of Southern Source Water. Finally, even after considering a 75% biological pump efficiency in the LGM ocean, a remaining model-proxy error in delta C-13 exists that is 0.07 parts per thousand larger than the 0.19 parts per thousand data uncertainty. This error indicates that additional changes in ocean dynamics are needed to simulate an LGM ocean in agreement with proxy data.</t>
  </si>
  <si>
    <t>[Moree, Anne L.; Bethke, Ingo; Heinze, Christoph] Univ Bergen, Geophys Inst, N-5007 Bergen, Norway; [Moree, Anne L.; Ninnemann, Ulysses S.; Bethke, Ingo; Heinze, Christoph] Bjerknes Ctr Climate Res, N-5007 Bergen, Norway; [Schwinger, Jorg] NORCE Norwegian Res Ctr, N-5838 Bergen, Norway; [Schwinger, Jorg] Bjerknes Ctr Climate Res, N-5838 Bergen, Norway; [Ninnemann, Ulysses S.] Univ Bergen, Dept Earth Sci, N-5007 Bergen, Norway; [Jeltsch-Thommes, Aurich] Univ Bern, Phys Inst, Climate &amp; Environm Phys, Bern, Switzerland; [Jeltsch-Thommes, Aurich] Univ Bern, Oeschger Ctr Climate Change Res, Bern, Switzerland</t>
  </si>
  <si>
    <t>University of Bergen; Bjerknes Centre for Climate Research; Norwegian Research Centre (NORCE); Bjerknes Centre for Climate Research; University of Bergen; University of Bern; University of Bern</t>
  </si>
  <si>
    <t>Morée, AL (corresponding author), Univ Bergen, Geophys Inst, N-5007 Bergen, Norway.;Morée, AL (corresponding author), Bjerknes Ctr Climate Res, N-5007 Bergen, Norway.</t>
  </si>
  <si>
    <t>anne.moree@uib.no</t>
  </si>
  <si>
    <t>Schwinger, Jörg/AAN-6573-2021; Moree, Anne Lien/JCP-3534-2023</t>
  </si>
  <si>
    <t>Schwinger, Jörg/0000-0002-7525-6882; Moree, Anne Lien/0000-0002-0283-5947; Heinze, Christoph/0000-0003-4074-8390; Jeltsch-Thommes, Aurich/0000-0002-2050-1975</t>
  </si>
  <si>
    <t>National Infrastructure for High Performance Computing and Data Storage in Norway [ns2980k, ns2345k, nn2345k, nn2980k]; Research Council of Norway [INES 270061, EVA 229771]; European Commission, Horizon 2020 Framework Programme (CRESCENDO) [641816]; Swiss National Science Foundation [200020_172476]</t>
  </si>
  <si>
    <t>National Infrastructure for High Performance Computing and Data Storage in Norway; Research Council of Norway(Research Council of Norway); European Commission, Horizon 2020 Framework Programme (CRESCENDO); Swiss National Science Foundation(Swiss National Science Foundation (SNSF))</t>
  </si>
  <si>
    <t>This research has been supported by the National Infrastructure for High Performance Computing and Data Storage in Norway (grant nos. ns2980k, ns2345k, nn2345k, and nn2980k), the Research Council of Norway (grant nos. INES 270061 and EVA 229771), the European Commission, Horizon 2020 Framework Programme (CRESCENDO, grant no. 641816), and the Swiss National Science Foundation (grant no. 200020_172476).</t>
  </si>
  <si>
    <t>10.5194/cp-17-753-2021</t>
  </si>
  <si>
    <t>RK2NK</t>
  </si>
  <si>
    <t>WOS:000638138000001</t>
  </si>
  <si>
    <t>Navarro, NP; Korbee, N; Jofre, J; Figueroa, FL</t>
  </si>
  <si>
    <t>Navarro, N. P.; Korbee, N.; Jofre, J.; Figueroa, F. L.</t>
  </si>
  <si>
    <t>Short-term variations of mycosporine-like amino acids in the carrageenan-producing red macroalga Mazzaella laminarioides (Gigartinales, Rhodophyta) are related to nitrate availability</t>
  </si>
  <si>
    <t>JOURNAL OF APPLIED PHYCOLOGY</t>
  </si>
  <si>
    <t>Rhodophyta; nitrate; photoprotection; solar irradiance; sub-Antarctic; UV radiation; UV-absorbing compounds</t>
  </si>
  <si>
    <t>The effect of solar UV radiation exposure and NO3- supply on mycosporine-like amino acids (MAAs) accumulation in the carrageenan-producing red macroalga Mazzaella laminarioides in a short-term period was studied. Apical segments of M. laminarioides tetrasporophytes were exposed to three treatments of solar radiation (PAR [P], PAR+UV-A [PA], and PAR+UV-A+UV-B [PAB]) under 0.38 mM NO3- or without NO3- supply. Samples were taken at the following local times: 8:00 (initial value), 13:00, and 18:00, and at 8:00 on the following day. Short-term variations in total MAA content were observed, being this variation accounted by the interaction of radiation, time exposure, and NO3- treatments. The highest MAAs content (above 3 mg g(-1) DW) was observed at 13:00 under PA (without NO3-) and PAB (with NO3-), and at 18:00 under PA (with NO3-) and PAB (with NO3-) treatments. Four MAAs were identified: asterina-330, shinorine, palythine, and mycosporine-glycine. The content and percentage of each MAA varied during the experimental time. While the accumulation of shinorine and palythine varied according to NO3- supply, mycosporine-glycine did it according to the interaction of time exposure and radiation treatment. The short-term (hours) variations in total MAAs content and the concentration of each MAA as a response to the high solar irradiance received could be a prerequisite in intertidal species to thrive in a highly variable environment.</t>
  </si>
  <si>
    <t>[Navarro, N. P.; Jofre, J.] Univ Magallanes, Fac Ciencias, Lab Ecofisiol &amp; Biotecnol Algas LEBA, Punta Arenas, Chile; [Navarro, N. P.] Ctr FONDAP Invest Dinam Ecosistemas Marino Altas, Punta Arenas, Chile; [Navarro, N. P.] Univ Magallanes, Network Extreme Environments Res, Punta Arenas, Chile; [Korbee, N.; Figueroa, F. L.] Univ Malaga, Fac Ciencias, Dept Ecol, Inst Univ Biotecnol &amp; Desarrollo Azul IBYDA, Campus Univ Teatinos S-N, Malaga 29071, Spain</t>
  </si>
  <si>
    <t>Universidad de Magallanes; Universidad de Magallanes; Universidad de Malaga</t>
  </si>
  <si>
    <t>Navarro, NP (corresponding author), Univ Magallanes, Fac Ciencias, Lab Ecofisiol &amp; Biotecnol Algas LEBA, Punta Arenas, Chile.;Navarro, NP (corresponding author), Ctr FONDAP Invest Dinam Ecosistemas Marino Altas, Punta Arenas, Chile.;Navarro, NP (corresponding author), Univ Magallanes, Network Extreme Environments Res, Punta Arenas, Chile.</t>
  </si>
  <si>
    <t>nelso.navarro@umag.cl</t>
  </si>
  <si>
    <t>Korbee Peinado, Nathalie/K-5995-2014</t>
  </si>
  <si>
    <t>Korbee Peinado, Nathalie/0000-0002-9780-4915</t>
  </si>
  <si>
    <t>ANID-Chile: Fondecyt [11160520]; Centro Fondap-IDEAL [15150003]</t>
  </si>
  <si>
    <t>ANID-Chile: Fondecyt; Centro Fondap-IDEAL</t>
  </si>
  <si>
    <t>The study was funded by grants from ANID-Chile: Fondecyt Iniciacion No. 11160520 and Centro Fondap-IDEAL 15150003.</t>
  </si>
  <si>
    <t>0921-8971</t>
  </si>
  <si>
    <t>1573-5176</t>
  </si>
  <si>
    <t>J APPL PHYCOL</t>
  </si>
  <si>
    <t>J. Appl. Phycol.</t>
  </si>
  <si>
    <t>10.1007/s10811-021-02452-w</t>
  </si>
  <si>
    <t>Biotechnology &amp; Applied Microbiology; Marine &amp; Freshwater Biology</t>
  </si>
  <si>
    <t>TR1ES</t>
  </si>
  <si>
    <t>WOS:000637486700001</t>
  </si>
  <si>
    <t>Chen, X; Liu, XD; Lin, DC; Wang, JJ; Chen, LQ; Yu, PS; Wang, LM; Xiong, ZF; Chen, MT</t>
  </si>
  <si>
    <t>Chen, Xin; Liu, Xiaodong; Lin, Da-Cheng; Wang, Jianjun; Chen, Liqi; Yu, Pai-Sen; Wang, Linmiao; Xiong, Zhifang; Chen, Min-Te</t>
  </si>
  <si>
    <t>A potential suite of climate markers of long-chain n-alkanes and alkenones preserved in the top sediments from the Pacific sector of the Southern Ocean</t>
  </si>
  <si>
    <t>PROGRESS IN EARTH AND PLANETARY SCIENCE</t>
  </si>
  <si>
    <t>Southern Ocean; Pacific Ocean; n-alkane; Carbon isotopic; SSTU37k</t>
  </si>
  <si>
    <t>Investigating organic compounds in marine sediments can potentially unlock a wealth of new information in these climate archives. Here, we present pilot study results of organic geochemical features of long-chain n-alkanes and alkenones and individual carbon isotope ratios of long-chain n-alkanes from a newly collected, approximately 8 m long, located in the far reaches of the Pacific sector of the Southern Ocean. We analyzed a suite of organic compounds in the core. The results show abundant long-chain n-alkanes (C-29-C-35) with predominant odd-over-even carbon preference, suggesting an origin of terrestrial higher plant waxes via long-range transport of dust, possibly from Australia and New Zealand. The delta C-13 values of the C-31 n-alkane range from -29.4 to -24.8 parts per thousand, in which the higher delta C-13 values suggest more contributions from C-4 plant waxes. In the analysis, we found that the mid-chain n-alkanes (C-23-C-25) have a small odd-over-even carbon preference, indicating that they were derived from marine non-diatom pelagic phytoplankton and microalgae and terrestrial sources. Furthermore, the C-26 and C-28 with lower delta C-13 values (similar to-34 parts per thousand) indicate an origin from marine chemoautotrophic bacteria. We found that the abundances of tetra-unsaturated alkenones (C-3(7:)4) in this Southern Ocean sediment core ranges from 11 to 37%, perhaps a marker of low sea surface temperature (SST). The results of this study strongly indicate that the delta C-13 values of long-chain n-alkanes and U-37(k) index are potentially useful to reconstruct the detailed history of C-3/C-4 plants and SST change in the higher latitudes of the Southern Ocean.</t>
  </si>
  <si>
    <t>[Chen, Xin; Liu, Xiaodong] Univ Sci &amp; Technol China, Sch Earth &amp; Space Sci, Anhui Prov Key Lab Polar Environm &amp; Global Change, Hefei 230026, Anhui, Peoples R China; [Chen, Xin; Wang, Jianjun; Chen, Liqi] MNR, Inst Oceanog TIO 3, Key Lab Global Change &amp; Marine Atmospher Chem GCM, Xiamen 361005, Peoples R China; [Lin, Da-Cheng; Chen, Min-Te] Natl Taiwan Ocean Univ, Inst Earth Sci, Keelung 20224, Taiwan; [Lin, Da-Cheng; Chen, Min-Te] Natl Taiwan Ocean Univ, Ctr Excellence Oceans, Keelung 20224, Taiwan; [Lin, Da-Cheng; Chen, Min-Te] Natl Taiwan Ocean Univ, Ctr Excellence Ocean Engn, Keelung 20224, Taiwan; [Yu, Pai-Sen] Taiwan Ocean Res Inst, Natl Appl Res Labs, Kaohsiung 80143, Taiwan; [Wang, Linmiao; Xiong, Zhifang] Minist Nat Resources, Inst Oceanog 1, Key Lab Marine Geol &amp; Metallogeny, Qingdao 266061, Peoples R China; [Chen, Min-Te] Pilot Natl Lab Marine Sci &amp; Technol, Qingdao 266061, Peoples R China</t>
  </si>
  <si>
    <t>Chinese Academy of Sciences; University of Science &amp; Technology of China, CAS; National Taiwan Ocean University; National Taiwan Ocean University; National Taiwan Ocean University; National Applied Research Laboratories - Taiwan; First Institute of Oceanography, Ministry of Natural Resources; Ministry of Natural Resources of the People's Republic of China; Laoshan Laboratory</t>
  </si>
  <si>
    <t>Chen, X (corresponding author), Univ Sci &amp; Technol China, Sch Earth &amp; Space Sci, Anhui Prov Key Lab Polar Environm &amp; Global Change, Hefei 230026, Anhui, Peoples R China.;Chen, MT (corresponding author), Natl Taiwan Ocean Univ, Inst Earth Sci, Keelung 20224, Taiwan.</t>
  </si>
  <si>
    <t>chenxust@mail.ustc.edu.cn; mtchen@mail.ntou.edu.tw</t>
  </si>
  <si>
    <t>Xiong, Zhifang/HMP-3975-2023; Chen, Min-Te/ABF-2935-2020; Chen, Min-Te/AAD-5990-2021</t>
  </si>
  <si>
    <t>Xiong, Zhifang/0000-0001-9370-0089; Chen, Min-Te/0000-0002-7552-1615</t>
  </si>
  <si>
    <t>National Natural Science Foundation of China [41776188, 41576183, 41476172, 41772366]; Fundamental Research Funds for the Central Universities; MOST (Ministry of Science and Technology) [01-04, 02-01, 03-04]; Chinese Projects for Investigations and Assessments of the Arctic and Antarctic [01-04, 02-01, 03-04]</t>
  </si>
  <si>
    <t>National Natural Science Foundation of China(National Natural Science Foundation of China (NSFC)); Fundamental Research Funds for the Central Universities(Fundamental Research Funds for the Central Universities); MOST (Ministry of Science and Technology); Chinese Projects for Investigations and Assessments of the Arctic and Antarctic</t>
  </si>
  <si>
    <t>This study was supported by grant numbers 41776188, 41576183, 41476172, and 41772366 from the National Natural Science Foundation of China, and the Fundamental Research Funds for the Central Universities. This work was also partly supported by the Joint Projects of MOST (Ministry of Science and Technology) to MTC and the Chinese Projects for Investigations and Assessments of the Arctic and Antarctic (CHINARE2012-2020 for 01-04, 02-01, and 03-04) to LQC.</t>
  </si>
  <si>
    <t>2197-4284</t>
  </si>
  <si>
    <t>PROG EARTH PLANET SC</t>
  </si>
  <si>
    <t>Prog. Earth Planet. Sci.</t>
  </si>
  <si>
    <t>10.1186/s40645-021-00416-9</t>
  </si>
  <si>
    <t>RJ3MP</t>
  </si>
  <si>
    <t>WOS:000637502300001</t>
  </si>
  <si>
    <t>Bodeker, GE; Kremser, S</t>
  </si>
  <si>
    <t>Bodeker, Greg E.; Kremser, Stefanie</t>
  </si>
  <si>
    <t>Indicators of Antarctic ozone depletion: 1979 to 2019</t>
  </si>
  <si>
    <t>HOLE; TRENDS; WINTER; RECOVERY</t>
  </si>
  <si>
    <t>The National Institute of Water and Atmospheric Research/Bodeker Scientific (NIWA-BS) total column ozone (TCO) database and the associated BS-filled TCO database have been updated to cover the period 1979 to 2019, bringing both to version 3.5.1 (V3.5.1). The BS-filled database builds on the NIWA-BS database by using a machine-learning algorithm to fill spatial and temporal data gaps to provide gap-free TCO fields over Antarctica. These filled TCO fields then provide a more complete picture of wintertime changes in the ozone layer over Antarctica. The BS-filled database has been used to calculate continuous, homogeneous time series of indicators of Antarctic ozone depletion from 1979 to 2019, including (i) daily values of the ozone mass deficit based on TCO below a 220 DU threshold; (ii) daily measures of the area over Antarctica where TCO levels are below 150 DU, below 220 DU, more than 30% below 1979 to 1981 climatological means, and more than 50% below 1979 to 1981 climatological means; (iii) the date of disappearance of 150 DU TCO values, 220 DU TCO values, values 30% or more below 1979 to 1981 climatological means, and values 50% or more below 1979 to 1981 climatological means, for each year; and (iv) daily minimum TCO values over the range 75 to 90 degrees S equivalent latitude. Since both the NIWA-BS and BS-filled databases provide uncertainties on every TCO value, the Antarctic ozone depletion metrics are provided, for the first time, with fully traceable uncertainties. To gain insight into how the vertical distribution of ozone over Antarctica has changed over the past 36 years, ozone concentrations, combined and homogenized from several satellite-based ozone monitoring instruments as well as the global ozonesonde network, were also analysed. A robust attribution to changes in the drivers of long-term secular variability in these metrics has not been performed in this analysis. As a result, statements about the recovery of Antarctic TCO from the effects of ozone-depleting substances cannot be made. That said, there are clear indications of a change in trend in many of the metrics reported on here around the turn of the century, close to when Antarctic stratospheric concentrations of chlorine and bromine peaked.</t>
  </si>
  <si>
    <t>[Bodeker, Greg E.; Kremser, Stefanie] Bodeker Sci, 42 Russell St, Alexandra 9320, New Zealand; [Bodeker, Greg E.] Victoria Univ Wellington, Sch Geog Environm &amp; Earth Sci, Wellington, New Zealand</t>
  </si>
  <si>
    <t>Victoria University Wellington</t>
  </si>
  <si>
    <t>Bodeker, GE (corresponding author), Bodeker Sci, 42 Russell St, Alexandra 9320, New Zealand.</t>
  </si>
  <si>
    <t>greg@bodekerscientific.com</t>
  </si>
  <si>
    <t>Bodeker, Greg E/A-8870-2008</t>
  </si>
  <si>
    <t>Bodeker, Gregory/0000-0003-1094-5852</t>
  </si>
  <si>
    <t>New Zealand Ministry of Business, Innovation and Employment through the Antarctic Science Platform (ASP) [ANTA1801]</t>
  </si>
  <si>
    <t>New Zealand Ministry of Business, Innovation and Employment through the Antarctic Science Platform (ASP)</t>
  </si>
  <si>
    <t>This research has been supported through funding from the New Zealand Ministry of Business, Innovation and Employment through the Antarctic Science Platform (ASP) (contract no. ANTA1801).</t>
  </si>
  <si>
    <t>10.5194/acp-21-5289-2021</t>
  </si>
  <si>
    <t>RK2LP</t>
  </si>
  <si>
    <t>WOS:000638133200003</t>
  </si>
  <si>
    <t>Payne, JL; Morrissey, LJ; Tucker, NM; Roche, LK; Szpunar, MA; Neroni, R</t>
  </si>
  <si>
    <t>Payne, Justin L.; Morrissey, Laura J.; Tucker, Naomi M.; Roche, Lisa K.; Szpunar, Michael A.; Neroni, Regis</t>
  </si>
  <si>
    <t>Granites and gabbros at the dawn of a coherent Australian continent</t>
  </si>
  <si>
    <t>PRECAMBRIAN RESEARCH</t>
  </si>
  <si>
    <t>Rudall Province; Rodinia; Australia; Mesoproterozoic; Zircon; Crustal growth</t>
  </si>
  <si>
    <t>ALBANY-FRASER OROGEN; PROTEROZOIC CRUSTAL EVOLUTION; MUSGRAVE PROVINCE; RUDALL PROVINCE; AGED REWORKING; ARUNTA REGION; ARC MAGMATISM; CRATON-MARGIN; WESTERN; CONSTRAINTS</t>
  </si>
  <si>
    <t>The Rudall Province in Western Australia is a key crustal component in the amalgamation of the Rodinia supercontinent. New field observations, U-Pb zircon geochronology and geochemistry identify three previously unrecognised Mesoproterozoic magmatic events in the eastern Rudall Province. The Kayilirra Suite formed at ca. 1500 Ma and is a magnesian, calc-alkalic to alkali-calcic and weakly peraluminous suite with a limited SiO2 range of 69-70 wt%. The suite is interpreted to have formed in either a post-tectonic or rift-related setting. The Kalyukuyarra Suite formed at ca. 1185-1165 Ma and was synchronous with a peak in magmatic activity in the along-strike Musgrave Province. The suite is magnesian to ferroan, alkali-calcic and calc-alkalic, high K and peraluminous. Abundant inherited zircon grains indicate a dominantly crustal origin for the suite with only minor interpreted mantle input. Newly identified mafic and felsic magmatism was associated with the ca. 1380-1275 Ma Parnngurr Orogeny and further establishes correlations with the Mount West Orogeny in the Musgrave Province and Stage 1 of the Albany-Fraser Orogeny. The new data support the progressive, final amalgamation of the Australian-Antarctic crustal fragments during the period ca. 1380-1250 Ma through consumption of oceanic crust below the over-riding West Australian Craton.</t>
  </si>
  <si>
    <t>[Payne, Justin L.; Morrissey, Laura J.] Univ South Australia, UniSA STEM, Mawson Lakes, SA 5095, Australia; [Payne, Justin L.; Morrissey, Laura J.] Univ South Australia, Future Ind Inst, MinEx CRC, Mawson Lakes, SA 5095, Australia; [Tucker, Naomi M.] Univ Western Australia, Sch Earth Sci, Perth, WA 6009, Australia; [Roche, Lisa K.; Szpunar, Michael A.; Neroni, Regis] Fortescue Met Grp Ltd, East Perth, WA 6004, Australia</t>
  </si>
  <si>
    <t>University of South Australia; University of South Australia; University of Western Australia; University of Western Australia</t>
  </si>
  <si>
    <t>Payne, JL (corresponding author), Univ South Australia, UniSA STEM, Mawson Lakes, SA 5095, Australia.</t>
  </si>
  <si>
    <t>justin.payne@unisa.edu.au</t>
  </si>
  <si>
    <t>; Payne, Justin/B-8260-2013</t>
  </si>
  <si>
    <t>Tucker, Naomi/0000-0002-6795-0903; Morrissey, Laura/0000-0001-7506-6117; Payne, Justin/0000-0002-3953-7783</t>
  </si>
  <si>
    <t>Fortescue Metals Group Ltd.</t>
  </si>
  <si>
    <t>This work was supported by Fortescue Metals Group Ltd.</t>
  </si>
  <si>
    <t>0301-9268</t>
  </si>
  <si>
    <t>1872-7433</t>
  </si>
  <si>
    <t>PRECAMBRIAN RES</t>
  </si>
  <si>
    <t>Precambrian Res.</t>
  </si>
  <si>
    <t>JUL 1</t>
  </si>
  <si>
    <t>10.1016/j.precamres.2021.106189</t>
  </si>
  <si>
    <t>SE5IW</t>
  </si>
  <si>
    <t>WOS:000652106800013</t>
  </si>
  <si>
    <t>Haupt, SE; Chapman, W; Adams, SV; Kirkwood, C; Hosking, JS; Robinson, NH; Lerch, S; Subramanian, AC</t>
  </si>
  <si>
    <t>Haupt, Sue Ellen; Chapman, William; Adams, Samantha V.; Kirkwood, Charlie; Hosking, J. Scott; Robinson, Niall H.; Lerch, Sebastian; Subramanian, Aneesh C.</t>
  </si>
  <si>
    <t>Towards implementing artificial intelligence post-processing in weather and climate: proposed actions from the Oxford 2019 workshop</t>
  </si>
  <si>
    <t>PHILOSOPHICAL TRANSACTIONS OF THE ROYAL SOCIETY A-MATHEMATICAL PHYSICAL AND ENGINEERING SCIENCES</t>
  </si>
  <si>
    <t>artificial intelligence; machine learning; weather; climate; post-processing</t>
  </si>
  <si>
    <t>MODEL OUTPUT STATISTICS; PROBABILISTIC-FORECASTS; ENSEMBLE VARIANCE; ANALOG ENSEMBLE; WIND; PRECIPITATION; PREDICTION; SYSTEM; OSCILLATION; VARIABILITY</t>
  </si>
  <si>
    <t>The most mature aspect of applying artificial intelligence (AI)/machine learning (ML) to problems in the atmospheric sciences is likely post-processing of model output. This article provides some history and current state of the science of post-processing with AI for weather and climate models. Deriving from the discussion at the 2019 Oxford workshop on Machine Learning for Weather and Climate, this paper also presents thoughts on medium-term goals to advance such use of AI, which include assuring that algorithms are trustworthy and interpretable, adherence to FAIR data practices to promote usability, and development of techniques that leverage our physical knowledge of the atmosphere. The coauthors propose several actionable items and have initiated one of those: a repository for datasets from various real weather and climate problems that can be addressed using AI. Five such datasets are presented and permanently archived, together with Jupyter notebooks to process them and assess the results in comparison with a baseline technique. The coauthors invite the readers to test their own algorithms in comparison with the baseline and to archive their results. This article is part of the theme issue 'Machine learning for weather and climate modelling'.</t>
  </si>
  <si>
    <t>[Haupt, Sue Ellen] Natl Ctr Atmospher Res, Res Applicat Lab, POB 3000, Boulder, CO 80307 USA; [Chapman, William] Scripps Inst Oceanog, La Jolla, CA USA; [Adams, Samantha V.] Met Off Informat Lab, Exeter, Devon, England; [Kirkwood, Charlie] Univ Exeter, Stat Sci, Exeter EX4 4QE, Devon, England; [Hosking, J. Scott] Alan Turing Inst, British Antarctic Survey, London, England; [Robinson, Niall H.] Univ Exeter, Met Off Informat Lab, Exeter, Devon, England; [Lerch, Sebastian] Karlsruhe Inst Technol, Karlsruhe, Germany; [Subramanian, Aneesh C.] Univ Colorado, Atmospher &amp; Ocean Sci, Boulder, CO 80309 USA</t>
  </si>
  <si>
    <t>National Center Atmospheric Research (NCAR) - USA; University of California System; University of California San Diego; Scripps Institution of Oceanography; University of Exeter; UK Research &amp; Innovation (UKRI); Natural Environment Research Council (NERC); NERC British Antarctic Survey; University of Exeter; Helmholtz Association; Karlsruhe Institute of Technology; University of Colorado System; University of Colorado Boulder</t>
  </si>
  <si>
    <t>Haupt, SE (corresponding author), Natl Ctr Atmospher Res, Res Applicat Lab, POB 3000, Boulder, CO 80307 USA.</t>
  </si>
  <si>
    <t>haupt@ucar.edu</t>
  </si>
  <si>
    <t>Subramanian, Aneesh/AFP-8577-2022; Robinson, Niall Joseph/GQZ-7316-2022; Subramanian, Aneesh/D-9484-2017</t>
  </si>
  <si>
    <t>Kirkwood, Charlie/0000-0003-3218-4097; Subramanian, Aneesh/0000-0001-7805-0102; Lerch, Sebastian/0000-0002-3467-4375</t>
  </si>
  <si>
    <t>US National Science Foundation [1852977]; Deutsche Forschungsgemeinschaft [SFB/TRR 165]; Polar Science for Planet Earth programme at the British Antarctic Survey (BAS), Natural Environment Research Centre (NERC); NOAA Climate Variability and Predictability Program [NA18OAR4310405]; ONR, United States [N00014-17-S-B001]; NERC [bas0100032] Funding Source: UKRI</t>
  </si>
  <si>
    <t>US National Science Foundation(National Science Foundation (NSF)); Deutsche Forschungsgemeinschaft(German Research Foundation (DFG)); Polar Science for Planet Earth programme at the British Antarctic Survey (BAS), Natural Environment Research Centre (NERC); NOAA Climate Variability and Predictability Program(National Oceanic Atmospheric Admin (NOAA) - USA); ONR, United States; NERC(UK Research &amp; Innovation (UKRI)Natural Environment Research Council (NERC))</t>
  </si>
  <si>
    <t>SEH is with the National Center for Atmospheric Research, which is sponsored by the US National Science Foundation under Cooperative Agreement No. 1852977. SL acknowledges support by the Deutsche Forschungsgemeinschaft through SFB/TRR 165 'Waves to Weather'. JSH acknowledges support by the Polar Science for Planet Earth programme at the British Antarctic Survey (BAS), which is part of the Natural Environment Research Centre (NERC), ACS acknowledges support from the NOAA Climate Variability and Predictability Program (Award NA18OAR4310405) and by the ONR, United States (N00014-17-S-B001).</t>
  </si>
  <si>
    <t>ROYAL SOC</t>
  </si>
  <si>
    <t>6-9 CARLTON HOUSE TERRACE, LONDON SW1Y 5AG, ENGLAND</t>
  </si>
  <si>
    <t>1364-503X</t>
  </si>
  <si>
    <t>1471-2962</t>
  </si>
  <si>
    <t>PHILOS T R SOC A</t>
  </si>
  <si>
    <t>Philos. Trans. R. Soc. A-Math. Phys. Eng. Sci.</t>
  </si>
  <si>
    <t>APR 5</t>
  </si>
  <si>
    <t>10.1098/rsta.2020.0091</t>
  </si>
  <si>
    <t>SA2LS</t>
  </si>
  <si>
    <t>WOS:000649132600005</t>
  </si>
  <si>
    <t>Frankish, CK; Manica, A; Navarro, J; Phillips, RA</t>
  </si>
  <si>
    <t>Frankish, Caitlin K.; Manica, Andrea; Navarro, Joan; Phillips, Richard A.</t>
  </si>
  <si>
    <t>Movements and diving behaviour of white-chinned petrels: Diurnal variation and implications for bycatch mitigation</t>
  </si>
  <si>
    <t>behaviour; birds; endangered species; fishing; ocean; tracking</t>
  </si>
  <si>
    <t>PELAGIC LONGLINE FISHERIES; TOOTHFISH DISSOSTICHUS-ELEGINOIDES; SEABIRD BYCATCH; PROCELLARIA-AEQUINOCTIALIS; FEEDING ECOLOGY; FORAGING BEHAVIOR; SOUTH-GEORGIA; INCIDENTAL MORTALITY; ALBATROSS MORTALITY; SPANISH-SYSTEM</t>
  </si>
  <si>
    <t>Many seabirds dive to forage, and the ability to use this hunting technique varies according to such factors as morphology, physiology, prey availability, and ambient light levels. Proficient divers are more able to seize sinking baits deployed by longline fishing vessels and may return them to the surface, increasing exposure of other species. Hence, diving ability has major implications for mitigating incidental mortality (bycatch) in fisheries. Here, the diving behaviour and activity patterns of the most bycaught seabird species worldwide, the white-chinned petrel (Procellaria aequinoctialis), tracked from Bird Island (South Georgia), are analysed. Three data sources (dives, spatial movements, and immersion events) are combined to examine diverse aspects of at-sea foraging behaviour, and their implications for alternative approaches to bycatch mitigation are considered. The tracked white-chinned petrels (n = 14) mostly performed shallow dives (&lt;3 m deep) of very short duration (&lt;5 s), predominantly during darkness, but only 7 and 10% of landings in daylight and darkness, respectively, involved diving, suggesting that surface-seizing is the preferred foraging technique. Nonetheless, individuals were able to dive to considerable depth (max = 14.5 m) and at speed (max = 2.0 m center dot s(-1)), underlining the importance of using heavy line-weighting to maximize hook sink rates, and bird-scaring lines (Tori lines) that extend for long distances behind vessels to protect hooks until beyond diving depths.</t>
  </si>
  <si>
    <t>[Frankish, Caitlin K.; Phillips, Richard A.] British Antarctic Survey, Nat Environm Res Council, Cambridge, England; [Frankish, Caitlin K.; Manica, Andrea] Univ Cambridge, Dept Zool, Cambridge, England; [Navarro, Joan] CSIC, Inst Ciencies Mar ICM, Barcelona, Spain</t>
  </si>
  <si>
    <t>UK Research &amp; Innovation (UKRI); Natural Environment Research Council (NERC); NERC British Antarctic Survey; University of Cambridge; Consejo Superior de Investigaciones Cientificas (CSIC); CSIC - Centro Mediterraneo de Investigaciones Marinas y Ambientales (CMIMA); CSIC - Instituto de Ciencias del Mar (ICM)</t>
  </si>
  <si>
    <t>Frankish, CK (corresponding author), Univ Cambridge, Dept Zool, Cambridge, England.</t>
  </si>
  <si>
    <t>cakish36@bas.ac.uk</t>
  </si>
  <si>
    <t>Navarro, Joan/C-2119-2009; Manica, Andrea/N-9013-2019</t>
  </si>
  <si>
    <t>Navarro, Joan/0000-0002-5756-9543; Manica, Andrea/0000-0003-1895-450X; Frankish, Caitlin Kim/0000-0002-4930-6153</t>
  </si>
  <si>
    <t>Natural Environmental Research Council (NERC); NERC [NE/L002507/1]; Government of South Georgia and the South Sandwich Islands; Royal Society for the Protection of Birds (RSPB); NERC; NERC [bas0100035] Funding Source: UKRI</t>
  </si>
  <si>
    <t>Natural Environmental Research Council (NERC)(UK Research &amp; Innovation (UKRI)Natural Environment Research Council (NERC)); NERC(UK Research &amp; Innovation (UKRI)Natural Environment Research Council (NERC)); Government of South Georgia and the South Sandwich Islands; Royal Society for the Protection of Birds (RSPB); NERC(UK Research &amp; Innovation (UKRI)Natural Environment Research Council (NERC)); NERC(UK Research &amp; Innovation (UKRI)Natural Environment Research Council (NERC))</t>
  </si>
  <si>
    <t>We are grateful to all the field workers involved in device deployment and retrieval at Bird Island. We also thank the referees and the editors for their comments, which helped improve the manuscript. The tracking was funded by Natural Environmental Research Council (NERC) core funding to British Antarctic Survey. C.K.F. was supported by a studentship co-funded by NERC (Grant number: NE/L002507/1) and the Government of South Georgia and the South Sandwich Islands, with CASE funding from the Royal Society for the Protection of Birds (RSPB). This study represents a contribution to the Ecosystems Component of the British Antarctic Survey Polar Science for Planet Earth Programme, funded by NERC.</t>
  </si>
  <si>
    <t>10.1002/aqc.3573</t>
  </si>
  <si>
    <t>TJ6YO</t>
  </si>
  <si>
    <t>WOS:000636597200001</t>
  </si>
  <si>
    <t>Brusa, JL; Rotella, JJ; Garrott, RA</t>
  </si>
  <si>
    <t>Brusa, Jamie L.; Rotella, Jay J.; Garrott, Robert A.</t>
  </si>
  <si>
    <t>Influence of age and individual identity in the use of breeding colony habitat by male Weddell seals in Erebus Bay, Antarctica</t>
  </si>
  <si>
    <t>MARINE MAMMAL SCIENCE</t>
  </si>
  <si>
    <t>age; habitat usage; individual heterogeneity; Leptonychotes weddellii; spatial distribution; Weddell seal</t>
  </si>
  <si>
    <t>REPRODUCTIVE-BEHAVIOR; SPATIAL VARIATION; MATING SUCCESS; MCMURDO-SOUND; LIFE-HISTORY; GREY SEAL; SELECTION; QUALITY; ICE; PERFORMANCE</t>
  </si>
  <si>
    <t>Male-male contest behavior can contribute to spatial distributions of male pinnipeds during breeding seasons. To maximize breeding opportunities, the most competitive males would be expected to be surrounded by the highest numbers of reproductive-age females. As information regarding fine-scale spatial ecology of Weddell seals is lacking, we performed an exploratory study using kernel density analyses to evaluate age-specific habitat use of male Weddell seals in Erebus Bay, Antarctica. Additionally, we investigated the relationship between age and number of surrounding reproductive-age females using a competing set of regression models in a Bayesian framework that considered different functional forms of age while incorporating individual heterogeneity. As male adult Weddell seals aged, to at least 20 years, they were more likely to be found in areas associated with the greatest densities of reproductive-age females, but individual heterogeneity also influenced the number of reproductive-age female neighbors. The youngest males tended to haul out in offshore areas associated with better hunting, and older males tended to settle in more nearshore areas associated with more pup production. Our findings from this preliminary investigation indicate that male Weddell seal spatial behavior during the breeding season varies with age and individual and might be related to reproductive activity.</t>
  </si>
  <si>
    <t>[Brusa, Jamie L.; Rotella, Jay J.; Garrott, Robert A.] Montana State Univ, Dept Ecol, 310 Lewis Hall,POB 173460, Bozeman, MT 59717 USA</t>
  </si>
  <si>
    <t>Montana State University System; Montana State University Bozeman</t>
  </si>
  <si>
    <t>Brusa, JL (corresponding author), Montana State Univ, Dept Ecol, 310 Lewis Hall,POB 173460, Bozeman, MT 59717 USA.</t>
  </si>
  <si>
    <t>jlbwcc@gmail.com</t>
  </si>
  <si>
    <t>Rotella, Jay/0000-0001-7014-7524; Jamie, Brusa/0000-0003-4787-0460</t>
  </si>
  <si>
    <t>National Science Foundation, Division of Polar Programs [1640481]; Office of Polar Programs (OPP); Directorate For Geosciences [1640481] Funding Source: National Science Foundation</t>
  </si>
  <si>
    <t>National Science Foundation, Division of Polar Programs(National Science Foundation (NSF)); Office of Polar Programs (OPP); Directorate For Geosciences(National Science Foundation (NSF)NSF - Directorate for Geosciences (GEO))</t>
  </si>
  <si>
    <t>We are very grateful to the many field technicians who helped collect data for this project as well C. Guy, T. McMahon, and P. Hutchins, who provided thoughtful comments for earlier versions of this manuscript. P. Hutchins also assisted substantially with data preparation. Leidos, Lockheed Martin, Raytheon Polar Services Company, Antarctic Support Associates, the United States Navy and Air Force, and Petroleum Helicopters Inc. provided logistical support for all fieldwork. Funding for this project was provided by the National Science Foundation, Division of Polar Programs (Grant no. 1640481 awarded to J. J. Rotella, R. A. Garrott, and D. B. Siniff).</t>
  </si>
  <si>
    <t>0824-0469</t>
  </si>
  <si>
    <t>1748-7692</t>
  </si>
  <si>
    <t>MAR MAMMAL SCI</t>
  </si>
  <si>
    <t>Mar. Mamm. Sci.</t>
  </si>
  <si>
    <t>10.1111/mms.12812</t>
  </si>
  <si>
    <t>Marine &amp; Freshwater Biology; Zoology</t>
  </si>
  <si>
    <t>UZ5ZX</t>
  </si>
  <si>
    <t>WOS:000636601500001</t>
  </si>
  <si>
    <t>Bean, L</t>
  </si>
  <si>
    <t>Bean, Lynne</t>
  </si>
  <si>
    <t>Revision of the Mesozoic freshwater fish clade Archaeomaenidae</t>
  </si>
  <si>
    <t>ALCHERINGA</t>
  </si>
  <si>
    <t>Archaeomaene; Wadeichthys; Oreochima; Zaxilepis; Gurvanichthys; Talbragar; Koonwarra</t>
  </si>
  <si>
    <t>ZEBRAFISH; TALBRAGAR; TELEOSTEI</t>
  </si>
  <si>
    <t>Archaeomaenidae is a clade of Mesozoic freshwater fishes that includes the Australian species Archaeomaene tenuis, Madariscus robustus and Wadeichthys oxyops, the Antarctic Oreochima ellioti, the Chinese Zaxilepis qinglongensis, and the Mongolian Gurvanichthys mongoliensis. A comprehensive redescription of the genus Archaeomaene demonstrates that Madariscus robustus is a junior synonym of Archaeomaene tenuis, and thus constitutes an ontogenetic body-size series. A detailed revision of W. oxyops and O. ellioti also confirms their phylogenetic placements within Archaeomaenidae. Furthermore, the incompletely documented taxa Z. qinglongensis and G. mongoliensis are recognized as archaeomaenids. Archaeomaenidae therefore comprises a geographically widely distributed radiation of stem teleosts or teleosteomorphs that is closely related to the archetypal Eurasian clade Pholidophoridae. Lynne Bean [] Research School of Earth Sciences, Australian National University, 142 Mills Road, Acton, ACT 2601, Australia.</t>
  </si>
  <si>
    <t>[Bean, Lynne] Australian Natl Univ, Res Sch Earth Sci, 142 Mills Rd, Acton, ACT 2601, Australia</t>
  </si>
  <si>
    <t>Australian National University</t>
  </si>
  <si>
    <t>Bean, L (corresponding author), Australian Natl Univ, Res Sch Earth Sci, 142 Mills Rd, Acton, ACT 2601, Australia.</t>
  </si>
  <si>
    <t>Lynne.bean@anu.edu.au</t>
  </si>
  <si>
    <t>0311-5518</t>
  </si>
  <si>
    <t>1752-0754</t>
  </si>
  <si>
    <t>Alcheringa</t>
  </si>
  <si>
    <t>APR 3</t>
  </si>
  <si>
    <t>10.1080/03115518.2021.1937700</t>
  </si>
  <si>
    <t>Paleontology</t>
  </si>
  <si>
    <t>UQ3LV</t>
  </si>
  <si>
    <t>WOS:000695969800006</t>
  </si>
  <si>
    <t>Sokolov, SG; Shchenkov, SV; Gordeev, II</t>
  </si>
  <si>
    <t>Sokolov, S. G.; Shchenkov, S. V.; Gordeev, I. I.</t>
  </si>
  <si>
    <t>A phylogenetic assessment of Pronoprymna spp. (Digenea: Faustulidae) and Pacific and Antarctic representatives of the genus Steringophorus Odhner, 1905 (Digenea: Fellodistomidae), with description of a new species</t>
  </si>
  <si>
    <t>JOURNAL OF NATURAL HISTORY</t>
  </si>
  <si>
    <t>Digenea; Gymnophalloidea; marine environment; 28S rDNA; nd1 mtDNA</t>
  </si>
  <si>
    <t>DEEP-SEA FISHES; NORTHEASTERN ATLANTIC; SEQUENCE ALIGNMENT; MARINE FISHES; LIFE-CYCLE; TREMATODES; PLATYHELMINTHES; YAMAGUTI; TELEOSTS; COAST</t>
  </si>
  <si>
    <t>In this study, we elucidated the phylogenetic position of a Pacific species Pronoprymna petrowi, a Caspian species Pronoprymna ventricosa, an Antarctic species of the genus Steringophorus, S. liparidis, and a new species of the same genus, S. occidentalipacificus sp. nov. The new species was found in a bathylagid fish Leuroglossus schmidti from the Sea of Okhotsk. Steringophorus occidentalipacificus sp. nov. is similar to S. congeri, and differs from it in the length of the body and the forebody, the shape of the testes, the sucker-ratio, the size of eggs and the extension of the caeca and the cirrus-sac. The 28S rRNA gene-based analyses supported a sister relationship between Pr. petrowi and Pr. ventricosa, and put the genus Pronoprymna into to the group of faustulids (sensu lato), which is nested within the Gymnophaloidea clade. Based on the results of these analyses, Steringophorus is identified as a paraphyletic taxon within the Fellodistomidae (Gymnophalloidea). Phylogenic reconstructions also support a morphologically identified sister relationship between S. liparidis and S. thulini and demonstrate a close relationship of S. occidentalipacificus sp. nov. with S. blackeri and S. pritchardae. The analysis of the nd1 gene sequences also confirmed the phylogenetic affinity of S. liparidis to S. thulini.</t>
  </si>
  <si>
    <t>[Sokolov, S. G.] AN Severtsov Inst Ecol &amp; Evolut, Ctr Parasitol, Moscow, Russia; [Shchenkov, S. V.] St Petersburg State Univ, Dept Invertebrate Zool, St Petersburg, Russia; [Gordeev, I. I.] Russian Fed Res Inst Fisheries &amp; Oceanog, Dept Pacific Salmons, Moscow, Russia; [Gordeev, I. I.] Lomonosov Moscow State Univ, Dept Invertebrate Zool, Moscow, Russia</t>
  </si>
  <si>
    <t>Russian Academy of Sciences; Saratov Scientific Center of the Russian Academy of Sciences; Severtsov Institute of Ecology &amp; Evolution; Saint Petersburg State University; Research lnstitute of Fisheries &amp; Oceanography; Lomonosov Moscow State University</t>
  </si>
  <si>
    <t>Gordeev, II (corresponding author), Russian Fed Res Inst Fisheries &amp; Oceanog, Dept Pacific Salmons, Moscow, Russia.;Gordeev, II (corresponding author), Lomonosov Moscow State Univ, Dept Invertebrate Zool, Moscow, Russia.</t>
  </si>
  <si>
    <t>gordeev_ilya@bk.ru</t>
  </si>
  <si>
    <t>Sokolov, Sergey/AAC-3505-2022; Gordeev, Ilya/F-2972-2017</t>
  </si>
  <si>
    <t>Sokolov, Sergey/0000-0002-4822-966X; Gordeev, Ilya/0000-0002-6650-9120; Shchenkov, Sergei/0000-0002-0579-1660</t>
  </si>
  <si>
    <t>Centre of Parasitology, A.N.Severtsov Institute of Ecology and Evolution of RAS [0109-2018-0075]</t>
  </si>
  <si>
    <t>Centre of Parasitology, A.N.Severtsov Institute of Ecology and Evolution of RAS</t>
  </si>
  <si>
    <t>This work is a part of the state-supported studies in the Centre of Parasitology, A.N.Severtsov Institute of Ecology and Evolution of RAS (project no. 0109-2018-0075).</t>
  </si>
  <si>
    <t>0022-2933</t>
  </si>
  <si>
    <t>1464-5262</t>
  </si>
  <si>
    <t>J NAT HIST</t>
  </si>
  <si>
    <t>J. Nat. Hist.</t>
  </si>
  <si>
    <t>13-14</t>
  </si>
  <si>
    <t>10.1080/00222933.2021.1923852</t>
  </si>
  <si>
    <t>Biodiversity Conservation; Ecology; Zoology</t>
  </si>
  <si>
    <t>Biodiversity &amp; Conservation; Environmental Sciences &amp; Ecology; Zoology</t>
  </si>
  <si>
    <t>ST1YY</t>
  </si>
  <si>
    <t>WOS:000662248100001</t>
  </si>
  <si>
    <t>Sarker, S; Athukorala, A; Talukder, S; Haque, MH; Helbig, K; Lavers, JL; Raidal, SR</t>
  </si>
  <si>
    <t>Sarker, Subir; Athukorala, Ajani; Talukder, Saranika; Haque, Md Hakimul; Helbig, Karla; Lavers, Jennifer L.; Raidal, Shane R.</t>
  </si>
  <si>
    <t>Resolution of the phylogenetic relationship of the vulnerable flesh-footed shearwater (Ardenna carneipes) seabird using a complete mitochondrial genome</t>
  </si>
  <si>
    <t>MITOCHONDRIAL DNA PART B-RESOURCES</t>
  </si>
  <si>
    <t>Ardenna carneipes; complete mitogenome; evolution; order Procellariiformes; phylogenetic analysis</t>
  </si>
  <si>
    <t>Flesh-footed shearwater (Ardenna carneipes) is recognized as vulnerable seabird species in Western Australia and New South Wales, Australia, and its genetic variability and a well-resolved phylogeny is imperative for the species' conservation. Here, we report the first sequenced mitogenome of the Australian A. carneipes. The mitogenome of A. carneipes was 16,370 bp in total length and encompassed 13 protein-coding genes, two ribosomal RNAs, 22 transfer RNAs, and one non-coding region (D-loop). All of the genes were encoded on the H-strand with the exception of ND6 and eight tRNAs, which is a conserved pattern of the mitogenome for other vertebrates. The mitogenome of A. carneipes was dominated by higher AT (56.5%) than GC (43.5%) content. In the resulting phylogenetic tree using complete mitogenome sequences, flesh-footed shearwater and gray petrel (Procellaria cinerea) grouped together despite the high genetic distance (11.0%) between them, belonging to family Procellariidae. However, the phylogenetic tree was consistent with a previous study using partial nucleotide sequences of the cytochrome b gene. These results highlight that further mitogenome sequences will be required from the closely related species under the genus Ardenna to delineate well-resolved phylogenetic classification at the genus and or species level. The present study provides a reference mitochondrial genome of flesh-footed shearwater for further molecular studies.</t>
  </si>
  <si>
    <t>[Sarker, Subir; Athukorala, Ajani; Helbig, Karla] La Trobe Univ, Sch Life Sci, Dept Physiol Anat &amp; Microbiol, Melbourne, Vic, Australia; [Talukder, Saranika] Univ Melbourne, Fac Vet &amp; Agr Sci, Sch Agr &amp; Food, Melbourne, Vic, Australia; [Haque, Md Hakimul] Rajshahi Univ, Fac Agr, Dept Vet &amp; Anim Sci, Rajshahi, Bangladesh; [Lavers, Jennifer L.] Univ Tasmania, Inst Marine &amp; Antarctic Studies, Hobart, Tas, Australia; [Raidal, Shane R.] Charles Sturt Univ, Fac Sci, Sch Anim &amp; Vet Sci, Wagga Wagga, NSW, Australia; [Raidal, Shane R.] Charles Sturt Univ, Sch Anim &amp; Vet Sci, Vet Diagnost Lab, Wagga Wagga, NSW, Australia</t>
  </si>
  <si>
    <t>Melbourne Genomics Health Alliance; La Trobe University; Melbourne Genomics Health Alliance; University of Melbourne; University of Rajshahi; University of Tasmania; Charles Sturt University; Charles Sturt University</t>
  </si>
  <si>
    <t>Sarker, S (corresponding author), La Trobe Univ, Sch Life Sci, Dept Physiol Anat &amp; Microbiol, Melbourne, Vic, Australia.;Lavers, JL (corresponding author), Univ Tasmania, Inst Marine &amp; Antarctic Studies, Hobart, Tas, Australia.;Raidal, SR (corresponding author), Charles Sturt Univ, Fac Sci, Sch Anim &amp; Vet Sci, Wagga Wagga, NSW, Australia.;Raidal, SR (corresponding author), Charles Sturt Univ, Sch Anim &amp; Vet Sci, Vet Diagnost Lab, Wagga Wagga, NSW, Australia.</t>
  </si>
  <si>
    <t>S.Sarker@latrobe.edu.au; jennifer.lavers@utas.edu.au; shraidal@csu.edu.au</t>
  </si>
  <si>
    <t>Haque, Md Hakimul/P-6416-2019; Lavers, Jennifer/IWM-5417-2023; Sarker, Subir/U-8444-2019; Lavers, Jennifer/O-4831-2017; Talukder, Saranika/AGV-5719-2022; Raidal, Shane/C-4632-2008</t>
  </si>
  <si>
    <t>Haque, Md Hakimul/0000-0002-3856-6478; Sarker, Subir/0000-0002-2685-8377; Lavers, Jennifer/0000-0001-7596-6588; Talukder, Saranika/0000-0002-0453-3678; Raidal, Shane/0000-0001-7917-8976</t>
  </si>
  <si>
    <t>Australian Research Council Discovery Early Career Researcher Award [DE200100367]; Australian government; Australian Research Council [DE200100367] Funding Source: Australian Research Council</t>
  </si>
  <si>
    <t>Australian Research Council Discovery Early Career Researcher Award(Australian Research Council); Australian government(Australian Government); Australian Research Council(Australian Research Council)</t>
  </si>
  <si>
    <t>The Australian Government had no role in study design, data collection and analysis, decision to publish, or preparation of the manuscript. Dr. Sarker is the recipient of an Australian Research Council Discovery Early Career Researcher Award [grant number DE200100367] funded by the Australian government.</t>
  </si>
  <si>
    <t>2380-2359</t>
  </si>
  <si>
    <t>MITOCHONDRIAL DNA B</t>
  </si>
  <si>
    <t>Mitochondrial DNA Part B-Resour.</t>
  </si>
  <si>
    <t>10.1080/23802359.2021.1914234</t>
  </si>
  <si>
    <t>Genetics &amp; Heredity</t>
  </si>
  <si>
    <t>RU2YF</t>
  </si>
  <si>
    <t>WOS:000645015100001</t>
  </si>
  <si>
    <t>Yokoyama, Y; Purcell, A</t>
  </si>
  <si>
    <t>Yokoyama, Yusuke; Purcell, Anthony</t>
  </si>
  <si>
    <t>On the geophysical processes impacting palaeo-sea-level observations</t>
  </si>
  <si>
    <t>GEOSCIENCE LETTERS</t>
  </si>
  <si>
    <t>LAST GLACIAL MAXIMUM; ANTARCTIC ICE-SHEET; GREAT-BARRIER-REEF; LUTZOW-HOLM BAY; MANTLE VISCOSITY; ISOSTATIC-ADJUSTMENT; LATE PLEISTOCENE; ENVIRONMENTAL-CHANGES; COUPLED CLIMATE; EXPOSURE AGE</t>
  </si>
  <si>
    <t>Past sea-level change represents the large-scale state of global climate, reflecting the waxing and waning of global ice sheets and the corresponding effect on ocean volume. Recent developments in sampling and analytical methods enable us to more precisely reconstruct past sea-level changes using geological indicators dated by radiometric methods. However, ice-volume changes alone cannot wholly account for these observations of local, relative sea-level change because of various geophysical factors including glacio-hydro-isostatic adjustments (GIA). The mechanisms behind GIA cannot be ignored when reconstructing global ice volume, yet they remain poorly understood within the general sea-level community. In this paper, various geophysical factors affecting sea-level observations are discussed and the details and impacts of these processes on estimates of past ice volumes are introduced.</t>
  </si>
  <si>
    <t>[Yokoyama, Yusuke] Univ Tokyo, Atmosphere &amp; Ocean Res Inst, Kashiwa, Chiba, Japan; [Yokoyama, Yusuke] Univ Tokyo, Dept Earth &amp; Planetary Sci, Tokyo, Japan; [Yokoyama, Yusuke] Univ Tokyo, Grad Program Environm Sci, Tokyo, Japan; [Yokoyama, Yusuke] Japan Agcy Marine Earth Sci &amp; Technol Org, Biogeochem Program, Yokosuka, Kanagawa, Japan; [Yokoyama, Yusuke] Australian Natl Univ, Res Sch Phys, Canberra, ACT, Australia; [Purcell, Anthony] Australian Natl Univ, Res Sch Earth Sci, Canberra, ACT, Australia</t>
  </si>
  <si>
    <t>University of Tokyo; University of Tokyo; University of Tokyo; Australian National University; Australian National University</t>
  </si>
  <si>
    <t>Yokoyama, Y (corresponding author), Univ Tokyo, Atmosphere &amp; Ocean Res Inst, Kashiwa, Chiba, Japan.</t>
  </si>
  <si>
    <t>yokoyama@aori.u-tokyo.ac.jp</t>
  </si>
  <si>
    <t>IPO, PAGES/JXY-7546-2024</t>
  </si>
  <si>
    <t>Yokoyama, Yusuke/0000-0001-7869-5891</t>
  </si>
  <si>
    <t>JSPS KAKENHI [JP20H00193]</t>
  </si>
  <si>
    <t>JSPS KAKENHI(Ministry of Education, Culture, Sports, Science and Technology, Japan (MEXT)Japan Society for the Promotion of ScienceGrants-in-Aid for Scientific Research (KAKENHI))</t>
  </si>
  <si>
    <t>We thank comments from two anonymous reviewers. Financial support of this research was provided by the JSPS KAKENHI (Grant number JP20H00193). This paper is a contribution to the INQUA commission on Coastal and Marine Processes and the PAGES PALSEA program.</t>
  </si>
  <si>
    <t>2196-4092</t>
  </si>
  <si>
    <t>GEOSCI LETT</t>
  </si>
  <si>
    <t>Geosci. Lett.</t>
  </si>
  <si>
    <t>10.1186/s40562-021-00184-w</t>
  </si>
  <si>
    <t>RH7HI</t>
  </si>
  <si>
    <t>WOS:000636384500001</t>
  </si>
  <si>
    <t>Han, YY; Guo, C; Guan, XR; McMinn, A; Liu, L; Zheng, GL; Jiang, Y; Liang, YT; Shao, HB; Tian, JW; Wang, M</t>
  </si>
  <si>
    <t>Han, Yuye; Guo, Cui; Guan, Xuran; McMinn, Andrew; Liu, Lu; Zheng, Guiliang; Jiang, Yong; Liang, Yantao; Shao, Hongbing; Tian, Jiwei; Wang, Min</t>
  </si>
  <si>
    <t>Comparison of Deep-Sea Picoeukaryotic Composition Estimated from the V4 and V9 Regions of 18S rRNA Gene with a Focus on the Hadal Zone of the Mariana Trench</t>
  </si>
  <si>
    <t>MICROBIAL ECOLOGY</t>
  </si>
  <si>
    <t>Challenger Deep; Mariana Trench; Hadal water; Picoeukaryotes; 18S rRNA gene</t>
  </si>
  <si>
    <t>INTERNAL TRANSCRIBED SPACER; COASTAL WATERS; MICROBIAL EUKARYOTES; PROTISTAN DIVERSITY; SEQUENCING REVEALS; MARINE; COMMUNITIES; SEDIMENTS; DNA; DENITRIFICATION</t>
  </si>
  <si>
    <t>Diversity of microbial eukaryotes is estimated largely based on sequencing analysis of the hypervariable regions of 18S rRNA genes. But the use of different regions of 18S rRNA genes as molecular markers may generate bias in diversity estimation. Here, we compared the differences between the two most widely used markers, V4 and V9 regions of the 18S rRNA gene, in describing the diversity of epipelagic, bathypelagic, and hadal picoeukaryotes in the Challenger Deep of the Mariana Trench, which is a unique and little explored environment. Generally, the V9 region identified more OTUs in deeper waters than V4, while the V4 region provided greater Shannon diversity than V9. In the epipelagic zone, where Alveolata was the dominant group, picoeukaryotic community compositions identified by V4 and V9 markers are similar at different taxonomic levels. However, in the deep waters, the results of the two datasets show clear differences. These differences were mainly contributed by Retaria, Fungi, and Bicosoecida. The primer targeting the V9 region has an advantage in amplifying Bicosoecids in the bathypelagic and hadal zone of the Mariana Trench, and its high abundance in V9 dataset pointed out the possibility of Bicosoecids as a dominant group in this environment. Chrysophyceae, Fungi, MALV-I, and Retaria were identified as the dominant picoeukaryotes in the bathypelagic and hadal zone and potentially play important roles in deep-sea microbial food webs and biogeochemical cycling by their phagotrophic, saprotrophic, and parasitic life styles. Overall, the use of different markers of 18S rRNA gene allows a better assessment and understanding of the picoeukaryotic diversity in deep-sea environments.</t>
  </si>
  <si>
    <t>[Han, Yuye; Guo, Cui; Guan, Xuran; McMinn, Andrew; Liu, Lu; Zheng, Guiliang; Jiang, Yong; Liang, Yantao; Shao, Hongbing; Wang, Min] Ocean Univ China, Coll Marine Life Sci, Frontiers Sci Ctr Deep Ocean Multispheres &amp; Earth, Qingdao, Peoples R China; [Guo, Cui; Jiang, Yong; Liang, Yantao; Shao, Hongbing; Wang, Min] Ocean Univ China, Inst Evolut &amp; Marine Biodivers, Qingdao, Peoples R China; [McMinn, Andrew] Univ Tasmania, Inst Marine &amp; Antarctic Studies, Hobart, Tas, Australia; [Tian, Jiwei] Ocean Univ China, Key Lab Phys Oceanog, Minist Educ, Qingdao, Peoples R China; [Tian, Jiwei] Pilot Natl Lab Marine Sci &amp; Technol, Qingdao, Peoples R China</t>
  </si>
  <si>
    <t>Ocean University of China; Ocean University of China; University of Tasmania; Ocean University of China; Laoshan Laboratory</t>
  </si>
  <si>
    <t>Guo, C; Wang, M (corresponding author), Ocean Univ China, Coll Marine Life Sci, Frontiers Sci Ctr Deep Ocean Multispheres &amp; Earth, Qingdao, Peoples R China.;Guo, C; Wang, M (corresponding author), Ocean Univ China, Inst Evolut &amp; Marine Biodivers, Qingdao, Peoples R China.</t>
  </si>
  <si>
    <t>guocui@ouc.edu.cn; mingwang@ouc.edu.cn</t>
  </si>
  <si>
    <t>Wang, Min/AFR-9645-2022; Jiang, Yong/AGK-3016-2022; Tian, Jiwei/AAH-4331-2020</t>
  </si>
  <si>
    <t>Wang, Min/0000-0002-2357-589X; Jiang, Yong/0000-0002-4072-1668; Tian, Jiwei/0000-0002-1485-7465; Jiang, Yong/0000-0001-6055-488X</t>
  </si>
  <si>
    <t>National Key Research and Development Program of China [2018YFC1406704]; Fund of Shandong Province for Pilot National Laboratory for Marine Science and Technology (Qingdao), China [2018SDKJ0406-6]; Natural Science Foundation of China [41906126, 41976117]; Research Funds for the Central Universities [201912003, 201812002]; LMB, SCSIO [LMB20091001]</t>
  </si>
  <si>
    <t>National Key Research and Development Program of China; Fund of Shandong Province for Pilot National Laboratory for Marine Science and Technology (Qingdao), China; Natural Science Foundation of China(National Natural Science Foundation of China (NSFC)); Research Funds for the Central Universities; LMB, SCSIO</t>
  </si>
  <si>
    <t>This work was financially supported by the National Key Research and Development Program of China (2018YFC1406704), Fund of Shandong Province for Pilot National Laboratory for Marine Science and Technology (Qingdao), China (No. 2018SDKJ0406-6), Natural Science Foundation of China (No. 41906126; 41976117), Research Funds for the Central Universities (201912003, 201812002), and Open Research Fund of LMB, SCSIO (LMB20091001).</t>
  </si>
  <si>
    <t>0095-3628</t>
  </si>
  <si>
    <t>1432-184X</t>
  </si>
  <si>
    <t>MICROB ECOL</t>
  </si>
  <si>
    <t>Microb. Ecol.</t>
  </si>
  <si>
    <t>JAN</t>
  </si>
  <si>
    <t>10.1007/s00248-021-01747-2</t>
  </si>
  <si>
    <t>Ecology; Marine &amp; Freshwater Biology; Microbiology</t>
  </si>
  <si>
    <t>Environmental Sciences &amp; Ecology; Marine &amp; Freshwater Biology; Microbiology</t>
  </si>
  <si>
    <t>ZH9DQ</t>
  </si>
  <si>
    <t>WOS:000636390600001</t>
  </si>
  <si>
    <t>Cockburn, A; Penalba, JV; Jaccoud, D; Kilian, A; Brouwer, L; Double, MC; Margraf, N; Osmond, HL; Kruuk, LEB; van de Pol, M</t>
  </si>
  <si>
    <t>Cockburn, Andrew; Penalba, Joshua, V; Jaccoud, Damian; Kilian, Andrzej; Brouwer, Lyanne; Double, Michael C.; Margraf, Nicolas; Osmond, Helen L.; Kruuk, Loeske E. B.; van de Pol, Martijn</t>
  </si>
  <si>
    <t>hiphop: Improved paternity assignment among close relatives using a simple exclusion method for biallelic markers</t>
  </si>
  <si>
    <t>MOLECULAR ECOLOGY RESOURCES</t>
  </si>
  <si>
    <t>Avian mating systems; Cooperative breeding; Fairy‐ wren; Malurus cyaneus; Molecular sexing; Parentage analysis</t>
  </si>
  <si>
    <t>FAIRY-WRENS; REPRODUCTIVE SKEW; MICROSATELLITE MARKERS; KIN SELECTION; PARENTAGE; MALES; RECOMBINATION; INFIDELITY; COALITIONS; DISPERSAL</t>
  </si>
  <si>
    <t>Assignment of parentage with molecular markers is most difficult when the true parents have close relatives in the adult population. Here, we present an efficient solution to that problem by extending simple exclusion approaches to parentage analysis with single nucleotide polymorphic markers (SNPs). We augmented the previously published homozygote opposite test (hot), which counts mismatches due to the offspring and candidate parent having different homozygous genotypes, with an additional test. In this case, parents homozygous for the same SNP are incompatible with heterozygous offspring (i.e., Homozygous Identical Parents, Heterozygous Offspring are Precluded: hiphop). We tested this approach in a cooperatively breeding bird, the superb fairy-wren, Malurus cyaneus, where rates of extra-pair paternity are exceptionally high, and where paternity assignment is challenging because breeding males typically have first-order adult relatives in their neighbourhood. Combining the tests and conditioning on the maternal genotype with a set of 1376 autosomal SNPs always allowed us to distinguish a single most likely sire from his relatives, and also to identify cases where the true sire must have been unsampled. In contrast, if just the hot test was used, we failed to identify a single most-likely sire in 2.5% of cases. Resampling enabled us to create guidelines for the number of SNPs required when first-order relatives coexist in the mating pool. Our method, implemented in the R package hiphop, therefore provides unambiguous parentage assignments even in systems with complex social organisation. We also identified a suite of Z- and W-linked SNPs that always identified sex correctly.</t>
  </si>
  <si>
    <t>[Cockburn, Andrew; Penalba, Joshua, V; Brouwer, Lyanne; Double, Michael C.; Margraf, Nicolas; Osmond, Helen L.; Kruuk, Loeske E. B.; van de Pol, Martijn] Australian Natl Univ, Res Sch Biol, Div Ecol &amp; Evolut, Canberra, ACT, Australia; [Penalba, Joshua, V] Ludwig Maximilians Univ Munchen, Div Evolutionary Biol, Munich, Germany; [Jaccoud, Damian; Kilian, Andrzej] Divers Arrays Technol Pty Ltd, Bruce, ACT, Australia; [Brouwer, Lyanne] Radboud Univ Nijmegen, Dept Anim Ecol &amp; Physiol, Nijmegen, Netherlands; [Double, Michael C.] Australian Antarctic Div, Kingston, Tas, Australia; [Margraf, Nicolas] Musee Hist Nat La Chaux de Fonds, Neuchatel, Switzerland; [van de Pol, Martijn] Netherlands Inst Ecol, Wageningen, Netherlands</t>
  </si>
  <si>
    <t>Australian National University; University of Munich; Radboud University Nijmegen; Australian Antarctic Division; Royal Netherlands Academy of Arts &amp; Sciences; Netherlands Institute of Ecology (NIOO-KNAW)</t>
  </si>
  <si>
    <t>Cockburn, A (corresponding author), Australian Natl Univ, Res Sch Biol, Div Ecol &amp; Evolut, Canberra, ACT, Australia.</t>
  </si>
  <si>
    <t>andrew.cockburn@anu.edu.au</t>
  </si>
  <si>
    <t>van de Pol, Martijn/0000-0003-4102-4079; Brouwer, Lyanne/0000-0001-6728-4851; Kilian, Andrzej/0000-0002-2730-7462; Penalba, Joshua/0000-0001-6549-6885</t>
  </si>
  <si>
    <t>Australian Research Council</t>
  </si>
  <si>
    <t>Australian Research Council(Australian Research Council)</t>
  </si>
  <si>
    <t>1755-098X</t>
  </si>
  <si>
    <t>1755-0998</t>
  </si>
  <si>
    <t>MOL ECOL RESOUR</t>
  </si>
  <si>
    <t>Mol. Ecol. Resour.</t>
  </si>
  <si>
    <t>10.1111/1755-0998.13389</t>
  </si>
  <si>
    <t>Biochemistry &amp; Molecular Biology; Ecology; Evolutionary Biology</t>
  </si>
  <si>
    <t>Biochemistry &amp; Molecular Biology; Environmental Sciences &amp; Ecology; Evolutionary Biology</t>
  </si>
  <si>
    <t>TJ9BC</t>
  </si>
  <si>
    <t>WOS:000636168300001</t>
  </si>
  <si>
    <t>Shen, XY; Ke, CQ; Yu, XN; Cai, Y; Fan, YB</t>
  </si>
  <si>
    <t>Shen, Xiaoyi; Ke, Chang-Qing; Yu, Xuening; Cai, Yu; Fan, Yubin</t>
  </si>
  <si>
    <t>Evaluation of Ice, Cloud, And Land Elevation Satellite-2 (ICESat-2) land ice surface heights using Airborne Topographic Mapper (ATM) data in Antarctica</t>
  </si>
  <si>
    <t>INTERNATIONAL JOURNAL OF REMOTE SENSING</t>
  </si>
  <si>
    <t>BALANCE</t>
  </si>
  <si>
    <t>The land ice surface heights derived from Ice, Cloud, and Land Elevation Satellite-2 (ICESat-2) were assessed by comparing to the near-coincident measurements from the Airborne Topographic Mapper (ATM) Light Detection and Ranging (LiDAR) system during the 2018 Operation IceBridge mission in Antarctica. Over the marginal and interior Antarctic Ice Sheet, the ICESat-2 ice surface height was accurate to less than 14 cm, and remarkable correlations (R (2) = 1) were found through the comparison to the ATM measurements. Centimetre-scale accuracy was seen for all ICESat-2 beams, ranging from -13 cm to -3 cm. The ICESat-2 land ice surface height performance was affected by the terrain conditions (i.e., surface roughness and slope); larger height differences could be seen when the surface roughness or slope values were higher as it becomes difficult for photons to accurately capture height distributions in areas with complex measurement geometry. No evident performance difference was found for the ICESat-2 beams; weak beams can still be used for height measurement. The fine spatial resolution and centimetre-scale accuracy of the ICESat-2 land ice elevation product make it one of the most suitable data sources for ice surface height measurements.</t>
  </si>
  <si>
    <t>[Shen, Xiaoyi; Ke, Chang-Qing; Yu, Xuening; Cai, Yu; Fan, Yubin] Nanjing Univ, Key Lab Land Satellite Remote Sensing Applicat, Jiangsu Prov Key Lab Geog Informat Sci &amp; Technol, Minist Nat Resources,Sch Geog &amp; Ocean Sci, Nanjing 210023, Jiangsu, Peoples R China; [Shen, Xiaoyi; Ke, Chang-Qing; Yu, Xuening; Cai, Yu; Fan, Yubin] Nanjing Univ, Collaborat Innovat Ctr South China Sea Studies, Nanjing, Jiangsu, Peoples R China; [Ke, Chang-Qing] Nanjing Univ, Jiangsu Ctr Collaborat Innovat Novel Software Tec, Nanjing, Jiangsu, Peoples R China</t>
  </si>
  <si>
    <t>Ministry of Natural Resources of the People's Republic of China; Nanjing University; Nanjing University; Nanjing University</t>
  </si>
  <si>
    <t>Ke, CQ (corresponding author), Nanjing Univ, Key Lab Land Satellite Remote Sensing Applicat, Jiangsu Prov Key Lab Geog Informat Sci &amp; Technol, Minist Nat Resources,Sch Geog &amp; Ocean Sci, Nanjing 210023, Jiangsu, Peoples R China.</t>
  </si>
  <si>
    <t>kecq@nju.edu.cn</t>
  </si>
  <si>
    <t>Programs for National Natural Science Foundation of China [41976212, 41830105]; National Key R&amp;D Program of China [2018YFC1407200, 2018YFC1407203]</t>
  </si>
  <si>
    <t>Programs for National Natural Science Foundation of China(National Natural Science Foundation of China (NSFC)); National Key R&amp;D Program of China</t>
  </si>
  <si>
    <t>This work is supported by the Programs for National Natural Science Foundation of China [grant numbers 41976212, 41830105]; National Key R&amp;D Program of China [grant number 2018YFC1407200, 2018YFC1407203].</t>
  </si>
  <si>
    <t>0143-1161</t>
  </si>
  <si>
    <t>1366-5901</t>
  </si>
  <si>
    <t>INT J REMOTE SENS</t>
  </si>
  <si>
    <t>Int. J. Remote Sens.</t>
  </si>
  <si>
    <t>10.1080/01431161.2020.1856962</t>
  </si>
  <si>
    <t>Remote Sensing; Imaging Science &amp; Photographic Technology</t>
  </si>
  <si>
    <t>PM7VH</t>
  </si>
  <si>
    <t>WOS:000604001200001</t>
  </si>
  <si>
    <t>Campos, L; Fernández, MS; Herrera, Y; Talevi, M; Concheyro, A; Gouiric-Cavalli, S; O'Gorman, JP; Santillana, SN; Acosta-Burlaille, L; Moly, JJ; Reguero, MA</t>
  </si>
  <si>
    <t>Campos, L.; Fernandez, M. S.; Herrera, Y.; Talevi, M.; Concheyro, A.; Gouiric-Cavalli, S.; O'Gorman, J. P.; Santillana, S. N.; Acosta-Burlaille, L.; Moly, J. J.; Reguero, M. A.</t>
  </si>
  <si>
    <t>Bridging the southern gap: First definitive evidence of Late Jurassic ichthyosaurs from Antarctica and their dispersion routes</t>
  </si>
  <si>
    <t>JOURNAL OF SOUTH AMERICAN EARTH SCIENCES</t>
  </si>
  <si>
    <t>Marine reptiles; Ophthalmosauridae; Mozambique Corridor; Madagascar; Jurassic; Palaeobiogeography</t>
  </si>
  <si>
    <t>CRETACEOUS ICHTHYOSAUR; MARINE REPTILE; PATAGONIA ARGENTINA; SEDIMENTARY BASINS; AALENIAN-BAJOCIAN; MORONDAVA BASIN; BRITISH MIDDLE; NEUQUEN BASIN; EVOLUTION; PALEOBIOGEOGRAPHY</t>
  </si>
  <si>
    <t>New ichthyosaur remains from the Upper Jurassic of Antarctica, recovered from the Ameghino (=Nordenskjo center dot ld) Formation are described. These three new specimens represent the first unambiguous records of ichthyosaurs in this continent. Based on the morphology of the humerus, we refer one of the specimens to Ophthalmosauridae, the dominant ichthyosaur forms from the Middle Jurassic until the extinction of the group during the Late Cretaceous. In addition to the new Antarctic records, we re-evaluate ichthyosaur remains of two individuals from the Upper Jurassic of Madagascar and describe a third new specimen, which is the most complete ichthyosaur from this region of Gondwanaland. These findings provide new insights into the role of the seaways opened during the Jurassic in the dispersion of ichthyosaurs, particularly ophthalmosaurids. Antarctic and Malagasian ichthyosaurs bring additional support to the hypothesis of the Mozambique Corridor acting as a dispersal route connecting the Tethys Sea and the southern Pacific margins of Gondwana, at least since the Late Jurassic.</t>
  </si>
  <si>
    <t>[Campos, L.; Fernandez, M. S.; Herrera, Y.] UNLP, Div Paleontol Vertebrados, Unidades Invest Anexo Museo, Fac Ciencias Nat &amp; Museo, Av 60 Y 122, RA-1900 La Plata B, Argentina; [Talevi, M.] Univ Nacl Rio Negro, Inst Invest Paleobiol &amp; Geol, Av Roca 1242,R8332EXZ, Gen Roca, Rio Negro, Argentina; [Concheyro, A.] Consejo Nacl Invest Cient &amp; Tecn, Inst Estudios Andinos Don Pablo Groeber, Ciudad Univ,Pabellon 2, RA-1428 Caba, Argentina; [Concheyro, A.] Univ Buenos Aires, Ciudad Univ,Pabellon 2, RA-1428 Caba, Argentina; [Gouiric-Cavalli, S.; O'Gorman, J. P.; Acosta-Burlaille, L.; Moly, J. J.; Reguero, M. A.] UNLP, Div Paleontol Vertebrados, Fac Ciencias Nat &amp; Museo, Museo La Plata, Paseo Bosque S-N, RA-1900 La Plata B, Argentina; [Concheyro, A.; Santillana, S. N.; Reguero, M. A.] Inst Antartico Argentino, Campus Miguelete,25 Mayo 1151,3Er Piso,B1650HMK, San Martin, Buenos Aires, Argentina; [Campos, L.; Fernandez, M. S.; Herrera, Y.; Talevi, M.; Concheyro, A.; Gouiric-Cavalli, S.; O'Gorman, J. P.; Reguero, M. A.] Consejo Nacl Invest Cient &amp; Tecn CONICET, Buenos Aires, DF, Argentina</t>
  </si>
  <si>
    <t>National University of La Plata; Consejo Nacional de Investigaciones Cientificas y Tecnicas (CONICET); University of Buenos Aires; National University of La Plata; Museo La Plata; Instituto Antartico Argentino; Consejo Nacional de Investigaciones Cientificas y Tecnicas (CONICET)</t>
  </si>
  <si>
    <t>Campos, L (corresponding author), UNLP, Div Paleontol Vertebrados, Unidades Invest Anexo Museo, Fac Ciencias Nat &amp; Museo, Av 60 Y 122, RA-1900 La Plata B, Argentina.</t>
  </si>
  <si>
    <t>lcampos@fcnym.unlp.edu.ar; martafer@fcnym.unlp.edu.ar; yaninah@fcnym.unlp.edu.ar; mtalevi@unrn.edu.ar; andrea@gl.fcen.uba.ar; sgouiric@fcnym.unlp.edu.ar; joseogorman@fcnym.unlp.edu.ar; wss@mrecic.gov.ar; leoacosta@fcnym.unlp.edu.ar; juanjo@fcnym.unlp.edu.ar; regui@fcnym.unlp.edu.ar</t>
  </si>
  <si>
    <t>Reguero, Marcelo A./JHS-4893-2023</t>
  </si>
  <si>
    <t>Herrera, Yanina/0000-0002-2020-1227</t>
  </si>
  <si>
    <t>Direccion Nacional del Antartico; Instituto Antartico Argentino [PICT 2017-0607]; Consejo Nacional de Investigaciones Cientificas y Tecnicas; Agencia Nacional de Promocion Cientifica y Tecnologica; Universidad Nacional de La Plata; Universidad Nacional de Rio Negro [PICT 2016-1039, UNLP N853, PICT 2016-0267, UNLP N953, PICT 2015-0253, PI 40-A-794]</t>
  </si>
  <si>
    <t>Direccion Nacional del Antartico; Instituto Antartico Argentino; Consejo Nacional de Investigaciones Cientificas y Tecnicas(Consejo Nacional de Investigaciones Cientificas y Tecnicas (CONICET)); Agencia Nacional de Promocion Cientifica y Tecnologica(ANPCyTSpanish Government); Universidad Nacional de La Plata(National University of La Plata); Universidad Nacional de Rio Negro</t>
  </si>
  <si>
    <t>This contribution was mainly funded by the Direccion Nacional del Antartico and the Instituto Antartico Argentino, project: PICT 2017-0607 to MR. Partial funding was provided by the Consejo Nacional de Investigaciones Cientificas y Tecnicas, Agencia Nacional de Promocion Cientifica y Tecnologica, Universidad Nacional de La Plata and Universidad Nacional de Rio Negro through the PICT 2016-1039and UNLP N853 to MSF, PICT 2016-0267 to YH, UNLP N953 to MR, PICT 2015-0253 to SGC and PI 40-A-794 to MT. We thank the logistic support of the Fuerza Aerea Argentina (Dotaciones 47 and 50) . We thank A. Henrici (CM) for providing information on the Malagasian specimens; R. Amenabar (IAA) , who is responsible for loaning andproviding access to fossil specimens at the Repositorio Antartico de Colecciones Paleontologicas y Geologicas of the Instituto Antartico Argentino. The reviewers Erin Maxwell and Lene Liebe Delsett are warmly thanked for their constructive comments that substantially improved our manuscript. This is the contribution R-383 of the Instituto de Estudios Andinos Don Pablo Groeber.</t>
  </si>
  <si>
    <t>0895-9811</t>
  </si>
  <si>
    <t>1873-0647</t>
  </si>
  <si>
    <t>J S AM EARTH SCI</t>
  </si>
  <si>
    <t>J. South Am. Earth Sci.</t>
  </si>
  <si>
    <t>10.1016/j.jsames.2021.103259</t>
  </si>
  <si>
    <t>TE8YU</t>
  </si>
  <si>
    <t>WOS:000670294200001</t>
  </si>
  <si>
    <t>Hori, ME; Inoue, J; Dethloff, K; Kustov, V</t>
  </si>
  <si>
    <t>Hori, Masatake E.; Inoue, Jun; Dethloff, Klaus; Kustov, Vasilli</t>
  </si>
  <si>
    <t>Near-tropopause bias in the Russian radiosonde-observed air temperature during the YOPP special observing periods in 2018</t>
  </si>
  <si>
    <t>POLAR SCIENCE</t>
  </si>
  <si>
    <t>Observational uncertainty; Radiosonde; Arctic challenge for sustainability; Year of polar prediction</t>
  </si>
  <si>
    <t>Taking advantage of a unique configuration of upper-atmospheric observing stations, we used enhanced radiosonde observations acquired during the Year of Polar Prediction (YOPP) at Ice Base Cape Baranova in 2018 to quantify the observational bias of a nearby station, i.e., GMO IM. E. K. Fedorova located 184 km to the southeast. Radiosonde observations from Fedorova are transmitted to the Global Telecommunications System and thus assimilated into numerical forecast products; however, those from Baranova are not, providing a situation favorable for quantifying observational bias. In comparison with the background field of the ERA5 reanalysis dataset, the Fedorova temperature profile exhibited cold bias in the lower stratosphere during the cold season in addition to a periodic warm/cold bias dipole in the upper troposphere and lower stratosphere. It is concluded that such bias is the product of both radiosonde sensor error and radar inaccuracies at Russian observational stations, given a similar result found at the Yuzhno-Sakhalinsk station.</t>
  </si>
  <si>
    <t>[Hori, Masatake E.] Univ Tokyo, Atmosphere Ocean Res Inst, Tokyo, Japan; [Inoue, Jun] Natl Inst Polar Res, Tachikawa, Tokyo, Japan; [Dethloff, Klaus] Helmholtz Ctr Polar &amp; Marine Res, Alfred Wegener Inst, Bremerhaven, Germany; [Kustov, Vasilli] Arctic &amp; Antarctic Res Inst, St Petersburg, Russia</t>
  </si>
  <si>
    <t>University of Tokyo; Research Organization of Information &amp; Systems (ROIS); National Institute of Polar Research (NIPR) - Japan; Helmholtz Association; Alfred Wegener Institute, Helmholtz Centre for Polar &amp; Marine Research; Arctic &amp; Antarctic Research Institute</t>
  </si>
  <si>
    <t>Hori, ME (corresponding author), Univ Tokyo, Atmosphere Ocean Res Inst, Tokyo, Japan.</t>
  </si>
  <si>
    <t>mehori@aori.u-tokyo.ac.jp</t>
  </si>
  <si>
    <t>Inoue, Jun/ABE-2305-2021</t>
  </si>
  <si>
    <t>Inoue, Jun/0000-0001-7738-6480; Hori, Masatake/0000-0002-5962-5107</t>
  </si>
  <si>
    <t>Japanese Ministry of Education, Culture, Sports, Science and Technology (MEXT) through the Arctic Challenge for Sustainability Project (ArCS) [JPMXD1300000000]; Arctic Challenge for Sustainability II (ArCS II) [JPMXD1420318865]; JSPS KAKENHI [18H03745, 18KK0292]; Grants-in-Aid for Scientific Research [18H03745, 18KK0292] Funding Source: KAKEN</t>
  </si>
  <si>
    <t>Japanese Ministry of Education, Culture, Sports, Science and Technology (MEXT) through the Arctic Challenge for Sustainability Project (ArCS); Arctic Challenge for Sustainability II (ArCS II);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</si>
  <si>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funded by the Japanese Ministry of Education, Culture, Sports, Science and Technology (MEXT) through the Arctic Challenge for Sustainability Project (ArCS) [grant number JPMXD1300000000] , Arctic Challenge for Sustainability II (ArCS II) [grant number JPMXD1420318865] and JSPS KAKENHI [grant numbers 18H03745, 18KK0292] . This paper is a contribution to the Year of Polar Prediction (YOPP) , a flagship activity of the Polar Prediction Project (PPP) , initiated by the World Weather Research Programme (WWRP) of the World Meteorological Organization (WMO) . The authors are grateful to Alexander Makshtas of AARI for his support of observations conducted at Ice Base Cape Baranova and comments made to the manuscript of this article. We thank the two anonymous reviewers for their contribution in enhancing the original manuscript. We also thank James Buxton MSc from Edanz Group (www.edanzeditin g.com ./ac) for editing the draft of this manuscript.</t>
  </si>
  <si>
    <t>1873-9652</t>
  </si>
  <si>
    <t>1876-4428</t>
  </si>
  <si>
    <t>POLAR SCI</t>
  </si>
  <si>
    <t>Polar Sci.</t>
  </si>
  <si>
    <t>10.1016/j.polar.2020.100601</t>
  </si>
  <si>
    <t>SB0HX</t>
  </si>
  <si>
    <t>WOS:000649684900008</t>
  </si>
  <si>
    <t>Koike, M; Goto-Azuma, K; Kondo, Y; Matsui, H; Mori, T; Moteki, N; Ohata, S; Okamoto, H; Oshima, N; Sato, K; Takano, T; Tobo, Y; Ukita, J; Yoshida, A</t>
  </si>
  <si>
    <t>Koike, M.; Goto-Azuma, K.; Kondo, Y.; Matsui, H.; Mori, T.; Moteki, N.; Ohata, S.; Okamoto, H.; Oshima, N.; Sato, K.; Takano, T.; Tobo, Y.; Ukita, J.; Yoshida, A.</t>
  </si>
  <si>
    <t>Studies on Arctic aerosols and clouds during the ArCS project</t>
  </si>
  <si>
    <t>Arctic; Aerosol; Cloud; Black carbon; Ice nucleating particle; SLCF</t>
  </si>
  <si>
    <t>ICE NUCLEATING PARTICLES; BLACK-CARBON; LIGHT-ABSORPTION; MODEL; VARIABILITY; LIDAR; DUST; DEPOLARIZATION; PERFORMANCE; CALIBRATION</t>
  </si>
  <si>
    <t>Aerosols and clouds play important roles in the Arctic climate. Conversely, aerosol emissions and cloud formation are affected by changes in the Arctic climate. This paper reviews studies of aerosols and clouds performed during the Arctic Challenge for Sustainability (ArCS) project carried out by the National Institute of Polar Research (NIPR) in Japan and collaborating institutions. The ArCS project included intensive studies of black carbon aerosols (BC). We installed Continuous Soot Monitoring System (COSMOS) instruments to measure atmospheric BC at four locations in the Arctic, establishing the Arctic BC COSMOS Measurement Network (ABCMnet). We also measured BC concentrations in snowpack in extensive areas of the Arctic and showed that previous studies have greatly overestimated BC in snowpack. We developed and improved new aerosol models that achieved better agreements with measurements of BC in the Arctic atmosphere, snowpack, and falling snow. We made new estimates of radiative forcing of BC in the Arctic atmosphere and snow/ice surfaces that lower their albedo. In addition to these researches on BC, we made accurate measurements of ice nucleating particles (INPs) at Ny-?lesund, Svalbard, showing that their concentrations increased in summer as a result of dust particle emissions from glacial outwash sediments. This high ice nucleating ability was likely due to the presence of organic substances mixed with the dust particles. We also made continuous cloud radar measurements and the first continuous in-situ measurements of cloud microphysical properties in the Arctic at Ny-?lesund. Results from these cloud measurements and their relationship with aerosols are described.</t>
  </si>
  <si>
    <t>[Koike, M.; Moteki, N.; Yoshida, A.] Univ Tokyo, Grad Sch Sci, Dept Earth &amp; Planetary Sci, Bunkyo Ku, Hongo 7-3-1, Tokyo 1130033, Japan; [Goto-Azuma, K.; Kondo, Y.; Tobo, Y.] Natl Inst Polar Res, 10-3 Midori Cho, Tachikawa, Tokyo 1908518, Japan; [Goto-Azuma, K.; Tobo, Y.] Grad Univ Adv Studies, SOKENDAI, 10-3 Midori Cho, Tachikawa, Tokyo 1908518, Japan; [Matsui, H.] Nagoya Univ, Grad Sch Environm Studies, Chikusa Ku, Furo Cho, Nagoya, Aichi 4648601, Japan; [Mori, T.] Tokyo Univ Sci, Fac Sci Div 1, Dept Phys, Shinjuku Ku, 1-3 Kagurazaka, Tokyo 1628601, Japan; [Ohata, S.] Nagoya Univ, Inst Space Earth Environm Res, Chikusa Ku, Furo Cho, Nagoya, Aichi 4648601, Japan; [Ohata, S.] Nagoya Univ, Inst Adv Res, Chikusa Ku, Furo Cho, Nagoya, Aichi 4648601, Japan; [Okamoto, H.; Sato, K.] Kyushu Univ, Res Inst Appl Mech, 6-1 Kasuga Koen, Kasuga, Fukuoka 8168580, Japan; [Oshima, N.] Meteorol Res Inst, 1-1 Nagamine, Tsukuba, Ibaraki 3050052, Japan; [Takano, T.] Chiba Univ, Grad Sch, Inage Ku, 1-33 Yayoicho, Chiba, Chiba 2638522, Japan; [Takano, T.] Chiba Univ, Fac Engn, Inage Ku, 1-33 Yayoicho, Chiba, Chiba 2638522, Japan; [Ukita, J.] Niigata Univ, Nishi Ku, 8050 Ikarashi 2 No Cho, Niigata 9502181, Japan</t>
  </si>
  <si>
    <t>University of Tokyo; Research Organization of Information &amp; Systems (ROIS); National Institute of Polar Research (NIPR) - Japan; Graduate University for Advanced Studies - Japan; Nagoya University; Tokyo University of Science; Nagoya University; Nagoya University; Kyushu University; Meteorological Research Institute - Japan; Chiba University; Chiba University; Niigata University</t>
  </si>
  <si>
    <t>Koike, M (corresponding author), Univ Tokyo, Grad Sch Sci, Dept Earth &amp; Planetary Sci, Bunkyo Ku, Hongo 7-3-1, Tokyo 1130033, Japan.</t>
  </si>
  <si>
    <t>koike@eps.s.u-tokyo.ac.jp</t>
  </si>
  <si>
    <t>Oshima, Naga/E-4708-2012; Tobo, Yutaka/D-9158-2013; Matsui, Hitoshi/N-7088-2018; Moteki, Nobuhiro/L-6580-2018</t>
  </si>
  <si>
    <t>Tobo, Yutaka/0000-0003-0951-3315; Matsui, Hitoshi/0000-0002-0376-0879; Sato, Kaori/0000-0002-9728-2299; Yoshida, Atsushi/0000-0001-9784-2236; Mori, Tatsuhiro/0000-0001-5692-143X; Moteki, Nobuhiro/0000-0001-7963-6690</t>
  </si>
  <si>
    <t>Alfred Wegener Institute (Germany); Ministry of Education, Culture, Sports, Science, and Technology (MEXT) in Japan [JPMXD1300000000]; Environment Research and Technology Development Fund of the Environmental Restoration and Conservation Agency of Japan [JPMEERF20172003, JPMEERF20202003, JPMEERF20205001]; Japan Society for the Promotion of Science KAKENHI [JP15K13570, JP16H06020, JP16H01770, JP16H01772, JP17H06139, JP17H04709, JP18K03745, JP18H03363, JP18H05292, JP19K20441, JP19H01972, JP19H05699]; Japan Aerospace Exploration Agency for EarthCARE Research Announcement; Collaborative Research Program of the Research Institute for Applied Mechanics, Kyushu University; grant for the Global Environmental Research Coordination System of the Ministry of the Environment, Japan; Grants-in-Aid for Scientific Research [20H00638] Funding Source: KAKEN</t>
  </si>
  <si>
    <t>Alfred Wegener Institute (Germany); Ministry of Education, Culture, Sports, Science, and Technology (MEXT) in Japan(Ministry of Education, Culture, Sports, Science and Technology, Japan (MEXT)); Environment Research and Technology Development Fund of the Environmental Restoration and Conservation Agency of Japan; Japan Society for the Promotion of Science KAKENHI(Ministry of Education, Culture, Sports, Science and Technology, Japan (MEXT)Japan Society for the Promotion of ScienceGrants-in-Aid for Scientific Research (KAKENHI)); Japan Aerospace Exploration Agency for EarthCARE Research Announcement; Collaborative Research Program of the Research Institute for Applied Mechanics, Kyushu University; grant for the Global Environmental Research Coordination System of the Ministry of the Environment, Japan; Grants-in-Aid for Scientific Research(Ministry of Education, Culture, Sports, Science and Technology, Japan (MEXT)Japan Society for the Promotion of ScienceGrants-in-Aid for Scientific Research (KAKENHI))</t>
  </si>
  <si>
    <t>We thank the staff of the Norwegian Polar Institute for their maintenance of the cloud and aerosol measurements at the Zeppelin Observatory. We also thank the staffs of the National Oceanic and Atmospheric Administration (USA) , the Arctic and Antarctic Research Institute (Russia) , and Environment and Climate Change Canada for their maintenance of the COSMOS instruments. We are grateful for support from the Alfred Wegener Institute (Germany) and the PAMARCMiP 2018 team members during the groundbased and aircraft experiments. Useful discussion and support from the ArCS project team are gratefully acknowledged. MK thanks Ikuyo Oshima for contributions to the data analysis. HO and KS thank Shuichiro Katagiri and Kohei Ota for their contributions to the radar data analysis. The ArCS Project (Arctic Challenge for Sustainability Project, JPMXD1300000000) reported here was supported by the Ministry of Education, Culture, Sports, Science, and Technology (MEXT) in Japan. Parts of the studies reported in this paper were also supported by the Environment Research and Technology Development Fund (JPMEERF20172003, JPMEERF20202003, and JPMEERF20205001) of the Environmental Restoration and Conservation Agency of Japan, by Japan Society for the Promotion of Science KAKENHI grants (JP15K13570, JP16H06020, JP16H01770, JP16H01772, JP17H06139, JP17H04709, JP18K03745, JP18H03363, JP18H05292, JP19K20441, JP19H01972, and JP19H05699) , by the Japan Aerospace Exploration Agency for EarthCARE Research Announcement, by the Collaborative Research Program of the Research Institute for Applied Mechanics, Kyushu University, and by a grant for the Global Environmental Research Coordination System of the Ministry of the Environment, Japan.</t>
  </si>
  <si>
    <t>10.1016/j.polar.2020.100621</t>
  </si>
  <si>
    <t>SB0IA</t>
  </si>
  <si>
    <t>WOS:000649685200003</t>
  </si>
  <si>
    <t>Nose, T; Waseda, T; Kodaira, T; Inoue, J</t>
  </si>
  <si>
    <t>Nose, Takehiko; Waseda, Takuji; Kodaira, Tsubasa; Inoue, Jun</t>
  </si>
  <si>
    <t>On the coagulated pancake ice formation: Observation in the refreezing Chukchi Sea and comparison to the Antarctic consolidated pancake ice</t>
  </si>
  <si>
    <t>Pancake ice formation in the refreezing; Chukchi Sea; Observation of surface waves and sea ice in the; marginal ice zone; R; V Mirai Arctic Ocean expedition</t>
  </si>
  <si>
    <t>FLOE SIZE DISTRIBUTION; OKHOTSK; ZONE</t>
  </si>
  <si>
    <t>Emergence of pancake ice in the western Arctic Ocean is understood to be an effect of the increasing wave activity. During the 2018 R/V Mirai field campaign in the refreezing Chukchi Sea, we obtained observational evidence of sea ice formation that resembled the pancake cycle?frazil/pancake/consolidated pancake ice?first discovered and known to be ubiquitous in the Antarctic. Apparently, R/V Mirai encountered a sequence of environmental conditions that were conducive to producing coagulated pancake ice, of which the formation process was relatable to the Antarctic consolidated pancake ice. We investigate how pancake ice form in two different environments: the Antarctic marginal ice zone (MIZ) is adjacent to the vigorous Antarctic Circumpolar region whereas the western Arctic Ocean is surrounded by sea ice and land. We found that a key distinction between the two regimes is that rafting is less likely in the western Arctic Ocean due to its wave climate, meaning the coagulated pancake ice is thinner than the Antarctic consolidated pancake ice. As the sea ice extent declines, thinner coagulated pancake ice may dominate the refreezing ocean, which affects the melting and possibly the broader Arctic climate.</t>
  </si>
  <si>
    <t>[Nose, Takehiko; Waseda, Takuji; Kodaira, Tsubasa] Univ Tokyo, Grad Sch Frontier Sci, Kashiwa, Chiba, Japan; [Inoue, Jun] Natl Inst Polar Res, Tachikawa, Tokyo, Japan</t>
  </si>
  <si>
    <t>University of Tokyo; Research Organization of Information &amp; Systems (ROIS); National Institute of Polar Research (NIPR) - Japan</t>
  </si>
  <si>
    <t>Nose, T (corresponding author), Univ Tokyo, Grad Sch Frontier Sci, Kashiwa, Chiba, Japan.</t>
  </si>
  <si>
    <t>tak.nose@k.u-tokyo.ac.jp</t>
  </si>
  <si>
    <t>Waseda, Takuji/F-1445-2019; Inoue, Jun/ABE-2305-2021</t>
  </si>
  <si>
    <t>Inoue, Jun/0000-0001-7738-6480; Waseda, Takuji/0000-0001-5403-5303</t>
  </si>
  <si>
    <t>Grants-in-Aid for Scientific Research [20K20437] Funding Source: KAKEN</t>
  </si>
  <si>
    <t>Grants-in-Aid for Scientific Research(Ministry of Education, Culture, Sports, Science and Technology, Japan (MEXT)Japan Society for the Promotion of ScienceGrants-in-Aid for Scientific Research (KAKENHI))</t>
  </si>
  <si>
    <t>10.1016/j.polar.2020.100622</t>
  </si>
  <si>
    <t>WOS:000649685200004</t>
  </si>
  <si>
    <t>Nielsen, MB; Vogensen, TK; Thyrring, J; Sorensen, JG; Sejr, MK</t>
  </si>
  <si>
    <t>Nielsen, Martin B.; Vogensen, Trine K.; Thyrring, Jakob; Sorensen, Jesper G.; Sejr, Mikael K.</t>
  </si>
  <si>
    <t>Freshening increases the susceptibility to heat stress in intertidal mussels (Mytilus edulis) from the Arctic</t>
  </si>
  <si>
    <t>JOURNAL OF ANIMAL ECOLOGY</t>
  </si>
  <si>
    <t>blue mussels; Greenland; heat shock proteins; littoral; multiple stressors; salinity; temperature; thermal stress</t>
  </si>
  <si>
    <t>BLUE MUSSELS; TRANSCRIPTOMIC RESPONSES; THERMAL TOLERANCE; SALINITY STRESS; GENE-EXPRESSION; MASS MORTALITY; TEMPERATURE; GREENLAND; GALLOPROVINCIALIS; ACCLIMATION</t>
  </si>
  <si>
    <t>Temperatures in the Arctic are increasing at a faster pace than at lower latitudes resulting in range expansion of boreal species. In Greenland, the warming also drives accelerating melt of the Greenland Ice Sheet resulting in more meltwater entering Greenland fjords in summer. Our aim was to determine if increasing summer temperatures combined with lower salinity can induce the expression of stress-related proteins, for example, heat shock protein, in boreal intertidal mussels in Greenland, and whether low salinity reduces the upper thermal limit at which mortality occurs. We conducted a mortality experiment, using 12 different combinations of salinity and air temperature treatments during a simulated tidal regime, and quantified the change in mRNA levels of five stress-related genes (hsp24, hsp70, hsp90, sod and p38) in surviving mussels to discern the level of sublethal stress. Heat-induced mortality occurred in mussels exposed to an air temperature of 30 degrees C and mortality was higher in treatments with lowered salinity (5 and 15 parts per thousand), which confirms that low habitat salinity decreases the upper thermal limit of Mytilus edulis. The gene expression analysis supported the mortality results, with the highest gene expression found at combinations of high temperature and low salinity. Combined with seasonal measurements of intertidal temperatures in Greenland, we suggest heat stress occurs in low salinity intertidal area, and that further lowered salinity in coastal water due to increased run-off can make intertidal bivalves more susceptible to summer heat stress. This study thus provides an example of how different impacts of climate warming can work synergistically to stress marine organisms.</t>
  </si>
  <si>
    <t>[Nielsen, Martin B.; Vogensen, Trine K.; Sejr, Mikael K.] Aarhus Univ, Dept Biol, Arctic Res Ctr, Aarhus C, Denmark; [Thyrring, Jakob] Univ British Columbia, Dept Zool, Vancouver, BC, Canada; [Thyrring, Jakob; Sejr, Mikael K.] Aarhus Univ, Dept Biosci, Marine Ecol, Silkeborg, Denmark; [Thyrring, Jakob] British Antarctic Survey, Nat Environm Res Council, Cambridge, England; [Thyrring, Jakob] Univ Cambridge, Homerton Coll, Cambridge, England; [Sorensen, Jesper G.] Aarhus Univ, Dept Biol, Sect Genet Ecol &amp; Evolut, Aarhus C, Denmark</t>
  </si>
  <si>
    <t>Aarhus University; University of British Columbia; Aarhus University; UK Research &amp; Innovation (UKRI); Natural Environment Research Council (NERC); NERC British Antarctic Survey; University of Cambridge; Aarhus University</t>
  </si>
  <si>
    <t>Nielsen, MB (corresponding author), Aarhus Univ, Dept Biol, Arctic Res Ctr, Aarhus C, Denmark.;Thyrring, J (corresponding author), Univ British Columbia, Dept Zool, Vancouver, BC, Canada.;Thyrring, J (corresponding author), Aarhus Univ, Dept Biosci, Marine Ecol, Silkeborg, Denmark.;Thyrring, J (corresponding author), British Antarctic Survey, Nat Environm Res Council, Cambridge, England.;Thyrring, J (corresponding author), Univ Cambridge, Homerton Coll, Cambridge, England.</t>
  </si>
  <si>
    <t>martin_bn92@hotmail.com; jt717@cam.ac.uk</t>
  </si>
  <si>
    <t>Sørensen, Jesper Givskov/J-3190-2013; Thyrring, Jakob/M-9479-2015; Sejr, Mikael K./J-5459-2013</t>
  </si>
  <si>
    <t>Sørensen, Jesper Givskov/0000-0002-9149-3626; Nielsen, Martin/0000-0001-5469-2792; Thyrring, Jakob/0000-0002-1029-3105; Sejr, Mikael K./0000-0001-8370-5791</t>
  </si>
  <si>
    <t>William Demant Fonden; DANCEA; EU H2020 [869154]; Familien Hede Nielsens Fond; Selskabet for Arktisk Forskning og Teknologi; Independent Research Fund Denmark [7027-00060B]; Aage V. Jensens Fond; Marie Sklodowska-Curie Individual Fellowship [797387]; Aarhus Universitets Forskningsfond [AUFF-E-2015-FLS-8-72]; Marie Curie Actions (MSCA) [797387] Funding Source: Marie Curie Actions (MSCA); NERC [bas0100036] Funding Source: UKRI</t>
  </si>
  <si>
    <t>William Demant Fonden; DANCEA; EU H2020(Horizon 2020); Familien Hede Nielsens Fond; Selskabet for Arktisk Forskning og Teknologi; Independent Research Fund Denmark(Det Frie Forskningsrad (DFF)); Aage V. Jensens Fond; Marie Sklodowska-Curie Individual Fellowship(Marie Curie Actions); Aarhus Universitets Forskningsfond; Marie Curie Actions (MSCA)(Marie Curie Actions); NERC(UK Research &amp; Innovation (UKRI)Natural Environment Research Council (NERC))</t>
  </si>
  <si>
    <t>William Demant Fonden; DANCEA; EU H2020, Grant/Award Number: 869154; Familien Hede Nielsens Fond; Selskabet for Arktisk Forskning og Teknologi; The Independent Research Fund Denmark, Grant/Award Number: 7027-00060B; Aage V. Jensens Fond; Marie Sklodowska-Curie Individual Fellowship, Grant/Award Number: 797387; Aarhus Universitets Forskningsfond, Grant/Award Number: AUFF-E-2015-FLS-8-72</t>
  </si>
  <si>
    <t>0021-8790</t>
  </si>
  <si>
    <t>1365-2656</t>
  </si>
  <si>
    <t>J ANIM ECOL</t>
  </si>
  <si>
    <t>J. Anim. Ecol.</t>
  </si>
  <si>
    <t>10.1111/1365-2656.13472</t>
  </si>
  <si>
    <t>Ecology; Zoology</t>
  </si>
  <si>
    <t>Environmental Sciences &amp; Ecology; Zoology</t>
  </si>
  <si>
    <t>SM5ZX</t>
  </si>
  <si>
    <t>Green Accepted, Green Published</t>
  </si>
  <si>
    <t>WOS:000635933400001</t>
  </si>
  <si>
    <t>Chen, X; Liu, XD; Jia, HZ; Jin, J; Kong, WD; Huang, YS</t>
  </si>
  <si>
    <t>Chen, Xin; Liu, Xiaodong; Jia, Hongzeng; Jin, Jing; Kong, Weidong; Huang, Yongsong</t>
  </si>
  <si>
    <t>Inverse hydrogen isotope fractionation indicates heterotrophic microbial production of long-chain n-alkyl lipids in desolate Antarctic ponds</t>
  </si>
  <si>
    <t>GEOBIOLOGY</t>
  </si>
  <si>
    <t>East Antarctic ponds; heterotrophic microbes; inverse hydrogen isotopic fractionation; n‐ alkanes; n‐ alkanoic acids</t>
  </si>
  <si>
    <t>Long-chain (&gt;C-25) n-alkyl lipids have long been considered biomarkers for higher plant leaf waxes and widely applied for paleoclimate and paleoenvironmental reconstructions. However, recent experimental and lacustrine sediment studies suggest long-chain n-alkanes and n-alkanoic acids can also be produced by aerobic microbes, probably heterotrophic microbes based on carbon isotope data. Here we show that sedimentary long-chain n-alkanes and n-alkanoic acids in two desolate Antarctic ponds where vascular plants are absent in the surroundings display hydrogen isotopic values up to 300 per mil higher than those of lake water. It is the first time that such strongly inverse or reduced hydrogen isotopic fractionation of lipid biomarkers is observed in natural sediment samples. Based on recent extensive experimental data on microbial hydrogen isotopic fractionation, our data can only be explained by the predominant production of long-chain n-alkanes and n-alkanoic acids from heterotrophic micro-organisms. Together with preliminary 16S rRNA gene sequencing data, our results represent the first unambiguous example of predominant heterotrophic microbial production of long-chain n-alkyl waxes in a natural environment.</t>
  </si>
  <si>
    <t>[Chen, Xin; Liu, Xiaodong; Jin, Jing] Univ Sci &amp; Technol China, Sch Earth &amp; Space Sci, Anhui Prov Key Lab Polar Environm &amp; Global Change, Hefei 230026, Anhui, Peoples R China; [Jia, Hongzeng; Kong, Weidong] Chinese Acad Sci, Inst Tibetan Plateau Res, Key Lab Alpine Ecol, Beijing, Peoples R China; [Huang, Yongsong] Brown Univ, Dept Earth Environm &amp; Planetary Sci, Providence, RI 02912 USA</t>
  </si>
  <si>
    <t>Chinese Academy of Sciences; University of Science &amp; Technology of China, CAS; Chinese Academy of Sciences; Institute of Tibetan Plateau Research, CAS; Brown University</t>
  </si>
  <si>
    <t>Liu, XD (corresponding author), Univ Sci &amp; Technol China, Sch Earth &amp; Space Sci, Anhui Prov Key Lab Polar Environm &amp; Global Change, Hefei 230026, Anhui, Peoples R China.;Huang, YS (corresponding author), Brown Univ, Dept Earth Environm &amp; Planetary Sci, Providence, RI 02912 USA.</t>
  </si>
  <si>
    <t>ycx@ustc.edu.cn; Yongsong_Huang@brown.edu</t>
  </si>
  <si>
    <t>Kong, Weidong/H-7432-2012</t>
  </si>
  <si>
    <t>Kong, Weidong/0000-0001-9682-1484</t>
  </si>
  <si>
    <t>National Natural Science Foundation of China [41776188, 41976191, 41576183]; Chinese Academy of Sciences [XDB40000000]; Fundamental Research Funds for the Central Universities; National Science Foundation of United States [EAR-1762431]</t>
  </si>
  <si>
    <t>National Natural Science Foundation of China(National Natural Science Foundation of China (NSFC)); Chinese Academy of Sciences(Chinese Academy of Sciences); Fundamental Research Funds for the Central Universities(Fundamental Research Funds for the Central Universities); National Science Foundation of United States(National Science Foundation (NSF))</t>
  </si>
  <si>
    <t>This study was supported by National Natural Science Foundation of China (Grant Nos. 41776188, 41976191 and 41576183), the strategic Priority Research Program of Chinese Academy of Sciences (Grant No. XDB40000000), the Fundamental Research Funds for the Central Universities and National Science Foundation of United States (EAR--1762431).</t>
  </si>
  <si>
    <t>1472-4677</t>
  </si>
  <si>
    <t>1472-4669</t>
  </si>
  <si>
    <t>Geobiology</t>
  </si>
  <si>
    <t>10.1111/gbi.12441</t>
  </si>
  <si>
    <t>Biology; Environmental Sciences; Geosciences, Multidisciplinary</t>
  </si>
  <si>
    <t>Life Sciences &amp; Biomedicine - Other Topics; Environmental Sciences &amp; Ecology; Geology</t>
  </si>
  <si>
    <t>SV3JL</t>
  </si>
  <si>
    <t>WOS:000636037100001</t>
  </si>
  <si>
    <t>Teixeira, TR; Rangel, KC; Tavares, RSN; Kawakami, CM; dos Santos, GS; Maria-Engler, SS; Colepicolo, P; Gaspar, LR; Debonsi, HM</t>
  </si>
  <si>
    <t>Teixeira, Thaiz Rodrigues; Rangel, Karen Cristina; Napoleao Tavares, Renata Spagolla; Kawakami, Camila Martins; dos Santos, Gustavo Souza; Maria-Engler, Silvya Stuchi; Colepicolo, Pio; Gaspar, Lorena Rigo; Debonsi, Hosana Maria</t>
  </si>
  <si>
    <t>In Vitro Evaluation of the Photoprotective Potential of Quinolinic Alkaloids Isolated from the Antarctic Marine Fungus Penicillium echinulatum for Topical Use</t>
  </si>
  <si>
    <t>MARINE BIOTECHNOLOGY</t>
  </si>
  <si>
    <t>Penicillium echinulatum; Antarctic marine fungi; Marine natural products; Photoprotection; Antioxidant potential; Reconstructed human skin</t>
  </si>
  <si>
    <t>Marine-derived fungi proved to be a rich source of biologically active compounds. The genus Penicillium has been extensively studied regarding their secondary metabolites and biological applications. However, the photoprotective effects of these metabolites remain underexplored. Herein, the photoprotective potential of Penicillium echinulatum, an Antarctic alga-associated fungus, was assessed by UV absorption, photostability study, and protection from UVA-induced ROS generation assay on human immortalized keratinocytes (HaCaT) and reconstructed human skin (RHS). The photosafety was evaluated by the photoreactivity (OECD TG 495) and phototoxicity assays, performed by 3T3 neutral red uptake (3T3 NRU PT, OECD TG 432) and by the RHS model. Through a bio-guided purification approach, four known alkaloids, (-)-cyclopenin (1), dehydrocyclopeptine (2), viridicatin (3), and viridicatol (4), were isolated. Compounds 3 and 4 presented absorption in UVB and UVA-II regions and were considered photostable after UVA irradiation. Despite compounds 3 and 4 showed phototoxic potential in 3T3 NRU PT, no phototoxicity was observed in the RHS model (reduction of cell viability &lt; 30%), which indicates their very low acute photoirritation and high photosafety potential in humans. Viridicatin was considered weakly photoreactive, while viridicatol showed no photoreactivity; both compounds inhibited UVA-induced ROS generation in HaCaT cells, although viridicatol was not able to protect the RHS model against UVA-induced ROS production. Thus, the results highlighted the photoprotective and antioxidant potential of metabolites produced by P. echinulatum which can be considered a new class of molecules for photoprotection, since their photosafety and non-cytotoxicity were predicted using recommended in vitro methods for topical use.</t>
  </si>
  <si>
    <t>[Teixeira, Thaiz Rodrigues; dos Santos, Gustavo Souza; Debonsi, Hosana Maria] Univ Sao Paulo, Sch Pharmaceut Sci Ribeirao Preto, Dept Biomol Sci, Ribeirao Preto, SP, Brazil; [Rangel, Karen Cristina; Napoleao Tavares, Renata Spagolla; Kawakami, Camila Martins; Gaspar, Lorena Rigo] Univ Sao Paulo, Sch Pharmaceut Sci Ribeirao Preto, Dept Pharmaceut Sci, Ribeirao Preto, SP, Brazil; [Maria-Engler, Silvya Stuchi] Univ Sao Paulo, Sch Pharmaceut Sci, Dept Clin &amp; Toxicol Anal, Sao Paulo, SP, Brazil; [Colepicolo, Pio] Univ Sao Paulo, Chem Inst, Dept Biochem, Sao Paulo, SP, Brazil</t>
  </si>
  <si>
    <t>Universidade de Sao Paulo; Universidade de Sao Paulo; Universidade de Sao Paulo; Universidade de Sao Paulo</t>
  </si>
  <si>
    <t>Debonsi, HM (corresponding author), Univ Sao Paulo, Sch Pharmaceut Sci Ribeirao Preto, Dept Biomol Sci, Ribeirao Preto, SP, Brazil.</t>
  </si>
  <si>
    <t>hosana@fcfrp.usp.br</t>
  </si>
  <si>
    <t>Maria-Engler, Silvya Stuchi/K-5936-2016; Spagolla Napoleão Tavares, Renata/GWZ-4955-2022; Teixeira, Thaiz R/L-1601-2016; Santos, Gustavo/M-7752-2017; Teixeira, Thaiz R/JCD-9187-2023; Gaspar Cordeiro, Lorena/D-2791-2012; Fapesp, Biota/F-8655-2017</t>
  </si>
  <si>
    <t>Santos, Gustavo/0000-0002-7288-2466; Rodrigues Teixeira, Thaiz/0000-0001-9514-3327; Spagolla Napoleao Tavares, Renata/0000-0002-8491-2319; Gaspar Cordeiro, Lorena/0000-0002-1550-3036; Fapesp, Biota/0000-0002-9887-8449</t>
  </si>
  <si>
    <t>Brazilian Antarctic Program (PROANTAR/MCTI/CNPq) [64/2013]; Brazilian Marine Force, National Institute of Science and Technology (INCT: BioNat) [465637/2014-0]; State of Sao Paulo Research Foundation (FAPESP) [2014/50926-0, 2017/03552-5]; Fundacao de Amparo a Pesquisa do Estado de Sao Paulo (FAPESP) [14/50926-0] Funding Source: FAPESP</t>
  </si>
  <si>
    <t>Brazilian Antarctic Program (PROANTAR/MCTI/CNPq); Brazilian Marine Force, National Institute of Science and Technology (INCT: BioNat); State of Sao Paulo Research Foundation (FAPESP)(Fundacao de Amparo a Pesquisa do Estado de Sao Paulo (FAPESP)); Fundacao de Amparo a Pesquisa do Estado de Sao Paulo (FAPESP)(Fundacao de Amparo a Pesquisa do Estado de Sao Paulo (FAPESP))</t>
  </si>
  <si>
    <t>This study had financial and logistic support from the Brazilian Antarctic Program (PROANTAR/MCTI/CNPq No64/2013), Brazilian Marine Force, National Institute of Science and Technology (INCT: BioNat), Grant #465637/2014-0, and the State of Sao Paulo Research Foundation (FAPESP), Grant #2014/50926-0 and 2017/03552-5.</t>
  </si>
  <si>
    <t>1436-2228</t>
  </si>
  <si>
    <t>1436-2236</t>
  </si>
  <si>
    <t>MAR BIOTECHNOL</t>
  </si>
  <si>
    <t>Mar. Biotechnol.</t>
  </si>
  <si>
    <t>10.1007/s10126-021-10030-x</t>
  </si>
  <si>
    <t>TG7JE</t>
  </si>
  <si>
    <t>WOS:000636125800001</t>
  </si>
  <si>
    <t>Li, B; Yuan, XY; Li, ZY; Lu, HP</t>
  </si>
  <si>
    <t>Li Bo; Yuan Xiangyan; Li Zhengyang; Lu Haiping</t>
  </si>
  <si>
    <t>Active Alignment Method of Telescope Based on Star Ellipticity of Multi Field of View</t>
  </si>
  <si>
    <t>ACTA PHOTONICA SINICA</t>
  </si>
  <si>
    <t>Chinese</t>
  </si>
  <si>
    <t>Optical telescope system; Ellipticity distribution; Active alignment; Particle swarm optimization; Misalignment</t>
  </si>
  <si>
    <t>SYSTEM</t>
  </si>
  <si>
    <t>The image quality of an astronomical telescope degrades in observations if the misalignment of optical elements exists. The degredation is more severe in astronomical systems with large aperture and fast focal ratio. To solve this problem, the paper proposes an active alignment method for routine observations of telescopes. The proposed method here aims to maintain the image quality by quasi-real time corrections on both the position and attitude of the telescope secondary mirror via the computation of star images. Considering the ellipticity of the star images in multi-field-of-view, the proposed method uses the particle swarm optimization to iteratively solve the misalignment of the telescope optics, so as to correct the lower-order aberrations induced by the misalignment. The simulation in the paper is carried on with 1.6 m multi-channel photometric survey telescope, proving that the residual error of misalignment of the secondary mirror is less than 1%, within the tolerance range. Further simulation and experiment are carried out on the Three Antarctic Survey Telescopes (AST3-3) for the verification, proving that the proposed method is able to precisely solve the misalignment of the telescope optics.</t>
  </si>
  <si>
    <t>[Li Bo; Yuan Xiangyan; Li Zhengyang; Lu Haiping] Chinese Acad Sci, Nanjing Inst Astron Opt &amp; Technol, Nanjing 210042, Peoples R China; [Li Bo; Yuan Xiangyan; Li Zhengyang; Lu Haiping] Nanjing Inst Astron Opt &amp; Technol, CAS Key Lab Astron Opt &amp; Technol, Nanjing 210042, Peoples R China; [Li Bo] Univ Chinese Acad Sci, Beijing 100049, Peoples R China</t>
  </si>
  <si>
    <t>Chinese Academy of Sciences; Nanjing Institute of Astronomical Optics &amp; Technology, NAOC, CAS; Chinese Academy of Sciences; Nanjing Institute of Astronomical Optics &amp; Technology, NAOC, CAS; Chinese Academy of Sciences; University of Chinese Academy of Sciences, CAS</t>
  </si>
  <si>
    <t>Yuan, XY (corresponding author), Chinese Acad Sci, Nanjing Inst Astron Opt &amp; Technol, Nanjing 210042, Peoples R China.;Yuan, XY (corresponding author), Nanjing Inst Astron Opt &amp; Technol, CAS Key Lab Astron Opt &amp; Technol, Nanjing 210042, Peoples R China.</t>
  </si>
  <si>
    <t>bli2018@niaot.ac.cn; xyyuan@niaot.ac.cn</t>
  </si>
  <si>
    <t>wang, xiao/HZI-9156-2023</t>
  </si>
  <si>
    <t>National Natural Science Foundation of China [11190011]; National Key Basic Research Program of China [2013CB834901]</t>
  </si>
  <si>
    <t>National Natural Science Foundation of China(National Natural Science Foundation of China (NSFC)); National Key Basic Research Program of China(National Basic Research Program of China)</t>
  </si>
  <si>
    <t>National Natural Science Foundation of China (No. 11190011), National Key Basic Research Program of China (No. 2013CB834901)</t>
  </si>
  <si>
    <t>EPHRATA</t>
  </si>
  <si>
    <t>300 WEST CHESNUT ST, EPHRATA, PA 17522 USA</t>
  </si>
  <si>
    <t>1004-4213</t>
  </si>
  <si>
    <t>ACTA PHOTONICA SINIC</t>
  </si>
  <si>
    <t>Acta Photonica Sinica</t>
  </si>
  <si>
    <t>10.3788/gzxb20215004.0412002</t>
  </si>
  <si>
    <t>Optics</t>
  </si>
  <si>
    <t>RZ1FE</t>
  </si>
  <si>
    <t>WOS:000648343300001</t>
  </si>
  <si>
    <t>Karahalil, M; Ozsoy, B; Basar, E; Satir, T</t>
  </si>
  <si>
    <t>Karahalil, Meric; Ozsoy, Burcu; Basar, Ersan; Satir, Tanzer</t>
  </si>
  <si>
    <t>The evaluation of the Polar Code by the survey conducted with those who have sailed in polar regions, and suggestions for further improvement</t>
  </si>
  <si>
    <t>Polar Code; Arctic and Antarctic; SPSS; Maritime safety</t>
  </si>
  <si>
    <t>There is much evidence that ongoing global climate change has tremendous impacts on the Arctic and Antarctic environment. One of the significant effects of global climate change on polar regions is diminishing sea ice extent (SIE). Decreased SIE results in accessibility for maritime activities, which pose more threats to the fragile polar environment. For the preservation of the polar environment and the safety of the ships, International Maritime Organization (IMO) developed the International Code for Ships Operating in Polar Waters (Polar Code (PC)). The mandatory PC took a long time to develop from guidelines for Arctic waters to compulsory Code of both polar regions. Although there are similarities between the Arctic and Antarctic, such as the remoteness and harshness of the environment, the differences in physical, political, and legal conditions raise questions about the PC's adequacy. In this study, we evaluate the PC within the survey scope we conducted with the people who have sailing experience in these regions and make suggestions to develop the PC further.</t>
  </si>
  <si>
    <t>[Karahalil, Meric; Ozsoy, Burcu; Satir, Tanzer] Istanbul Tech Univ, Maritime Fac, Istanbul, Turkey; [Ozsoy, Burcu; Basar, Ersan] Sci &amp; Technol Res Council Turkey, Polar Res Inst, Istanbul, Turkey; [Basar, Ersan] Karadeniz Tech Univ, Trabzon, Turkey</t>
  </si>
  <si>
    <t>Istanbul Technical University; Turkiye Bilimsel ve Teknolojik Arastirma Kurumu (TUBITAK); Karadeniz Technical University</t>
  </si>
  <si>
    <t>Karahalil, M (corresponding author), Istanbul Tech Univ, Maritime Fac, Istanbul, Turkey.</t>
  </si>
  <si>
    <t>karahalil@itu.edu.tr</t>
  </si>
  <si>
    <t>Basar, Ersan/AAG-4396-2019; Satir, Tanzer/E-6425-2014; Ozsoy, Burcu/AAH-5348-2020</t>
  </si>
  <si>
    <t>Basar, Ersan/0000-0002-1458-4102; Satir, Tanzer/0000-0002-5308-5680; Ozsoy, Burcu/0000-0003-4320-1796; Karahalil, Meric/0000-0001-6196-2770</t>
  </si>
  <si>
    <t>10.1016/j.marpol.2021.104502</t>
  </si>
  <si>
    <t>XY0NN</t>
  </si>
  <si>
    <t>WOS:000736680700001</t>
  </si>
  <si>
    <t>Pfeifer, C; Rümmler, MC; Mustafa, O</t>
  </si>
  <si>
    <t>Pfeifer, Christian; Ruemmler, Marie-Charlott; Mustafa, Osama</t>
  </si>
  <si>
    <t>Assessing colonies of Antarctic shags by unmanned aerial vehicle (UAV) at South Shetland Islands, Antarctica</t>
  </si>
  <si>
    <t>ANTARCTIC SCIENCE</t>
  </si>
  <si>
    <t>abundance; drones; King George Island; monitoring; Phalacrocorax bransfieldensis; shags</t>
  </si>
  <si>
    <t>PENINSULA; CENSUS</t>
  </si>
  <si>
    <t>Due to the remote location of colonies of Antarctic shags (Phalacrocorax (atriceps) bransfieldensis) in Antarctica, there is only sparse data on the abundance of this species. An unmanned aerial vehicle (UAV) survey for known and unknown Antarctic shag colonies along the coasts of Nelson Island and western King George Island, Antarctica, was conducted in December 2016. Four colonies, one of them previously unknown, were detected. For the first time since the 1980s, the total population size of the colonies in that area was determined. A comparison with previous estimates revealed evidence of a population increase by a factor of 2.86. To support future survey campaigns, several characteristic features of Antarctic shag colonies, nests and individuals in aerial imagery were identified. This makes possible more reliable detection and determination of population size in Antarctic shag colonies. These characteristic features were compared with those of chinstrap penguin colonies (Pygoscelis antarcticus) because these species often overlap spatially and are difficult to distinguish. In addition, the optimal weather conditions and flight parameters for an aerial survey were specified.</t>
  </si>
  <si>
    <t>[Pfeifer, Christian; Ruemmler, Marie-Charlott; Mustafa, Osama] Thuringian Inst Sustainabil &amp; Climate Protect ThI, Leutragraben 1, D-07743 Jena, Germany</t>
  </si>
  <si>
    <t>Pfeifer, C (corresponding author), Thuringian Inst Sustainabil &amp; Climate Protect ThI, Leutragraben 1, D-07743 Jena, Germany.</t>
  </si>
  <si>
    <t>christian.pfeifer@think-jena.de</t>
  </si>
  <si>
    <t>Mustafa, Osama/0000-0002-1548-0647; Rummler, Marie-Charlott/0000-0002-3559-9397; Pfeifer, Christian/0000-0002-9003-5519</t>
  </si>
  <si>
    <t>German Federal Ministry for the Environment, Nature Conservation and Nuclear Safety [UFOPLAN 3716 18 210 0]</t>
  </si>
  <si>
    <t>German Federal Ministry for the Environment, Nature Conservation and Nuclear Safety</t>
  </si>
  <si>
    <t>This research was commissioned by the German Federal Environment Agency and funded by the German Federal Ministry for the Environment, Nature Conservation and Nuclear Safety (UFOPLAN 3716 18 210 0). We thank the crew of the Bellingshausen Station (Russian) for accommodation and technical support during our expedition. We thank Christina Braun and Dr Hans-Ulrich Peter for invaluable support before and during the Antarctic field campaign. Thanks to the developers of ArduPilot, ExifTool, QGIS and R for developing and sharing the open-source software that we used in this study. We also thank Dr Michael Schrimpf and one anonymous reviewer for their feedback and insight on previous drafts of this manuscript. Dr Andrew Davis (English Experience Language Services, Gottingen) edited the text during revision.</t>
  </si>
  <si>
    <t>0954-1020</t>
  </si>
  <si>
    <t>1365-2079</t>
  </si>
  <si>
    <t>ANTARCT SCI</t>
  </si>
  <si>
    <t>Antarct. Sci.</t>
  </si>
  <si>
    <t>PII S0954102020000644</t>
  </si>
  <si>
    <t>10.1017/S0954102020000644</t>
  </si>
  <si>
    <t>Environmental Sciences; Geography, Physical; Geosciences, Multidisciplinary</t>
  </si>
  <si>
    <t>Environmental Sciences &amp; Ecology; Physical Geography; Geology</t>
  </si>
  <si>
    <t>RZ9LW</t>
  </si>
  <si>
    <t>WOS:000648921000003</t>
  </si>
  <si>
    <t>Rogov, DD; Vystavnoi, VM; Blagoveshchenskaya, NF; Baryshev, PE; Kalishin, AS</t>
  </si>
  <si>
    <t>Rogov, D. D.; Vystavnoi, V. M.; Blagoveshchenskaya, N. F.; Baryshev, P. E.; Kalishin, A. S.</t>
  </si>
  <si>
    <t>Russian High-latitude Network of Oblique Ionospheric Sounding</t>
  </si>
  <si>
    <t>RUSSIAN METEOROLOGY AND HYDROLOGY</t>
  </si>
  <si>
    <t>high-latitude ionosphere; oblique ionospheric sounding; HF radio communication monitoring; ionospheric modification; aspect-sensitive scattering of radio waves</t>
  </si>
  <si>
    <t>The network for monitoring the high-latitude ionosphere by the method of oblique ionospheric sounding deployed in the Russian Arctic region is considered. The study describes the main results of operational data processing for studying the high-latitude ionosphere and determining the conditions for the optimum operation of radio communication systems and over-the-horizon radars in this region. The study demonstrates the potential of the network as a tool for the remote diagnostics of parameters of small-scale artificial ionospheric irregularities induced by powerful HF radio waves in the mid-latitude ionospheric F-region.</t>
  </si>
  <si>
    <t>[Rogov, D. D.; Vystavnoi, V. M.; Blagoveshchenskaya, N. F.; Baryshev, P. E.; Kalishin, A. S.] Arctic &amp; Antarctic Res Inst, Ul Beringa 38, St Petersburg 199397, Russia</t>
  </si>
  <si>
    <t>Arctic &amp; Antarctic Research Institute</t>
  </si>
  <si>
    <t>Rogov, DD (corresponding author), Arctic &amp; Antarctic Res Inst, Ul Beringa 38, St Petersburg 199397, Russia.</t>
  </si>
  <si>
    <t>rogovdenis@mail.ru</t>
  </si>
  <si>
    <t>Blagoveshchenskaya, Nataly/AAE-4093-2022</t>
  </si>
  <si>
    <t>Blagoveshchenskaya, Nataly/0000-0003-1752-3273; Kalishin, Alexey/0000-0001-7299-6546</t>
  </si>
  <si>
    <t>Russian Foundation for Basic Research [18-05-80004]</t>
  </si>
  <si>
    <t>The research was partly supported by the Russian Foundation for Basic Research (project No. 18-05-80004).</t>
  </si>
  <si>
    <t>1068-3739</t>
  </si>
  <si>
    <t>1934-8096</t>
  </si>
  <si>
    <t>RUSS METEOROL HYDRO+</t>
  </si>
  <si>
    <t>Russ. Meteorol. Hydrol.</t>
  </si>
  <si>
    <t>10.3103/S1068373921040014</t>
  </si>
  <si>
    <t>UC8PR</t>
  </si>
  <si>
    <t>WOS:000686784400001</t>
  </si>
  <si>
    <t>Kalishin, AS; Blagoveshchenskaya, NF; Borisova, TD; Rogov, DD</t>
  </si>
  <si>
    <t>Kalishin, A. S.; Blagoveshchenskaya, N. F.; Borisova, T. D.; Rogov, D. D.</t>
  </si>
  <si>
    <t>Remote Diagnostics of Effects Induced by High-latitude Heating Facilities</t>
  </si>
  <si>
    <t>powerful HF radio waves; modification; high-latitude ionosphere; EISCAT HF heating facility; bi-scattered signals; small-scale artificial field-aligned irregularities; remote diagnostics; Doppler method; artificial radio emission of the ionosphere</t>
  </si>
  <si>
    <t>F-REGION; IONOSPHERE; WAVE; ELF</t>
  </si>
  <si>
    <t>The results of long-term studies of the effects of the high-latitude ionosphere modification by powerful high-frequency (HF) radio waves generated by the EISCAT/Heating facility based on remote diagnostic methods are presented. The brief description of remote diagnostic instruments and methods is given. The excitation conditions and characteristics of small-scale artificial field-aligned irregularities induced by the O- and X-mode HF pumping are considered using the bi-static scatter method. The results of the spectral analysis of HF heater signals under various radiation modes are provided. It is shown that the X-mode HF pumping induces narrowband artificial radio emission of the ionosphere recorded at a distance of more than 1000 km from the heater.</t>
  </si>
  <si>
    <t>[Kalishin, A. S.; Blagoveshchenskaya, N. F.; Borisova, T. D.; Rogov, D. D.] Arctic &amp; Antarctic Res Inst, Ul Beringa 38, St Petersburg 199397, Russia</t>
  </si>
  <si>
    <t>Kalishin, AS (corresponding author), Arctic &amp; Antarctic Res Inst, Ul Beringa 38, St Petersburg 199397, Russia.</t>
  </si>
  <si>
    <t>askalishin@aari.ru</t>
  </si>
  <si>
    <t>Kalishin, Alexey/0000-0001-7299-6546</t>
  </si>
  <si>
    <t>10.3103/S1068373921040038</t>
  </si>
  <si>
    <t>WOS:000686784400003</t>
  </si>
  <si>
    <t>Kharitonov, VV</t>
  </si>
  <si>
    <t>Kharitonov, V. V.</t>
  </si>
  <si>
    <t>On the Porosity of the Unconsolidated Part of Ice Ridge Keel</t>
  </si>
  <si>
    <t>ice ridge; thermal drilling; cross-sectional profile; consolidated layer; keel; porosity</t>
  </si>
  <si>
    <t>INTERNAL STRUCTURE; CONSOLIDATION; SEA</t>
  </si>
  <si>
    <t>The paper discusses the distribution of porosity of the unconsolidated part of the keel of ten first-year ice ridges investigated in the central Arctic basin and the Shokalsky Strait (Severnaya Zemlya) in 2012-2019. These studies were performed using thermal drilling with the computer (logger) recording of penetration rate. Boreholes were drilled along the cross-section of the ridge crest, mainly at 0.25-m intervals. The porosity values for the unconsolidated part of the keel are presented on the diagram as a point cloud. The horizontal position of the points is determined by the relative distance between the borehole and the point where the keel has the maximum draft. As moving away from this point, the average porosity of the unconsolidated part of the keel tends to increase. This feature is a consequence of the Archimedes force effect and agrees with the model of porosity changes from the theory of granular media.</t>
  </si>
  <si>
    <t>[Kharitonov, V. V.] Arctic &amp; Antarctic Res Inst, Ul Beringa 38, St Petersburg 199397, Russia</t>
  </si>
  <si>
    <t>Kharitonov, VV (corresponding author), Arctic &amp; Antarctic Res Inst, Ul Beringa 38, St Petersburg 199397, Russia.</t>
  </si>
  <si>
    <t>sogra.kharitonov@mail.ru</t>
  </si>
  <si>
    <t>Kharitonov, Victor/0000-0003-1847-9980</t>
  </si>
  <si>
    <t>10.3103/S1068373921040099</t>
  </si>
  <si>
    <t>WOS:000686784400009</t>
  </si>
  <si>
    <t>Pan, L; Powell, EM; Latychev, K; Mitrovica, JX; Creveling, JR; Gomez, N; Hoggard, MJ; Clark, PU</t>
  </si>
  <si>
    <t>Pan, Linda; Powell, Evelyn M.; Latychev, Konstantin; Mitrovica, Jerry X.; Creveling, Jessica R.; Gomez, Natalya; Hoggard, Mark J.; Clark, Peter U.</t>
  </si>
  <si>
    <t>Rapid postglacial rebound amplifies global sea level rise following West Antarctic Ice Sheet collapse</t>
  </si>
  <si>
    <t>SCIENCE ADVANCES</t>
  </si>
  <si>
    <t>GLACIAL ISOSTATIC-ADJUSTMENT; UPPER-MANTLE; VELOCITY MODEL; BEDROCK UPLIFT; SURFACE; VISCOSITY; CLIMATE; BENEATH; EARTH; STABILITY</t>
  </si>
  <si>
    <t>Geodetic, seismic, and geological evidence indicates that West Antarctica is underlain by low-viscosity shallow mantle. Thus, as marine-based sectors of the West Antarctic Ice Sheet (WAIS) retreated during past interglacials, or will retreat in the future, exposed bedrock will rebound rapidly and flux meltwater out into the open ocean. Previous studies have suggested that this contribution to global mean sea level (GMSL) rise is small and occurs slowly. We challenge this notion using sea level predictions that incorporate both the outflux mechanism and complex three-dimensional viscoelastic mantle structure. In the case of the last interglacial, where the GMSL contribution from WAIS collapse is often cited as similar to 3 to 4 meters, the outflux mechanism contributes similar to 1 meter of additional GMSL change within similar to 1 thousand years of the collapse. Using a projection of future WAIS collapse, we also demonstrate that the outflux can substantially amplify GMSL rise estimates over the next century.</t>
  </si>
  <si>
    <t>[Pan, Linda; Powell, Evelyn M.; Latychev, Konstantin; Mitrovica, Jerry X.; Hoggard, Mark J.] Harvard Univ, Dept Earth &amp; Planetary Sci, Cambridge, MA 02138 USA; [Latychev, Konstantin; Hoggard, Mark J.] Columbia Univ, Lamont Doherty Earth Observ, Palisades, NY 10964 USA; [Creveling, Jessica R.; Clark, Peter U.] Oregon State Univ, Coll Earth Ocean &amp; Atmospher Sci, Corvallis, OR 97331 USA; [Gomez, Natalya] McGill Univ, Dept Earth &amp; Planetary Sci, Montreal, PQ, Canada</t>
  </si>
  <si>
    <t>Harvard University; Columbia University; Oregon State University; McGill University</t>
  </si>
  <si>
    <t>Pan, L (corresponding author), Harvard Univ, Dept Earth &amp; Planetary Sci, Cambridge, MA 02138 USA.</t>
  </si>
  <si>
    <t>lindapan@g.harvard.edu</t>
  </si>
  <si>
    <t>Hoggard, Mark/AAZ-6207-2021; Creveling, Jessica/HOC-9066-2023</t>
  </si>
  <si>
    <t>Hoggard, Mark/0000-0003-4310-3862; Clark, Peter/0000-0003-4752-6045; Powell, Evelyn/0000-0001-7661-5878</t>
  </si>
  <si>
    <t>Fonds de Recherche du Quebec-Nature et technologies; NSF Graduate Research Fellowship Grants [DGE1144152, DGE1745303]; John D. and Catherine T. MacArthur Foundation; NASA [NNX17AE17G]; NSF [OCE-1702684]; American Chemical Society Petroleum Research Fund grant [59062-DNI8]; Harvard University; Oregon State University; Natural Sciences and Engineering Research Council; Canada Research Chairs program; Star-Friedman Challenge; NASA [NNX17AE17G, 1002858] Funding Source: Federal RePORTER</t>
  </si>
  <si>
    <t>Fonds de Recherche du Quebec-Nature et technologies(Fonds de recherche du Quebec (FRQ)Fonds de recherche du Quebec - Nature et technologies (FRQNT)); NSF Graduate Research Fellowship Grants(National Science Foundation (NSF)); John D. and Catherine T. MacArthur Foundation; NASA(National Aeronautics &amp; Space Administration (NASA)); NSF(National Science Foundation (NSF)); American Chemical Society Petroleum Research Fund grant(American Chemical Society); Harvard University; Oregon State University; Natural Sciences and Engineering Research Council(Natural Sciences and Engineering Research Council of Canada (NSERC)); Canada Research Chairs program(Canada Research Chairs); Star-Friedman Challenge; NASA(National Aeronautics &amp; Space Administration (NASA))</t>
  </si>
  <si>
    <t>This study was supported by Fonds de Recherche du Quebec-Nature et technologies (to L.P.), Star-Friedman Challenge (to L.P. and K.L.), NSF Graduate Research Fellowship Grants DGE1144152 and DGE1745303 (to E.M.P.), John D. and Catherine T. MacArthur Foundation (to J.X.M.), NASA grant NNX17AE17G (to J.X.M., E.M.P., and M.J.H.), NSF grant OCE-1702684 (to J.X.M.), American Chemical Society Petroleum Research Fund grant 59062-DNI8 (to M.J.H.), Harvard University (to L.P., E.M.P., K.L., J.X.M., and M.J.H.), Oregon State University (to J.R.C.), Natural Sciences and Engineering Research Council (to N.G.), and Canada Research Chairs program (to N.G.).</t>
  </si>
  <si>
    <t>AMER ASSOC ADVANCEMENT SCIENCE</t>
  </si>
  <si>
    <t>1200 NEW YORK AVE, NW, WASHINGTON, DC 20005 USA</t>
  </si>
  <si>
    <t>2375-2548</t>
  </si>
  <si>
    <t>SCI ADV</t>
  </si>
  <si>
    <t>Sci. Adv.</t>
  </si>
  <si>
    <t>eabf7787</t>
  </si>
  <si>
    <t>10.1126/sciadv.abf7787</t>
  </si>
  <si>
    <t>TP4NO</t>
  </si>
  <si>
    <t>WOS:000677572600015</t>
  </si>
  <si>
    <t>Wang, XD; Yang, SH; Wu, ZK</t>
  </si>
  <si>
    <t>Wang, Xingdong; Yang, Shuhui; Wu, Zhankai</t>
  </si>
  <si>
    <t>Multi-year spatial distribution of Antarctic sea ice (1988-2017)</t>
  </si>
  <si>
    <t>TERRESTRIAL ATMOSPHERIC AND OCEANIC SCIENCES</t>
  </si>
  <si>
    <t>Antarctica; Remote sensing; Sea ice concentration; Spatial change; Multi-year ice</t>
  </si>
  <si>
    <t>VARIABILITY; TRENDS; EDGE</t>
  </si>
  <si>
    <t>In this study, we used daily sea-ice concentration data from the National Snow and Ice Data Center from 1988 to 2017 to investigate the spatial distribution of Antarctic sea ice by calculating the annual mean sea-ice concentration and multi-year sea ice in five sub-regions of Antarctica. Variations in these parameters were analyzed for three individual 10-year increments (1988 - 1997, 1998 - 2007, and 2008 - 2017) as well as for the entire 30-year period, and spatial comparisons of both were made for the sub-regions. Results showed that the mean sea-ice concentration for the entire Antarctic region over the 30-year period was 0.506. From 2008 to 2017, the sea-ice concentration decreased at a rate of -0.28% yr(-1). The Weddell Sea was found to have the largest area of multi-year sea ice, whereas the Indian Ocean and the Pacific Ocean had the least. Spatially, the multi-year sea ice area increased mainly in the Weddell Sea, whereas the Bellingshausen Sea, Amundsen Sea, and Ross Sea experienced decreasing sea ice areas. In conclusion, regional differences in the spatial distribution of the Antarctic sea ice were observed. The temporal trend and range of the sea-ice concentration differed between the five sub-regions, as did the spatial distribution and temporal trend of multi-year sea ice.</t>
  </si>
  <si>
    <t>[Wang, Xingdong; Yang, Shuhui; Wu, Zhankai] Henan Univ Technol, Minist Educ, Key Lab Grain Informat Proc &amp; Control, Zhengzhou, Peoples R China; [Wang, Xingdong] Henan Univ Technol, Coll Informat Sci &amp; Engn, Zhengzhou, Peoples R China; [Wang, Xingdong] Natl Local Joint Engn Lab Digital Preservat &amp; Inn, Hengyang, Peoples R China</t>
  </si>
  <si>
    <t>Henan University of Technology; Henan University of Technology</t>
  </si>
  <si>
    <t>Yang, SH (corresponding author), Henan Univ Technol, Minist Educ, Key Lab Grain Informat Proc &amp; Control, Zhengzhou, Peoples R China.</t>
  </si>
  <si>
    <t>ysh1563852@163.com</t>
  </si>
  <si>
    <t>Key Laboratory of Ocean Circulation and Waves, Institute of Oceanography, Chinese Academy of Sciences [KLOCW1805]; Open fund project of National-Local Joint Engineering Laboratory on Digital Preservation and Innovative Technologies for the Culture of Traditional Villages and Towns [CTCZ18K07]; Open Research Fund of the Key Laboratory of Digital Earth Science, Institute of Remote Sensing and Digital Earth, Chinese Academy of Sciences [2018LDE005]</t>
  </si>
  <si>
    <t>Key Laboratory of Ocean Circulation and Waves, Institute of Oceanography, Chinese Academy of Sciences; Open fund project of National-Local Joint Engineering Laboratory on Digital Preservation and Innovative Technologies for the Culture of Traditional Villages and Towns; Open Research Fund of the Key Laboratory of Digital Earth Science, Institute of Remote Sensing and Digital Earth, Chinese Academy of Sciences</t>
  </si>
  <si>
    <t>This research was supported by the Key Laboratory of Ocean Circulation and Waves, Institute of Oceanography, Chinese Academy of Sciences (grant no. KLOCW1805); Open fund project of National-Local Joint Engineering Laboratory on Digital Preservation and Innovative Technologies for the Culture of Traditional Villages and Towns (grant no. CTCZ18K07); Open Research Fund of the Key Laboratory of Digital Earth Science, Institute of Remote Sensing and Digital Earth, Chinese Academy of Sciences (grant no. 2018LDE005). We thank the Chief Editor of the Journal and the anonymous reviewers for their time, effort, and suggestions, which significantly improved the manuscript.</t>
  </si>
  <si>
    <t>SPRINGERNATURE</t>
  </si>
  <si>
    <t>CAMPUS, 4 CRINAN ST, LONDON, N1 9XW, ENGLAND</t>
  </si>
  <si>
    <t>1017-0839</t>
  </si>
  <si>
    <t>2311-7680</t>
  </si>
  <si>
    <t>TERR ATMOS OCEAN SCI</t>
  </si>
  <si>
    <t>Terr. Atmos. Ocean. Sci.</t>
  </si>
  <si>
    <t>10.3319/TAO.2020.11.16.01</t>
  </si>
  <si>
    <t>Geosciences, Multidisciplinary; Meteorology &amp; Atmospheric Sciences; Oceanography</t>
  </si>
  <si>
    <t>Geology; Meteorology &amp; Atmospheric Sciences; Oceanography</t>
  </si>
  <si>
    <t>TN0DE</t>
  </si>
  <si>
    <t>WOS:000675914500007</t>
  </si>
  <si>
    <t>Echevarria, ER; Hemer, MA; Holbrook, NJ</t>
  </si>
  <si>
    <t>Echevarria, Emilio R.; Hemer, Mark A.; Holbrook, Neil J.</t>
  </si>
  <si>
    <t>Global implications of surface current modulation of the wind-wave field</t>
  </si>
  <si>
    <t>Wind-wave modelling; Wave-current interaction; Ocean currents; Wave refraction; WAVEWATCH III; BRAN reanalysis</t>
  </si>
  <si>
    <t>SHORT GRAVITY WAVES; STOKES DRIFT; PROJECTED CHANGES; AGULHAS CURRENT; WATER-WAVES; REFRACTION; DISSIPATION; SWELL; PARAMETERIZATIONS; CALIBRATION</t>
  </si>
  <si>
    <t>The influence of ocean surface currents on the global wind-wave field is revisited. State-of-the-art numerical spectral wave model simulations with and without surface currents taken from an eddy resolving global ocean reanalysis were compared. As a global average, simulations forced with currents display significantly better agreement with altimeter derived wave heights. The bias and root mean square error in significant wave heights are mostly reduced when including current forcing, especially in the Southern Ocean. An overall improvement in wave periods and wave direction is also seen when comparing model outputs with the Australian and United States buoy network observations. Including surface ocean current forcing in wave simulations reduces the simulated wave heights in most areas of the world, due to a decreased relative wind given by co-flowing winds and currents. Current-induced refraction generates important changes in wave direction in western boundary current and tropical regions. Furthermore, large and broad changes in friction velocity, atmosphere to-ocean energy flux, whitecap cover and Stokes drift velocities are observed in equatorial regions. Finally, the importance of the wave model resolution for representing wave-current interactions was tested by comparing results from eddy-permitting (lower resolution) and eddy-resolving (higher resolution) configurations. We conclude that the main patterns of current-induced refraction are well represented in both cases, albeit that the higher resolution simulation represents these in a more detailed manner. Finally, the implications that the observed wave-current interactions have on several ocean processes are discussed.</t>
  </si>
  <si>
    <t>[Echevarria, Emilio R.; Hemer, Mark A.] CSIRO Oceans &amp; Atmosphere, GPO Box 1538, Hobart, Tas 7000, Australia; [Echevarria, Emilio R.; Holbrook, Neil J.] Inst Marine &amp; Antarctic Studies, Private Bag 129, Hobart, Tas 7001, Australia; [Holbrook, Neil J.] Univ Tasmania, Ctr Excellence Climate Extremes, Australian Res Council, Hobart, Tas 7001, Australia</t>
  </si>
  <si>
    <t>Commonwealth Scientific &amp; Industrial Research Organisation (CSIRO); University of Tasmania; University of Tasmania</t>
  </si>
  <si>
    <t>Echevarria, ER (corresponding author), CSIRO Oceans &amp; Atmosphere, GPO Box 1538, Hobart, Tas 7000, Australia.</t>
  </si>
  <si>
    <t>emilio.echevarria@csiro.au</t>
  </si>
  <si>
    <t>Echevarria, Emilio/AFW-5225-2022; Hemer, Mark/M-1905-2013; Holbrook, Neil/M-7544-2013</t>
  </si>
  <si>
    <t>Hemer, Mark/0000-0002-7725-3474; Holbrook, Neil/0000-0002-3523-6254; Echevarria, Emilio/0000-0003-1267-2587</t>
  </si>
  <si>
    <t>UTAS-CSIRO Quantitative Marine Science Program; Institute for Marine and Antarctic Studies; CSIRO Office of the Chief Executive topup scholarship; Australian Government National Environmental Science Program Earth Systems and Climate Change (NESP ESCC) Hub; Australian Research Council Centre of Excellence for Climate Extremes [CE170100023]; NESP ESCC Hub</t>
  </si>
  <si>
    <t>UTAS-CSIRO Quantitative Marine Science Program; Institute for Marine and Antarctic Studies; CSIRO Office of the Chief Executive topup scholarship; Australian Government National Environmental Science Program Earth Systems and Climate Change (NESP ESCC) Hub; Australian Research Council Centre of Excellence for Climate Extremes(Australian Research Council); NESP ESCC Hub</t>
  </si>
  <si>
    <t>The authors wish to thank Claire Trenham for her valuable comments on an earlier version of this manuscript. Six anonymous reviewers have also provided savvy and detailed suggestions that helped to significantly improved the quality of this paper. The authors acknowledge the National Computational Infrastructure (NCI) of Australia, whose resources and assistance were used to carry out the wave simulations, and the Bluelink team for the surface currents reanalysis data used as forcing for the wave simulations. We also acknowledge the United States National Data Buoy Centre (NDBC) for availability of wave information used to validate the performance of the model. The Australian buoy data were sourced from Australia's Integrated Marine Observing System (IMOS) -IMOS is enabled by the National Collaborative Research Infrastructure Strategy (NCRIS) . It is operated by a consortium of institutions as an unincorporated joint venture, with the University of Tasmania as the Lead Agent. EE is supported by funding from the UTAS-CSIRO Quantitative Marine Science Program, the Institute for Marine and Antarctic Studies, and a CSIRO Office of the Chief Executive topup scholarship. MH is supported by the Australian Government National Environmental Science Program Earth Systems and Climate Change (NESP ESCC) Hub. NH acknowledges support from the Australian Research Council Centre of Excellence for Climate Extremes (Grant CE170100023) and also the NESP ESCC Hub.</t>
  </si>
  <si>
    <t>10.1016/j.ocemod.2021.101792</t>
  </si>
  <si>
    <t>TH1VD</t>
  </si>
  <si>
    <t>WOS:000671882400003</t>
  </si>
  <si>
    <t>Talalay, P; Sun, YH; Fan, XP; Zhang, N; Cao, PL; Wang, RS; Markov, A; Li, XC; Yang, Y; Sysoev, M; Liu, YW; Liu, YC; Wu, W; Gong, D</t>
  </si>
  <si>
    <t>Talalay, Pavel; Sun, Youhong; Fan, Xiaopeng; Zhang, Nan; Cao, Pinlu; Wang, Rusheng; Markov, Alexey; Li, Xingchen; Yang, Yang; Sysoev, Mikhail; Liu, Yongwen; Liu, Yunchen; Wu, Wei; Gong, Da</t>
  </si>
  <si>
    <t>Antarctic subglacial drilling rig: Part I. General concept and drilling shelter structure</t>
  </si>
  <si>
    <t>ANNALS OF GLACIOLOGY</t>
  </si>
  <si>
    <t>Ice engineering; Glacier geology; Ice coring; Subglacial exploration geophysics</t>
  </si>
  <si>
    <t>ICE-FLOW; DOME; MOUNTAINS; NETWORKS; HISTORY; GEOLOGY; SURFACE; SITES; WATER; BED</t>
  </si>
  <si>
    <t>Drilling to the bedrock of ice sheets and glaciers offers unique opportunities for examining the processes occurring in the bed. Basal and subglacial materials contain important paleoclimatic and paleoenvironmental records and provide a unique habitat for life; they offer significant information regarding the sediment deformation beneath glaciers and its effects on the subglacial hydraulic system and geology. The newly developed and tested Antarctic subglacial drilling rig (ASDR) is designed to recover ice and bedrock core samples from depths of up to 1400 m. All of the drilling equipment is installed inside a movable, sledge-mounted, temperature-controlled and wind-protected drilling shelter and workshop. To facilitate helicopter unloading of the research vessel, the shelter and workshop can be disassembled, with individual parts weighing &lt;2-3 tons. The entire ASDR system weighs similar to 55 tons, including transport packaging. The ASDR is designed to be transported to the chosen site via snow vehicles and would be ready for drilling operations within 2-3 d after arrival. The ASDR was tested during the 2018-2019 summer season near Zhongshan Station, East Antarctica. At the test site, 2-week drilling operations resulted in a borehole that reached bedrock at a depth of 198 m.</t>
  </si>
  <si>
    <t>[Talalay, Pavel; Sun, Youhong; Fan, Xiaopeng; Zhang, Nan; Cao, Pinlu; Wang, Rusheng; Markov, Alexey; Li, Xingchen; Yang, Yang; Sysoev, Mikhail; Liu, Yongwen; Liu, Yunchen; Wu, Wei; Gong, Da] Jilin Univ, Polar Res Ctr, Changchun, Peoples R China</t>
  </si>
  <si>
    <t>Jilin University</t>
  </si>
  <si>
    <t>Sun, YH; Fan, XP (corresponding author), Jilin Univ, Polar Res Ctr, Changchun, Peoples R China.</t>
  </si>
  <si>
    <t>syh@jlu.edu.cn; heaxe@163.com</t>
  </si>
  <si>
    <t>Markov, Alexey/E-1695-2014; Talalay, Pavel/AAH-2908-2020</t>
  </si>
  <si>
    <t>Talalay, Pavel/0000-0002-8230-4600; Li, Xingchen/0000-0001-7843-7446</t>
  </si>
  <si>
    <t>National Science Foundation of China [41327804]; Program for Jilin University Science and Technology Innovative Research Team [2017TD-24]; Cortech Drilling Equipment Co. Ltd. in Beijing</t>
  </si>
  <si>
    <t>National Science Foundation of China(National Natural Science Foundation of China (NSFC)); Program for Jilin University Science and Technology Innovative Research Team; Cortech Drilling Equipment Co. Ltd. in Beijing</t>
  </si>
  <si>
    <t>This research was supported by the National Science Foundation of China (project No. 41327804) and the Program for Jilin University Science and Technology Innovative Research Team (Project No. 2017TD-24). We are grateful to our research team members for their help with the ASDR design and testing. We thank the engineers and other employees of Cortech Drilling Equipment Co. Ltd. in Beijing for high-quality manufacturing of the ASDR and CHINARE for the logistical and financial support of field operations in Antarctica. We also thank Scientific Editor K. Slawny (US Ice Drilling Program) and two anonymous reviewers for fruitful suggestions, useful comments and editing.</t>
  </si>
  <si>
    <t>EDINBURGH BLDG, SHAFTESBURY RD, CB2 8RU CAMBRIDGE, ENGLAND</t>
  </si>
  <si>
    <t>0260-3055</t>
  </si>
  <si>
    <t>1727-5644</t>
  </si>
  <si>
    <t>ANN GLACIOL</t>
  </si>
  <si>
    <t>Ann. Glaciol.</t>
  </si>
  <si>
    <t>PII S0260305520000373</t>
  </si>
  <si>
    <t>10.1017/aog.2020.37</t>
  </si>
  <si>
    <t>SO2NO</t>
  </si>
  <si>
    <t>WOS:000658814200001</t>
  </si>
  <si>
    <t>Talalay, P; Li, XC; Zhang, N; Fan, XP; Sun, YH; Cao, PL; Wang, RS; Yang, Y; Liu, YW; Liu, YC; Wu, W; Yang, C; Hong, JL; Gong, D; Zhang, H; Li, X; Chen, YW; Liu, A; Li, YZ</t>
  </si>
  <si>
    <t>Talalay, Pavel; Li, Xingchen; Zhang, Nan; Fan, Xiaopeng; Sun, Youhong; Cao, Pinlu; Wang, Rusheng; Yang, Yang; Liu, Yongwen; Liu, Yunchen; Wu, Wei; Yang, Cheng; Hong, Jialin; Gong, Da; Zhang, Han; Li, Xiao; Chen, Yunwang; Liu, An; Li, Yazhou</t>
  </si>
  <si>
    <t>Antarctic subglacial drilling rig: Part II. Ice and Bedrock Electromechanical Drill (IBED)</t>
  </si>
  <si>
    <t>Glacier geology; ice coring; ice engineering; subglacial exploration geophysics</t>
  </si>
  <si>
    <t>DESIGN; BOTTOM; FLUID; BITS</t>
  </si>
  <si>
    <t>Anew, modified version of the cable-suspended Ice and Bedrock Electromechanical Drill (IBED) was designed for drilling in firn, ice, debris-rich ice and rock. The upper part of the drill is almost the same for all drill variants and comprises four sections: cable termination, a slip-ring section, an antitorque systemand an electronic pressure chamber. The lower part of the IBED comprises an auger core barrel, reamers, a core barrel for ice/debris-ice drilling and a conventional geological single-tube core barrel or custom-made double-tube core barrel. First, the short and full-scale field versions of the IBED were tested at an outdoor testing stand and a testing facility with a 12.5m-deep ice well. Then, in the 2018-2019 summer season, the IBED was tested in the field at a site similar to 12 km south of Zhongshan Station, East Antarctica, and a similar to 6 cm bedrock core was recovered from a 198 m-deep borehole. A total of 18 d was required to penetrate the ice sheet. The retrieved core samples of blue ice, basal ice and bedrock provided valuable information regarding the Earth's paleo-environment.</t>
  </si>
  <si>
    <t>[Talalay, Pavel; Li, Xingchen; Zhang, Nan; Fan, Xiaopeng; Sun, Youhong; Cao, Pinlu; Wang, Rusheng; Yang, Yang; Liu, Yongwen; Liu, Yunchen; Wu, Wei; Yang, Cheng; Hong, Jialin; Gong, Da; Zhang, Han; Li, Xiao; Chen, Yunwang; Liu, An; Li, Yazhou] Jilin Univ, Polar Res Ctr, Changchun, Peoples R China; [Sun, Youhong] China Univ Geosci, Beijing, Peoples R China</t>
  </si>
  <si>
    <t>Jilin University; China University of Geosciences</t>
  </si>
  <si>
    <t>Zhang, N (corresponding author), Jilin Univ, Polar Res Ctr, Changchun, Peoples R China.</t>
  </si>
  <si>
    <t>znan@jlu.edu.cn</t>
  </si>
  <si>
    <t>Li, Xiao/AFK-8820-2022; Talalay, Pavel/AAH-2908-2020</t>
  </si>
  <si>
    <t>Talalay, Pavel/0000-0002-8230-4600; Zhang, Han/0000-0003-3339-0255; Li, Xingchen/0000-0001-7843-7446</t>
  </si>
  <si>
    <t>National Science Foundation of China [41327804]; Program for JLU Science and Technology Innovative Research Team [2017TD-24]; CHINARE</t>
  </si>
  <si>
    <t>National Science Foundation of China(National Natural Science Foundation of China (NSFC)); Program for JLU Science and Technology Innovative Research Team; CHINARE</t>
  </si>
  <si>
    <t>This research was supported by the National Science Foundation of China (project No. 41327804) and the Program for JLU Science and Technology Innovative Research Team (Project No. 2017TD-24). We thank CHINARE for logistical and financial support of the field operations in Antarctica. The project would not be accomplished without the continuous support and valuable help of Bo Sun, Head of the 35th CHINARE; Fuhai Wei, Vice-Head of the 35th CHINARE; Hongqiao Hu, Leader of Zhongshan Station; Zhaohui Shang, Xu Yao and Tao Wang, leaders of the inland team; and the Snow Eagle aircraft team members, including Xiaosong Shi, Xiangbin Cui, Changwei Hou, Xiaowen Liao, Gan Su, Duanran Zhao, Qingzhong Yao, Gang Qiao, Lin Li and Yukai Zhao. We are grateful to Sergey Popov (Polar Marine Geosurvey Expedition, Russia) and his radio-echo sounding team, who assisted in the selection of the location of the drilling site. We also thank the teachers, engineers and postgraduate students of the Polar Research Center of JLU for their hard work in testing the drill and solving various problems. We greatly appreciate fruitful suggestions, useful comments and editing from Scientific Editor K. Slawny (US Ice Drilling Program) and anonymous reviewers.</t>
  </si>
  <si>
    <t>PII S0260305520000385</t>
  </si>
  <si>
    <t>10.1017/aog.2020.38</t>
  </si>
  <si>
    <t>WOS:000658814200002</t>
  </si>
  <si>
    <t>Antarctic subglacial drilling rig: Part II. Ice and Bedrock Electromechanical Drill (IBED) (Jun, 10.1017/aog.2020.38, 2020)</t>
  </si>
  <si>
    <t>Talalay, P (corresponding author), Jilin Univ, Polar Res Ctr, Changchun, Peoples R China.</t>
  </si>
  <si>
    <t>Talalay, Pavel/AAH-2908-2020; Li, Xiao/AFK-8820-2022</t>
  </si>
  <si>
    <t>PII S0260305520000531</t>
  </si>
  <si>
    <t>10.1017/aog.2020.53</t>
  </si>
  <si>
    <t>WOS:000658814200003</t>
  </si>
  <si>
    <t>Fan, XP; Talalay, P; Sun, YH; Li, XC; Zhang, N; Markov, A; Yang, Y; Cao, PL; Wang, RS; Liu, YW; Liu, YC; Wang, T; Wu, W; Yang, C; Hong, JL; Gong, D; Zhang, H; Sysoev, M; Li, X; Liu, A; Li, YZ</t>
  </si>
  <si>
    <t>Fan, Xiaopeng; Talalay, Pavel; Sun, Youhong; Li, Xingchen; Zhang, Nan; Markov, Alexey; Yang, Yang; Cao, Pinlu; Wang, Rusheng; Liu, Yongwen; Liu, Yunchen; Wang, Ting; Wu, Wei; Yang, Cheng; Hong, Jialin; Gong, Da; Zhang, Han; Sysoev, Mikhail; Li, Xiao; Liu, An; Li, Yazhou</t>
  </si>
  <si>
    <t>Antarctic subglacial drilling rig: Part III. Drilling auxiliaries and environmental measures</t>
  </si>
  <si>
    <t>Glaciological instruments and methods; ice coring; ice engineering</t>
  </si>
  <si>
    <t>The Antarctic subglacial drilling rig (ASDR) is designed to recover 105 mm-diameter ice cores up to 1400 m depth and 41.5 mm-diameter bedrock cores up to 2 m in length. In order to ensure safe and convenient drilling, drilling auxiliaries are designed to support fieldwork and servicing. These auxiliaries are subdivided into several systems for power supply, drill tripping in the borehole, ice core and chip processing, and drill servicing and maintenance. The required equipment also includes two generators, a drilling winch with a cable, logging winch with a cable, control desk, pipe handler with a fixed clamp, chip chamber vibrator, centrifuge, emergency devices and fitting and electrical tools. Additionally, several environmental protective measures such as a new liquid-tight casing with a thermal casing shoe and a bailing device for recovering drilling fluid from the borehole were designed. Most of the auxiliaries were tested during the summer of 2018-2019 near Zhongshan Station, East Antarctica while drilling to the bedrock to a depth of 198 m.</t>
  </si>
  <si>
    <t>[Fan, Xiaopeng; Talalay, Pavel; Sun, Youhong; Li, Xingchen; Zhang, Nan; Markov, Alexey; Yang, Yang; Cao, Pinlu; Wang, Rusheng; Liu, Yongwen; Liu, Yunchen; Wang, Ting; Wu, Wei; Yang, Cheng; Hong, Jialin; Gong, Da; Zhang, Han; Sysoev, Mikhail; Li, Xiao; Liu, An; Li, Yazhou] Jilin Univ, Polar Res Ctr, Changchun, Peoples R China; [Sun, Youhong] China Univ Geosci, Beijing, Peoples R China</t>
  </si>
  <si>
    <t>ptalalay@yahoo.com</t>
  </si>
  <si>
    <t>Talalay, Pavel/AAH-2908-2020; Markov, Alexey/E-1695-2014; Li, Xiao/AFK-8820-2022</t>
  </si>
  <si>
    <t>National Science Foundation of China [41327804]; Program for Jilin University Science and Technology Innovative Research Team [2017TD-24]</t>
  </si>
  <si>
    <t>National Science Foundation of China(National Natural Science Foundation of China (NSFC)); Program for Jilin University Science and Technology Innovative Research Team</t>
  </si>
  <si>
    <t>This research was supported by the National Science Foundation of China (project No 41327804) and the Program for Jilin University Science and Technology Innovative Research Team (Project No. 2017TD-24). We thank all teachers, engineers and postgraduate students at the Polar Research Center of Jilin University for their hard work in developing and testing drill auxiliaries and solving various problems. We greatly appreciate fruitful suggestions, useful comments and editing from Scientific Editor K. Slawny (US Ice Drilling Program) and anonymous reviewers.</t>
  </si>
  <si>
    <t>PII S0260305520000397</t>
  </si>
  <si>
    <t>10.1017/aog.2020.39</t>
  </si>
  <si>
    <t>WOS:000658814200004</t>
  </si>
  <si>
    <t>Zhang, N; Talalay, P; Liu, JB; Fan, XP; Kong, QP; Yu, HB; Liu, YC; Liu, BK; Gong, D; Li, XC; Wu, W; Hong, JL; Sysoev, M</t>
  </si>
  <si>
    <t>Zhang, Nan; Talalay, Pavel; Liu, Jingbiao; Fan, Xiaopeng; Kong, Qingpeng; Yu, Haibin; Liu, Yunchen; Liu, Benkun; Gong, Da; Li, Xingchen; Wu, Wei; Hong, Jialin; Sysoev, Mikhail</t>
  </si>
  <si>
    <t>Antarctic subglacial drilling rig: Part IV. Electrical and electronic control system</t>
  </si>
  <si>
    <t>In many cases, the efficiency and safety of a drilling project depend on the reliability of the electrical and electronic control system, as the process progresses without visual access of the operator. The electrical and electronic system provides and regulates the power supply for the drill, collects and monitors the drill data during the whole operating process, and sends and receives the control instructions and feedback signals. The entire system is composed of the surface, borehole and software subsystems. The surface subsystem serves for operating the drilling process, transmitting the drilling and environmental data, and supplying power for the drill motor and downhole control system. The borehole subsystem is generally intended for borehole data acquisition, drill motor control, power regulation and communication. The software subsystem is designed for human-computer interaction, data processing and storage, and programming of signal acquisition and transmission of data. The control system of Antarctic subglacial drilling rig was tested during the 2018-2019 summer season near Zhongshan Station, East Antarctica, in the course of drilling to the bedrock at a depth of 198 m. It exhibited a steady and efficient performance without significant system failures.</t>
  </si>
  <si>
    <t>[Zhang, Nan; Talalay, Pavel; Fan, Xiaopeng; Liu, Yunchen; Gong, Da; Li, Xingchen; Wu, Wei; Hong, Jialin; Sysoev, Mikhail] Jilin Univ, Polar Res Ctr, Changchun, Peoples R China; [Liu, Jingbiao; Kong, Qingpeng; Yu, Haibin; Liu, Benkun] Hangzhou Dianzi Univ, Coll Elect &amp; Informat, Hangzhou, Peoples R China</t>
  </si>
  <si>
    <t>Jilin University; Hangzhou Dianzi University</t>
  </si>
  <si>
    <t>Talalay, Pavel/AAH-2908-2020</t>
  </si>
  <si>
    <t>This research was supported by the National Science Foundation of China (Project No. 41327804) and the Program for Jilin University Science and Technology Innovative Research Team (Project No. 2017TD-24). We thank the teachers and students from the Jilin University Polar Research Center and Hangzhou Dianzi University who were involved in this project, especially those who assisted the research on the control system. We greatly appreciate fruitful suggestions, useful comments and editing from Scientific Editor K. Slawny (US Ice Drilling Program) and anonymous reviewers.</t>
  </si>
  <si>
    <t>PII S0260305520000403</t>
  </si>
  <si>
    <t>10.1017/aog.2020.40</t>
  </si>
  <si>
    <t>WOS:000658814200005</t>
  </si>
  <si>
    <t>Kuhl, T; Gibson, C; Johnson, J; Boeckmann, G; Moravec, E; Slawny, K</t>
  </si>
  <si>
    <t>Kuhl, Tanner; Gibson, Chris; Johnson, Jay; Boeckmann, Grant; Moravec, Elliot; Slawny, Kristina</t>
  </si>
  <si>
    <t>Agile Sub-Ice Geological (ASIG) Drill development and Pirrit Hills field project</t>
  </si>
  <si>
    <t>Ice and climate; ice coring; ice engineering; rock coring; sub-glacial sampling</t>
  </si>
  <si>
    <t>A new drilling system was developed by the US Ice Drilling Program (IDP) to rapidly drill through overlying ice to collect subglacial rock cores. The Agile Sub-Ice Geological (ASIG) Drill system is capable of drilling up to 700 m of ice in a continuous manner. Intermittent ice core samples can be taken as needed. Ten-plus meters of subglacial bedrock and unconsolidated, frozen sediment cores can be drilled with wireline core retrieval. The functionality of the drill system was demonstrated in 2016-17 at the Pirrit Hills, Antarctica where 8 m of high-quality, continuous granite core was retrieved beneath 150 m of ice. The particulars of the drill system development, features and performance are discussed.</t>
  </si>
  <si>
    <t>[Kuhl, Tanner; Gibson, Chris; Johnson, Jay; Boeckmann, Grant; Moravec, Elliot; Slawny, Kristina] Univ Wisconsin, US Ice Drilling Program, Madison, WI 53706 USA</t>
  </si>
  <si>
    <t>University of Wisconsin System; University of Wisconsin Madison</t>
  </si>
  <si>
    <t>Kuhl, T (corresponding author), Univ Wisconsin, US Ice Drilling Program, Madison, WI 53706 USA.</t>
  </si>
  <si>
    <t>tanner.kuhl@ssec.wisc.edu</t>
  </si>
  <si>
    <t>US National Science Foundation (NSF) Office of Polar Programs; University of Wisconsin - Madison, Space Science and Engineering Center; NSF [OPP-0841135, OPP-1327315]</t>
  </si>
  <si>
    <t>US National Science Foundation (NSF) Office of Polar Programs(National Science Foundation (NSF)); University of Wisconsin - Madison, Space Science and Engineering Center; NSF(National Science Foundation (NSF))</t>
  </si>
  <si>
    <t>The US Ice Drilling Program thank the US National Science Foundation (NSF) Office of Polar Programs for support of IDP operations, including the development, maintenance and modification of drill systems as well as fieldwork; The University of Wisconsin - Madison, particularly the Space Science and Engineering Center for program support; the Antarctic Support Contract for operational and logistics support in Antarctica; the 109th New York Air National Guard for airlift support in Antarctica; the USAP science cargo team for their cargo support; and the entire Pirrit Hills field team. This work was supported by NSF Cooperative Agreements OPP-0841135 and OPP-1327315.</t>
  </si>
  <si>
    <t>PII S0260305520000592</t>
  </si>
  <si>
    <t>10.1017/aog.2020.59</t>
  </si>
  <si>
    <t>WOS:000658814200007</t>
  </si>
  <si>
    <t>Johnson, JA; Kuhl, T; Boeckmann, G; Gibson, C; Jetson, J; Meulemans, Z; Slawny, K; Souney, JM</t>
  </si>
  <si>
    <t>Johnson, Jay A.; Kuhl, Tanner; Boeckmann, Grant; Gibson, Chris; Jetson, Joshua; Meulemans, Zachary; Slawny, Kristina; Souney, Joseph M.</t>
  </si>
  <si>
    <t>Drilling operations for the South Pole Ice Core (SPICEcore) project</t>
  </si>
  <si>
    <t>Ice core; ice drilling; ice engineering</t>
  </si>
  <si>
    <t>Over the course of the 2014/15 and 2015/16 austral summer seasons, the South Pole Ice Core project recovered a 1751 m deep ice core at the South Pole. This core provided a high-resolution record of paleoclimate conditions in East Antarctica during the Holocene and late Pleistocene. The drilling and core processing were completed using the new US Intermediate Depth Drill system, which was designed and built by the US Ice Drilling Program at the University of Wisconsin-Madison. In this paper, we present and discuss the setup, operation, and performance of the drill system.</t>
  </si>
  <si>
    <t>[Johnson, Jay A.; Kuhl, Tanner; Boeckmann, Grant; Gibson, Chris; Jetson, Joshua; Meulemans, Zachary; Slawny, Kristina] Univ Wisconsin, US Ice Drilling Program, Madison, WI 53706 USA; [Souney, Joseph M.] Univ New Hampshire, Inst Study Earth Oceans &amp; Space, Durham, NH 03824 USA</t>
  </si>
  <si>
    <t>University of Wisconsin System; University of Wisconsin Madison; University System Of New Hampshire; University of New Hampshire</t>
  </si>
  <si>
    <t>Johnson, JA (corresponding author), Univ Wisconsin, US Ice Drilling Program, Madison, WI 53706 USA.</t>
  </si>
  <si>
    <t>jay.johnson@ssec.wisc.edu</t>
  </si>
  <si>
    <t>Souney, Joseph/0000-0002-1492-6432</t>
  </si>
  <si>
    <t>NSF [OPP-0841135, OPP-1327315]; University of Wisconsin - Madison, Space Science and Engineering Center</t>
  </si>
  <si>
    <t>NSF(National Science Foundation (NSF)); University of Wisconsin - Madison, Space Science and Engineering Center</t>
  </si>
  <si>
    <t>The US Ice Drilling Program would like to thank the US NSF Office of Polar Programs for making this project possible; The University of Wisconsin -Madison, particularly the Space Science and Engineering Center for program support; the Antarctic Support Contract for operational and logistics support in Antarctica; the 109th New York Air National Guard for airlift support in Antarctica; the USAP science cargo team for their cargo support; and the entire SPICEcore project field team for their dedication and perseverance in drilling this ice core. This work was supported by NSF Cooperative Agreements OPP-0841135 and OPP-1327315.</t>
  </si>
  <si>
    <t>PII S0260305520000646</t>
  </si>
  <si>
    <t>10.1017/aog.2020.64</t>
  </si>
  <si>
    <t>WOS:000658814200009</t>
  </si>
  <si>
    <t>Gibson, C; Boeckmann, G; Meulemans, Z; Kuhl, T; Koehler, J; Johnson, J; Slawny, K</t>
  </si>
  <si>
    <t>Gibson, Christopher; Boeckmann, Grant; Meulemans, Zachary; Kuhl, Tanner; Koehler, Jim; Johnson, Jay; Slawny, Kristina</t>
  </si>
  <si>
    <t>RAM-2 Drill system development: an upgrade of the Rapid Air Movement Drill</t>
  </si>
  <si>
    <t>compressed air drilling; ice coring; ice engineering; polar firn</t>
  </si>
  <si>
    <t>Significant upgrades to the Rapid Air Movement (RAM) Drill were developed and tested by the US Ice Drilling Program in 2016 through 2020 for the U.S. National Science Foundation. The design of the system leverages the existing infrastructure of the RAM Drill with the goal of greatly reducing the logistical burden of deploying the drill while maintaining the ability to drill an access hole in firn and ice to 100 m in 40 min or less. In this paper, characteristics of the drill are described, along with a description of the drill performance during the testing at Raven Camp in Greenland and at WAIS Divide Camp in Antarctica.</t>
  </si>
  <si>
    <t>[Gibson, Christopher; Boeckmann, Grant; Meulemans, Zachary; Kuhl, Tanner; Johnson, Jay; Slawny, Kristina] Univ Wisconsin, US Ice Drilling Program, Space Sci &amp; Engn Ctr, Madison, WI 53706 USA; [Koehler, Jim] Koehler Design Works, Ft Atkinson, WI USA</t>
  </si>
  <si>
    <t>Gibson, C (corresponding author), Univ Wisconsin, US Ice Drilling Program, Space Sci &amp; Engn Ctr, Madison, WI 53706 USA.</t>
  </si>
  <si>
    <t>chris.gibson@ssec.wisc.edu</t>
  </si>
  <si>
    <t>NSF [OPP-1327315, OPP-1836328]</t>
  </si>
  <si>
    <t>NSF(National Science Foundation (NSF))</t>
  </si>
  <si>
    <t>The successful development of this new tool for climate science is the result of the imagination, dedication and hard work of a very large number of people with significant contributions from across the globe. All deserve acknowledgement for their contributions with great appreciation, specifically, Mike Jayred for sharing his extensive field experience; Terry Benson, Kyle Zeug and Josh Jetson for engineering contributions, and Anna de Vitry for field project support. The US Ice Drilling Program would also like to thank the US National Science Foundation (NSF) Office of Polar Programs for making this project possible; the University of Wisconsin Madison, Space Science and Engineering Center and the Physical Sciences Laboratory for support in developing the drill; the Antarctic and Arctic support contractors and the British Antarctic Survey for planning and logistical support; the 109th New York Air National Guard for airlift support; the IDP Technical Advisory Board for providing continuing advice and support. This work was supported under NSF Cooperative Agreement OPP-1327315 and OPP-1836328.</t>
  </si>
  <si>
    <t>PII S0260305520000725</t>
  </si>
  <si>
    <t>10.1017/aog.2020.72</t>
  </si>
  <si>
    <t>WOS:000658814200011</t>
  </si>
  <si>
    <t>Boeckmann, GV; Gibson, CJ; Kuhl, TW; Moravec, E; Johnson, JA; Meulemans, Z; Slawny, K</t>
  </si>
  <si>
    <t>Boeckmann, Grant V.; Gibson, Chris J.; Kuhl, Tanner W.; Moravec, Elliot; Johnson, Jay A.; Meulemans, Zack; Slawny, Kristina</t>
  </si>
  <si>
    <t>Adaptation of the Winkie Drill for subglacial bedrock sampling</t>
  </si>
  <si>
    <t>debris-covered glaciers; ice coring; paleoclimate; subglacial sediments</t>
  </si>
  <si>
    <t>ICE; GREENLAND</t>
  </si>
  <si>
    <t>The Winkie Drill is an agile, commercially available rock coring system. The U.S. Ice Drilling Program has modified a Winkie Drill for subglacial rock and ice/rock interface coring, as well as drilling and coring access holes through ice. The original gasoline engine was replaced with an electric motor though the two-speed gear reducer and Unipress hand feed system were maintained. Using standard aluminum AW34 drill rod (for 33.5 mm diameter core), the system has a depth capability of 120 m. The drill uses forward fluid circulation in a closed loop system. The drilling fluid is Isopar K, selected for favorable properties in polar environment. When firn or snow is present at the drill site, casing with an inflatable packer can be deployed to contain the drill fluid. The Winkie Drill will operate from sea level to high altitudes and operation results in minimal environmental impact. The drill can be easily and quickly assembled and disassembled in the field by two people. All components can be transported by Twin Otter or helicopter to the field site.</t>
  </si>
  <si>
    <t>[Boeckmann, Grant V.; Gibson, Chris J.; Kuhl, Tanner W.; Moravec, Elliot; Johnson, Jay A.; Meulemans, Zack; Slawny, Kristina] Univ Wisconsin, US Ice Drilling Program, Madison, WI 53706 USA</t>
  </si>
  <si>
    <t>Boeckmann, GV (corresponding author), Univ Wisconsin, US Ice Drilling Program, Madison, WI 53706 USA.</t>
  </si>
  <si>
    <t>grant.boeckmann@ssec.wisc.edu</t>
  </si>
  <si>
    <t>IDP benefits from the exceptional support of many organizations in developing new drill systems and this development effort was no exception. All merit acknowledgement and our sincere appreciation. In particular, we thank the members of the IDP Technical Advisory Board (TAB) for their ongoing advice and assistance; the University of Wisconsin-Madison, particularly the Space Science and Engineering Center, for providing exceptional support; the Arctic and Antarctic support contractors and the US National Science Foundation (NSF) Office of Polar Programs for making it all possible. This work was supported under NSF Cooperative Agreements OPP-1327315 and OPP-1836328.</t>
  </si>
  <si>
    <t>PII S0260305520000737</t>
  </si>
  <si>
    <t>10.1017/aog.2020.73</t>
  </si>
  <si>
    <t>WOS:000658814200012</t>
  </si>
  <si>
    <t>Souney, JM; Twickler, MS; Aydin, M; Steig, EJ; Fudge, TJ; Street, LV; Nicewonger, MR; Kahle, EC; Johnson, JA; Kuhl, TW; Casey, KA; Fegyveresi, JM; Nunn, RM; Hargreaves, GM</t>
  </si>
  <si>
    <t>Souney, Joseph M.; Twickler, Mark S.; Aydin, Murat; Steig, Eric J.; Fudge, T. J.; Street, Leah V.; Nicewonger, Melinda R.; Kahle, Emma C.; Johnson, Jay A.; Kuhl, Tanner W.; Casey, Kimberly A.; Fegyveresi, John M.; Nunn, Richard M.; Hargreaves, Geoffrey M.</t>
  </si>
  <si>
    <t>Core handling, transportation and processing for the South Pole ice core (SPICEcore) project</t>
  </si>
  <si>
    <t>Glaciological instruments and methods; ice and climate; ice core; ice coring; ice engineering</t>
  </si>
  <si>
    <t>STABLE WATER ISOTOPES; FIRN; AIR</t>
  </si>
  <si>
    <t>An intermediate-depth (1751 m) ice core was drilled at the South Pole between 2014 and 2016 using the newly designed US Intermediate Depth Drill. The South Pole ice core is the highest-resolution interior East Antarctic ice core record that extends into the glacial period. The methods used at the South Pole to handle and log the drilled ice, the procedures used to safely retrograde the ice back to the National Science Foundation Ice Core Facility (NSF-ICF), and the methods used to process and sample the ice at the NSF-ICF are described. The South Pole ice core exhibited minimal brittle ice, which was likely due to site characteristics and, to a lesser extent, to drill technology and core handling procedures.</t>
  </si>
  <si>
    <t>[Souney, Joseph M.; Twickler, Mark S.] Univ New Hampshire, Inst Study Earth Oceans &amp; Space, Durham, NH 03824 USA; [Aydin, Murat; Nicewonger, Melinda R.] Univ Calif Irvine, Dept Earth Syst Sci, Irvine, CA USA; [Steig, Eric J.; Fudge, T. J.; Kahle, Emma C.] Univ Washington, Dept Earth &amp; Space Sci, Seattle, WA 98195 USA; [Street, Leah V.] US Antarctic Program, Antarctic Support Contract, Denver, CO USA; [Johnson, Jay A.; Kuhl, Tanner W.] Univ Wisconsin, US Ice Drilling Program, Madison, WI USA; [Casey, Kimberly A.] US Geol Survey, Natl Land Imaging Program, 959 Natl Ctr, Reston, VA 22092 USA; [Casey, Kimberly A.] NASA, Earth Sci Div, Goddard Space Flight Ctr, Greenbelt, MD USA; [Fegyveresi, John M.] No Arizona Univ, Sch Earth &amp; Sustainabil, Flagstaff, AZ 86011 USA; [Nunn, Richard M.; Hargreaves, Geoffrey M.] US Geol Survey, NSF Ice Core Facil, Box 25046, Denver, CO 80225 USA</t>
  </si>
  <si>
    <t>University System Of New Hampshire; University of New Hampshire; University of California System; University of California Irvine; University of Washington; University of Washington Seattle; University of Wisconsin System; University of Wisconsin Madison; United States Department of the Interior; United States Geological Survey; National Aeronautics &amp; Space Administration (NASA); NASA Goddard Space Flight Center; Northern Arizona University; United States Department of the Interior; United States Geological Survey</t>
  </si>
  <si>
    <t>Souney, JM (corresponding author), Univ New Hampshire, Inst Study Earth Oceans &amp; Space, Durham, NH 03824 USA.</t>
  </si>
  <si>
    <t>joseph.souney@unh.edu</t>
  </si>
  <si>
    <t>Steig, Eric J/G-9088-2015</t>
  </si>
  <si>
    <t>US NSF [1142517, 1141839, 1142646]; Office of Polar Programs (OPP); Directorate For Geosciences [1142646, 1141839] Funding Source: National Science Foundation</t>
  </si>
  <si>
    <t>US NSF(National Science Foundation (NSF)); Office of Polar Programs (OPP); Directorate For Geosciences(National Science Foundation (NSF)NSF - Directorate for Geosciences (GEO))</t>
  </si>
  <si>
    <t>This work was supported by the US NSF grants 1142517, 1141839 and 1142646. We appreciate the support of the US Ice Drilling Program for designing and building the Intermediate Depth Drill and its core handling system and for drilling the South Pole ice core; the National Science Foundation Ice Core Laboratory (NSF-ICF) and the US Geological Survey for designing and operating the core processing system at the NSF-ICF and for curating the ice core; the Antarctic Support Contract for logistics support in Antarctica; the 109th New York Air National Guard for airlift support in Antarctica; and M. Davis and the entire USAP science cargo team for their cargo support. SPICEcore data are archived at the US Antarctic Program Data Center.</t>
  </si>
  <si>
    <t>PII S0260305520000804</t>
  </si>
  <si>
    <t>10.1017/aog.2020.80</t>
  </si>
  <si>
    <t>WOS:000658814200013</t>
  </si>
  <si>
    <t>Yu, LJ; Zhong, SY; Sui, CJ; Zhang, ZR; Sun, B</t>
  </si>
  <si>
    <t>Yu Le-Jiang; Zhong Shi-Yuan; Sui Cui-Juan; Zhang Zhao-Ru; Sun Bo</t>
  </si>
  <si>
    <t>Synoptic mode of Antarctic summer sea ice superimposed on interannual and decadal variability</t>
  </si>
  <si>
    <t>ADVANCES IN CLIMATE CHANGE RESEARCH</t>
  </si>
  <si>
    <t>Antarctic sea ice; Sea ice variability; Southern annular mode; Amundsen sea low; Self organizing map</t>
  </si>
  <si>
    <t>SOUTHERN ANNULAR MODE; SELF-ORGANIZING MAPS; ATMOSPHERIC CIRCULATION; OCEAN; IMPACTS; EXTENT; PERFORMANCE; CONTEXT; TRENDS; NORTH</t>
  </si>
  <si>
    <t>In contrast to decreased Arctic sea ice extent, Antarctic sea ice extent shows a somewhat increased trend. There is a large interannual variability of Antarctic sea ice, especially in the Pacific sector of the Southern Ocean. The change and variability of Antarctic sea ice in synoptic timescales in the recent decades remain unclear. We identify synoptic modes of variability of Antarctic summer sea ice by applying the Self Organizing Map (SOM) technique to daily sea ice concentration data for the period 1979-2018. Nearly 40% of the variability is characterized by opposite changes between sea ice cover in the Bellingshausen, Amundsen and western Ross Seas and in the rest of the Antarctic seas, and another 30% by meridional asymmetry in the Weddell, Amundsen, and Ross Seas. Most of these spatial patterns may be explained by the dynamics and thermodynamic processes associated with anomalous atmospheric circulations related to the Southern Annular Mode (SAM) with a structure of strong zonal asymmetry. The interannual variability of the sea ice modes appears to have little connection to SAM, and only a weak relation to ENSO. The annual frequencies of SOM node occurrences also show a great decadal variability. Node 9 appears mainly prior to 1990; while node 1 occurs mainly after 1990. The decadal variability of nodes 1 and 9 is associated with the asymmetrical SAM, which results from two wavetrains excited over northern Australia and the southeastern Indian Ocean. These results further highlight the importance of understanding the role of southern mid-to-high latitude atmospheric intrinsic variability in predicting Antarctic summer sea ice variations from synoptic to decadal timescales.</t>
  </si>
  <si>
    <t>[Yu Le-Jiang; Sun Bo] Polar Res Inst China, MNR Key Lab Polar Sci, Shanghai 200136, Peoples R China; [Zhong Shi-Yuan] Michigan State Univ, Dept Geog Environm &amp; Spatial Sci, E Lansing, MI 48824 USA; [Sui Cui-Juan] Natl Marine Environm Forecasting Ctr, Beijing 100081, Peoples R China; [Zhang Zhao-Ru] Shanghai Jiao Tong Univ, Sch Oceanog, Shanghai 200240, Peoples R China</t>
  </si>
  <si>
    <t>Polar Research Institute of China; Michigan State University; National Marine Environmental Forecasting Center; Shanghai Jiao Tong University</t>
  </si>
  <si>
    <t>Yu, LJ (corresponding author), Polar Res Inst China, MNR Key Lab Polar Sci, Shanghai 200136, Peoples R China.</t>
  </si>
  <si>
    <t>National Key R&amp;D Program of China [2019YFC1509102, 2018YFA0605701]; National Natural Science Foundation of China [41941009]</t>
  </si>
  <si>
    <t>National Key R&amp;D Program of China; National Natural Science Foundation of China(National Natural Science Foundation of China (NSFC))</t>
  </si>
  <si>
    <t>This study was supported by National Key R&amp;D Program of China (2019YFC1509102, 2018YFA0605701), and the National Natural Science Foundation of China (41941009).</t>
  </si>
  <si>
    <t>KEAI PUBLISHING LTD</t>
  </si>
  <si>
    <t>16 DONGHUANGCHENGGEN NORTH ST, BEIJING, DONGCHENG DISTRICT 100717, PEOPLES R CHINA</t>
  </si>
  <si>
    <t>1674-9278</t>
  </si>
  <si>
    <t>ADV CLIM CHANG RES</t>
  </si>
  <si>
    <t>Adv. Clim. Chang. Res.</t>
  </si>
  <si>
    <t>10.1016/j.accre.2021.03.008</t>
  </si>
  <si>
    <t>SH7XB</t>
  </si>
  <si>
    <t>WOS:000654345800001</t>
  </si>
  <si>
    <t>Murali, B; Ravichandran, M; Girishkumar, MS; Bharathi, G</t>
  </si>
  <si>
    <t>Murali, Boddepalli; Ravichandran, M.; Girishkumar, M. S.; Bharathi, G.</t>
  </si>
  <si>
    <t>Role of equatorial Indian Ocean convection on the Indian summer monsoon</t>
  </si>
  <si>
    <t>MAUSAM</t>
  </si>
  <si>
    <t>Summer monsoon; Equatorial Indian Ocean; convection; North Indian Ocean; Synoptic systems</t>
  </si>
  <si>
    <t>PREDICTABILITY; OSCILLATIONS; VARIABILITY; BAY</t>
  </si>
  <si>
    <t>The Summer Monsoon is the life line of millions of people as well as for the biosphere of continental India. It replenishes the in-land water sources with fresh rain water. In this study we have discussed about the relation between the All India summer monsoon rainfall and the frequency of atmospheric convection processes over the equatorial Indian Ocean. We have noticed a signature of monsoon over equatorial Indian Ocean which reflecting the variation of summer monsoon rainfall over continental India. A significant change in the signature of monsoon is observed during a drought monsoon and a good monsoon over the continental India. It is also observed that the role of Equatorial Indian Ocean (EIO) convection and synoptic systems over Northern Indian Ocean (NIO) with the continental India rainfall. An intraseasonal biweekly signal merging with monthly signal and forming cumulative signal of high amplitude which results a poor monsoon condition over continental India. The consecutive occurrence of biweekly and monthly individual signals leading to a good monsoon rainfall condition over continental India.</t>
  </si>
  <si>
    <t>[Murali, Boddepalli; Girishkumar, M. S.] Indian Natl Ctr Ocean Informat Serv INCOIS, Hyderabad 500090, India; [Ravichandran, M.] Natl Ctr Antarctic Ocean Res, Vasco Da Gama 403804, Goa, India; [Bharathi, G.] Andhra Univ, Dept Meteorol &amp; Oceanog, Visakhapatnam 530003, Andhra Pradesh, India</t>
  </si>
  <si>
    <t>Ministry of Earth Sciences (MoES) - India; Indian National Centre for Ocean Information Services (INCOIS); Ministry of Earth Sciences (MoES) - India; National Centre for Polar and Ocean Research (NCPOR); Andhra University</t>
  </si>
  <si>
    <t>Murali, B (corresponding author), Indian Natl Ctr Ocean Informat Serv INCOIS, Hyderabad 500090, India.</t>
  </si>
  <si>
    <t>murali.b@incois.gov.in</t>
  </si>
  <si>
    <t>s, girishkumar m/B-6616-2013</t>
  </si>
  <si>
    <t>M S, Dr. girishkumar/0000-0003-3717-7187</t>
  </si>
  <si>
    <t>INCOIS</t>
  </si>
  <si>
    <t>The author would like to thank the Dr. S. S. C. Shenoi, the Director, INCOIS and Mr. E. Pattabhi Rama Rao, Head, ODG, INCOIS for their support to complete the work. The author also would like to thank Dr. B. Simon, Space Application center (SAC), ISRO for his suggestions and support.</t>
  </si>
  <si>
    <t>INDIA METEOROLOGICAL DEPT</t>
  </si>
  <si>
    <t>NEW DELHI</t>
  </si>
  <si>
    <t>MAUSAM BHAWAN, LODI RD, NEW DELHI, 110 003, INDIA</t>
  </si>
  <si>
    <t>0252-9416</t>
  </si>
  <si>
    <t>Mausam</t>
  </si>
  <si>
    <t>SI4YF</t>
  </si>
  <si>
    <t>WOS:000654831100016</t>
  </si>
  <si>
    <t>Vergara-Escobar, FP</t>
  </si>
  <si>
    <t>Paz Vergara-Escobar, Florencia</t>
  </si>
  <si>
    <t>Corpolarities: bodies produced in a careful Antarctic</t>
  </si>
  <si>
    <t>REVISTA LATINOAMERICANA DE ESTUDIOS SOBRE CUERPOS EMOCIONES Y SOCIEDAD</t>
  </si>
  <si>
    <t>Spanish</t>
  </si>
  <si>
    <t>Corpolarities; Antarctica; Care; Scientists; Health; Polar bodies</t>
  </si>
  <si>
    <t>Antarctica is a special territory: with extreme temperatures, particular light regimes, experimental governments, and no indigenous population. However, and despite the difficulties of the environment, it is a continent inhabited every year by researchers and logistic staff from different countries. But what bodies inhabit Antarctica and how are they sustained there? Antarctica presents several requirements, among them, being specific bodies capable of dealing with this polar world. This article presents the results of a sociocultural anthropology thesis, which addresses healthcare practices with a focus on science and technology studies (STS), understanding care as the technology that sustains human habitation in this continent. Attention to environmental, occupational, institutional, physical, emotional, and social care protects the scientific productivity; and with it, the continuity of the Antarctic project. Through an ethnographic approach to Professor Julio Escudero Scientific Station in Antarctica and Punta Arenas, Chile, I accompany workers and scientists to the 2019 Antarctic Scientific Expedition (ECA55 in Spanish). There they deploy practices for the maintenance of themselves, others, their scientific work, and Antarctica itself. These bodies, selected as Antarctic workers and Antarctica-makers, are characterized as cor(polar)ities.</t>
  </si>
  <si>
    <t>[Paz Vergara-Escobar, Florencia] Univ Chile, Escuela Salud Publ, Santiago, Chile; [Paz Vergara-Escobar, Florencia] Univ Chile, Fac Ciencias Sociales, Santiago, Chile</t>
  </si>
  <si>
    <t>Universidad de Chile; Universidad de Chile</t>
  </si>
  <si>
    <t>Vergara-Escobar, FP (corresponding author), Univ Chile, Escuela Salud Publ, Santiago, Chile.;Vergara-Escobar, FP (corresponding author), Univ Chile, Fac Ciencias Sociales, Santiago, Chile.</t>
  </si>
  <si>
    <t>florencia.vergara@ug.uchile.cl</t>
  </si>
  <si>
    <t>Vergara Escobar, Florencia Paz/JXY-8934-2024</t>
  </si>
  <si>
    <t>CONSEJO NACL INVESTIGACIONES CIENTIFICAS &amp; TECNICAS, CENTRO EST AVANCADO</t>
  </si>
  <si>
    <t>CORDONA</t>
  </si>
  <si>
    <t>AV GENERAL PAZ 154, 2O PISO, CORDONA, 5000, SPAIN</t>
  </si>
  <si>
    <t>1852-8759</t>
  </si>
  <si>
    <t>REV LATINOAM ESTUD C</t>
  </si>
  <si>
    <t>Rev. Latinoam. Estud. Cuerpos Emoc. Soc.</t>
  </si>
  <si>
    <t>APR-JUL</t>
  </si>
  <si>
    <t>Social Issues</t>
  </si>
  <si>
    <t>SD7YC</t>
  </si>
  <si>
    <t>WOS:000651591000002</t>
  </si>
  <si>
    <t>McFarquhar, GM; Bretherton, CS; Marchand, R; Protat, A; DeMott, PJ; Alexander, SP; Roberts, GC; Twohy, CH; Toohey, D; Siems, S; Huang, Y; Wood, R; Rauber, RM; Lasher-Trapp, S; Jensen, J; Stith, JL; Mace, J; Um, J; Järvinen, E; Schnaiter, M; Gettelman, A; Sanchez, KJ; McCluskey, CS; Russell, LM; McCoy, IL; Atlas, RL; Bardeen, CG; Moore, KA; Hill, TCJ; Humphries, RS; Keywood, MD; Ristovski, Z; Cravigan, L; Schofield, R; Fairall, C; Mallet, MD; Kreidenweis, SM; Rainwater, B; D'Alessandro, J; Wang, Y; Wu, W; Saliba, G; Levin, EJT; Ding, SS; Lang, F; Truong, SCH; Wolff, C; Haggerty, J; Harvey, MJ; Klekociuk, AR; McDonald, A</t>
  </si>
  <si>
    <t>McFarquhar, Greg M.; Bretherton, Christopher S.; Marchand, Roger; Protat, Alain; DeMott, Paul J.; Alexander, Simon P.; Roberts, Greg C.; Twohy, Cynthia H.; Toohey, Darin; Siems, Steve; Huang, Yi; Wood, Robert; Rauber, Robert M.; Lasher-Trapp, Sonia; Jensen, Jorgen; Stith, Jeffrey L.; Mace, Jay; Um, Junshik; Jaervinen, Emma; Schnaiter, Martin; Gettelman, Andrew; Sanchez, Kevin J.; McCluskey, Christina S.; Russell, Lynn M.; McCoy, Isabel L.; Atlas, Rachel L.; Bardeen, Charles G.; Moore, Kathryn A.; Hill, Thomas C. J.; Humphries, Ruhi S.; Keywood, Melita D.; Ristovski, Zoran; Cravigan, Luke; Schofield, Robyn; Fairall, Chris; Mallet, Marc D.; Kreidenweis, Sonia M.; Rainwater, Bryan; D'Alessandro, John; Wang, Yang; Wu, Wei; Saliba, Georges; Levin, Ezra J. T.; Ding, Saisai; Lang, Francisco; Truong, Son C. H.; Wolff, Cory; Haggerty, Julie; Harvey, Mike J.; Klekociuk, Andrew R.; McDonald, Adrian</t>
  </si>
  <si>
    <t>Observations of Clouds, Aerosols, Precipitation, and Surface Radiation over the Southern Ocean: An Overview of CAPRICORN, MARCUS, MICRE, and SOCRATES</t>
  </si>
  <si>
    <t>BULLETIN OF THE AMERICAN METEOROLOGICAL SOCIETY</t>
  </si>
  <si>
    <t>Southern Ocean; Cloud microphysics; Cloud radiative effects; Cloud water; phase; Radiation budgets; Aerosol-cloud interaction</t>
  </si>
  <si>
    <t>IN-SITU OBSERVATIONS; MARINE BOUNDARY-LAYER; LOW-ALTITUDE CLOUDS; MIXED-PHASE CLOUDS; CONDENSATION NUCLEI; MICROPHYSICAL PROPERTIES; STRATOCUMULUS CLOUDS; SHORTWAVE RADIATION; PHYSICAL-PROPERTIES; PARTICLES</t>
  </si>
  <si>
    <t>Weather and climate models are challenged by uncertainties and biases in simulating Southern Ocean (SO) radiative fluxes that trace to a poor understanding of cloud, aerosol, precipitation, and radiative processes, and their interactions. Projects between 2016 and 2018 used in situ probes, radar, lidar, and other instruments to make comprehensive measurements of thermodynamics, surface radiation, cloud, precipitation, aerosol, cloud condensation nuclei (CCN), and ice nucleating particles over the SO cold waters, and in ubiquitous liquid and mixed-phase clouds common to this pristine environment. Data including soundings were collected from the NSF-NCAR G-V aircraft flying north-south gradients south of Tasmania, at Macquarie Island, and on the R/V Investigator and RSV Aurora Australis. Synergistically these data characterize boundary layer and free troposphere environmental properties, and represent the most comprehensive data of this type available south of the oceanic polar front, in the cold sector of SO cyclones, and across seasons. Results show largely pristine environments with numerous small and few large aerosols above cloud, suggesting new particle formation and limited long-range transport from continents, high variability in CCN and cloud droplet concentrations, and ubiquitous supercooled water in thin, multilayered clouds, often with small-scale generating cells near cloud top. These observations demonstrate how cloud properties depend on aerosols while highlighting the importance of dynamics and turbulence that likely drive heterogeneity of cloud phase. Satellite retrievals confirmed low clouds were responsible for radiation biases. The combination of models and observations is examining how aerosols and meteorology couple to control SO water and energy budgets.</t>
  </si>
  <si>
    <t>[McFarquhar, Greg M.; Um, Junshik; D'Alessandro, John; Wang, Yang; Wu, Wei] Univ Oklahoma, Cooperat Inst Mesoscale Meteorol Studies, Norman, OK 73019 USA; [McFarquhar, Greg M.; D'Alessandro, John] Univ Oklahoma, Sch Meteorol, Norman, OK 73019 USA; [Bretherton, Christopher S.; Marchand, Roger; Wood, Robert; McCoy, Isabel L.; Atlas, Rachel L.] Univ Washington, Dept Atmospher Sci, Seattle, WA 98195 USA; [Protat, Alain] Australian Bur Meteorol, Melbourne, Vic, Australia; [Protat, Alain; Alexander, Simon P.; Mallet, Marc D.; Klekociuk, Andrew R.] Univ Tasmania, Inst Marine &amp; Antarctic Sci, Australian Antarctic Programme Partnership, Hobart, Tas, Australia; [DeMott, Paul J.; Moore, Kathryn A.; Hill, Thomas C. J.; Kreidenweis, Sonia M.; Levin, Ezra J. T.] Colorado State Univ, Dept Atmospher Sci, Ft Collins, CO 80523 USA; [Alexander, Simon P.; Klekociuk, Andrew R.] Univ Tasmania, Inst Marine &amp; Antarctic Sci, Australian Antarctic Div, Hobart, Tas, Australia; [Roberts, Greg C.; Twohy, Cynthia H.; Sanchez, Kevin J.; Russell, Lynn M.; Saliba, Georges] Scripps Inst Oceanog, La Jolla, CA USA; [Roberts, Greg C.] Ctr Natl Rech Meteorol, UMR3589, Toulouse, France; [Twohy, Cynthia H.] NorthWest Res Associates, Redmond, WA USA; [Toohey, Darin; Rainwater, Bryan] Univ Colorado, Dept Atmospher &amp; Ocean Sci, Boulder, CO 80309 USA; [Siems, Steve; Lang, Francisco; Truong, Son C. H.] Monash Univ, Sch Earth Atmosphere &amp; Environm, Melbourne, Vic, Australia; [Huang, Yi; Schofield, Robyn] Univ Melbourne, Sch Earth Sci, Melbourne, Vic, Australia; [Rauber, Robert M.; Lasher-Trapp, Sonia] Univ Illinois, Dept Atmospher Sci, Urbana, IL USA; [Jensen, Jorgen; Stith, Jeffrey L.; Jaervinen, Emma; Gettelman, Andrew; McCluskey, Christina S.; Bardeen, Charles G.; Wolff, Cory; Haggerty, Julie] Natl Ctr Atmospher Res, POB 3000, Boulder, CO 80307 USA; [Mace, Jay] Univ Utah, Salt Lake City, UT USA; [Um, Junshik] Pusan Natl Univ, Dept Atmospher Sci, Busan, South Korea; [Jaervinen, Emma; Schnaiter, Martin] Karlsruhe Inst Technol, Karlsruhe, Germany; [Humphries, Ruhi S.; Keywood, Melita D.] CSIRO, Climate Sci Ctr Oceans &amp; Atmosphere, Melbourne, Vic, Australia; [Ristovski, Zoran; Cravigan, Luke] Queensland Univ Technol, Sch Earth &amp; Atmospher Sci, Brisbane, Qld, Australia; [Fairall, Chris] NOAA, Boulder, CO USA; [Wang, Yang] Beijing Normal Univ, Beijing, Peoples R China; [Ding, Saisai] Peking Univ, Beijing, Peoples R China; [Harvey, Mike J.] Natl Inst Water &amp; Atmospher Res, Wellington, New Zealand; [McDonald, Adrian] Univ Canterbury, Gateway Antarct, Christchurch, New Zealand; [McDonald, Adrian] Univ Canterbury, Sch Phys &amp; Chem Sci, Christchurch, New Zealand</t>
  </si>
  <si>
    <t>University of Oklahoma System; University of Oklahoma - Norman; University of Oklahoma System; University of Oklahoma - Norman; University of Washington; University of Washington Seattle; Bureau of Meteorology - Australia; University of Tasmania; Colorado State University; University of Tasmania; Australian Antarctic Division; University of California System; University of California San Diego; Scripps Institution of Oceanography; Centre National de la Recherche Scientifique (CNRS); CNRS - National Institute for Earth Sciences &amp; Astronomy (INSU); NorthWest Research Associates; University of Colorado System; University of Colorado Boulder; Melbourne Genomics Health Alliance; Monash University; University of Melbourne; Melbourne Bioinformatics; University of Illinois System; University of Illinois Urbana-Champaign; National Center Atmospheric Research (NCAR) - USA; Utah System of Higher Education; University of Utah; Pusan National University; Helmholtz Association; Karlsruhe Institute of Technology; Commonwealth Scientific &amp; Industrial Research Organisation (CSIRO); Melbourne Genomics Health Alliance; Queensland University of Technology (QUT); National Oceanic Atmospheric Admin (NOAA) - USA; Beijing Normal University; Peking University; National Institute of Water &amp; Atmospheric Research (NIWA) - New Zealand; University of Canterbury; University of Canterbury</t>
  </si>
  <si>
    <t>McFarquhar, GM (corresponding author), Univ Oklahoma, Cooperat Inst Mesoscale Meteorol Studies, Norman, OK 73019 USA.;McFarquhar, GM (corresponding author), Univ Oklahoma, Sch Meteorol, Norman, OK 73019 USA.</t>
  </si>
  <si>
    <t>mcfarq@ou.edu</t>
  </si>
  <si>
    <t>Saliba, Georges/AAH-5994-2020; Schofield, Robyn/A-4062-2010; Schnaiter, Martin/A-2370-2013; Harvey, Mike/A-5354-2010; Levin, Ezra JT/F-5809-2010; Järvinen, Emma/G-7120-2014; Wang, Yang/L-3507-2017; Roberts, Greg/GWV-5653-2022; Humphries, Ruhi S/M-4074-2018; Gettelman, Andrew/AAY-2312-2021; DOUSSIN, Jean-Francois/AAT-3084-2021; McFarquhar, Greg/R-9154-2018; Truong, Son C. H./HKW-5107-2023; Toohey, Darin W/A-4267-2008; DeMott, Paul J/C-4389-2011; Wood, Robert/A-2989-2008; Kreidenweis, Sonia M/E-5993-2011; Um, Junshik/L-8543-2013; Ristovski, Zoran/D-3308-2009; Klekociuk, Andrew/A-4498-2015; keywood, melita/C-5139-2011</t>
  </si>
  <si>
    <t>Schofield, Robyn/0000-0002-4230-717X; Schnaiter, Martin/0000-0002-9560-8072; Harvey, Mike/0000-0002-0979-0227; Levin, Ezra JT/0000-0001-7390-4877; Järvinen, Emma/0000-0001-5171-1759; Wang, Yang/0000-0003-4492-2974; Roberts, Greg/0000-0002-3636-8590; Humphries, Ruhi S/0000-0002-4864-5321; DOUSSIN, Jean-Francois/0000-0002-8042-7228; McFarquhar, Greg/0000-0003-0950-0135; Truong, Son C. H./0000-0001-6498-5214; Toohey, Darin W/0000-0003-2853-1068; DeMott, Paul J/0000-0002-3719-1889; Wood, Robert/0000-0002-1401-3828; Ding, Saisai/0000-0003-3874-6441; Saliba, Georges/0000-0002-4305-1305; Mallet, Marc/0000-0003-2749-8833; Alexander, Simon/0000-0001-6823-8857; Moore, Kathryn/0000-0002-9242-5422; Ristovski, Zoran/0000-0001-6066-6638; Lang, Francisco/0000-0002-8595-4836; Huang, Yi/0000-0001-8144-1227; Klekociuk, Andrew/0000-0003-3335-0034; Siems, Steven/0000-0002-8478-533X; McCluskey, Christina/0000-0003-3778-4112; Kreidenweis, Sonia/0000-0002-2561-2914; Hill, Thomas/0000-0002-5293-3959; keywood, melita/0000-0001-9953-6806</t>
  </si>
  <si>
    <t>National Science Foundation (NSF) [AGS-1628674, AGS-1762096]; United States Department of Energy [DE-SC0018626]; NSF [1852977, AGS-1660609, AGS-1660604, AGS-1660374, AGS-1660605, AGS-1660537, AGS-1660486]; DOE [DE-SC0018929]; NSF Graduate Research Fellowship [006784]; National Research Foundation of Korea (NRF) - Korean government (MSIT) [2020R1A2C1013278]; Basic Science Research Program through the NRF - Ministry of Education [2020R1A6A1A03044834]; National Center for Atmospheric Research; Australian Research Council [DP160101598, LE150100048, CE170100023, DP150102894, DP190101362]; Australian Antarctic Division's grant [AAD4340]; Australian government through the National Environmental Science Program (NESP); Australian Antarctic Partnership Program (AAPP); AAD through Australian Antarctic Science [4431, 4292, 4387]; Australian Marine National Facility; U.S. DOE, Office of Science, Office of Biological and Environmental Research, Climate and Environmental Science Division; Australian Research Council [LE150100048] Funding Source: Australian Research Council; U.S. Department of Energy (DOE) [DE-SC0018626, DE-SC0018929] Funding Source: U.S. Department of Energy (DOE)</t>
  </si>
  <si>
    <t>National Science Foundation (NSF)(National Science Foundation (NSF)); United States Department of Energy(United States Department of Energy (DOE)); NSF(National Science Foundation (NSF)); DOE(United States Department of Energy (DOE)); NSF Graduate Research Fellowship(National Science Foundation (NSF)); National Research Foundation of Korea (NRF) - Korean government (MSIT)(National Research Foundation of KoreaMinistry of Science &amp; ICT (MSIT), Republic of Korea); Basic Science Research Program through the NRF - Ministry of Education(National Research Foundation of Korea); National Center for Atmospheric Research; Australian Research Council(Australian Research Council); Australian Antarctic Division's grant; Australian government through the National Environmental Science Program (NESP)(Australian Government); Australian Antarctic Partnership Program (AAPP); AAD through Australian Antarctic Science; Australian Marine National Facility; U.S. DOE, Office of Science, Office of Biological and Environmental Research, Climate and Environmental Science Division(United States Department of Energy (DOE)); Australian Research Council(Australian Research Council); U.S. Department of Energy (DOE)(United States Department of Energy (DOE))</t>
  </si>
  <si>
    <t>This work was supported by the National Science Foundation (NSF) through Grants AGS-1628674 (GMM, RMR, SLT) and AGS-1762096 (GMM, RMR, SLT) and by the United States Department of Energy through Grant DE-SC0018626. CSB, RW, and ILM acknowledge NSF Grant AGS-1660609, and CSB and RLA acknowledge NSF Grant AGS-1660604. GCR and KJS acknowledge NSF Grant AGS-1660374. CHT acknowledges NSF Grant AGS-1660605. DT and BR acknowledge NSF Grant AGS-1660537. PJD, TCJH, and KAM acknowledge NSF Grant AGS-1660486 and DOE Grant DE-SC0018929. KAM acknowledges support by an NSF Graduate Research Fellowship under Grant 006784. JU was supported by the National Research Foundation of Korea (NRF) grant funded by the Korean government (MSIT) 2020R1A2C1013278 and by Basic Science Research Program through the NRF funded by the Ministry of Education (No. 2020R1A6A1A03044834). CM was supported primarily by the National Center for Atmospheric Research and received travel support from NSF AGS-1660486. YH acknowledges support from the Australian Research Council's DP150102894, DP190101362 and CE170100023 grants. SS acknowledges support from the Australian Research Council's DP150102894 and DP190101362 grants and the Australian Antarctic Division's AAD4340 grant. The material in the article is based upon work supported by the National Center for Atmospheric Research, which is a major facility sponsored by the NSF under Cooperative Agreement 1852977. The data were collected using NSF's Lower Atmosphere Observing Facilities, which are managed and operated by NCAR's Earth Observing Laboratory. The Australian Bureau of Meteorology's contribution to these studies was funded by the Australian government through the National Environmental Science Program (NESP) and the Australian Antarctic Partnership Program (AAPP). The efforts of the entire SOCRATES, MARCUS, MICRE, and CAPRICORN teams in collecting the high-quality datasets are appreciated. Technical, logistical, and ship support for MARCUS and MICRE were provided by the AAD through Australian Antarctic Science Projects 4431, 4292, and 4387, and we thank Steven Whiteside, Lloyd Symonds, Rick van den Enden, Peter de Vries, Chris Young, Chris Richards, Terry Egan, Nick Cartwright, and Ken Barrett for assistance. Logistical and financial support was provided for CAPRICORN by the Australian Marine National Facility. Anne Marie Rauker is acknowledged for assistance in INP data processing. Anne Perring is acknowledged for the use of her WIBS-4A during CAPRICORN II. Paul Selleck is acknowledged for his work with the ToF-ACSM during CAPRICORN II. Robyn Schofield also acknowledges support from the Australian Research Council's DP160101598, LE150100048, and CE170100023 grants. The SOCRATES principal investigators would like to thank the BoM Tasmanian regional Office for the excellent forecast support and weather briefings provided during the field campaign (with special thanks to Scott Carpentier, Michelle Hollister, Matthew Thomas, and Robert Schaap). We thank the Atmospheric Radiation Measurement (ARM) Program sponsored by the U.S. DOE, Office of Science, Office of Biological and Environmental Research, Climate and Environmental Science Division for their support. Any opinions, findings, and conclusions or recommendations expressed in this material are those of the author(s) and do not necessarily reflect the views of the funding agencies.</t>
  </si>
  <si>
    <t>0003-0007</t>
  </si>
  <si>
    <t>1520-0477</t>
  </si>
  <si>
    <t>B AM METEOROL SOC</t>
  </si>
  <si>
    <t>Bull. Amer. Meteorol. Soc.</t>
  </si>
  <si>
    <t>E894</t>
  </si>
  <si>
    <t>E928</t>
  </si>
  <si>
    <t>10.1175/BAMS-D-20-0132.1</t>
  </si>
  <si>
    <t>SD6QA</t>
  </si>
  <si>
    <t>Green Published, Green Submitted, Bronze</t>
  </si>
  <si>
    <t>WOS:000651498500015</t>
  </si>
  <si>
    <t>Rapp, M; Kaifler, B; Doernbrack, A; Gisinger, S; Mixa, T; Reichert, R; Kaifler, N; Knobloch, S; Eckert, R; Wildmann, N; Giez, A; Krasauskas, L; Preusse, P; Geldenhuys, M; Riese, M; Woiwode, W; Friedl-Vallon, F; Sinnhuber, BM; de la Torre, A; Alexander, P; Hormaechea, JL; Janches, D; Garhammer, M; Chau, JL; Conte, JF; Hoor, P; Engel, A</t>
  </si>
  <si>
    <t>Rapp, Markus; Kaifler, Bernd; Doernbrack, Andreas; Gisinger, Sonja; Mixa, Tyler; Reichert, Robert; Kaifler, Natalie; Knobloch, Stefanie; Eckert, Ramona; Wildmann, Norman; Giez, Andreas; Krasauskas, Lukas; Preusse, Peter; Geldenhuys, Markus; Riese, Martin; Woiwode, Wolfgang; Friedl-Vallon, Felix; Sinnhuber, Bjoern-Martin; de la Torre, Alejandro; Alexander, Peter; Hormaechea, Jose Luis; Janches, Diego; Garhammer, Markus; Chau, Jorge L.; Conte, J. Federico; Hoor, Peter; Engel, Andreas</t>
  </si>
  <si>
    <t>SOUTHTRAC-GW: An Airborne Field Campaign to Explore Gravity Wave Dynamics at the World's Strongest Hotspot</t>
  </si>
  <si>
    <t>Dynamics; Gravity waves; Mountain waves; Stratospheric circulation; Aircraft observations</t>
  </si>
  <si>
    <t>AMPLITUDE MOUNTAIN WAVES; MOMENTUM FLUX; AUCKLAND ISLANDS; CLIMATE MODELS; LIDAR; STRATOSPHERE; PROPAGATION; TEMPERATURE; CIRCULATION; GENERATION</t>
  </si>
  <si>
    <t>The southern part of South America and the Antarctic peninsula are known as the world's strongest hotspot region of stratospheric gravity wave (GW) activity. Large tropospheric winds are deflected by the Andes and the Antarctic Peninsula and excite GWs that might propagate into the upper mesosphere. Satellite observations show large stratospheric GW activity above the mountains, the Drake Passage, and in a belt centered along 60 degrees S. This scientifically highly interesting region for studying GW dynamics was the focus of the Southern Hemisphere Transport, Dynamics, and Chemistry-Gravity Waves (SOUTHTRAC-GW) mission. The German High Altitude and Long Range Research Aircraft (HALO) was deployed to Rio Grande at the southern tip of Argentina in September 2019. Seven dedicated research flights with a typical length of 7,000 km were conducted to collect GW observations with the novel Airborne Lidar for Middle Atmosphere research (ALIMA) instrument and the Gimballed Limb Observer for Radiance Imaging of the Atmosphere (GLORIA) limb sounder. While ALIMA measures temperatures in the altitude range from 20 to 90 km, GLORIA observations allow characterization of temperatures and trace gas mixing ratios from 5 to 15 km. Wave perturbations are derived by subtracting suitable mean profiles. This paper summarizes the motivations and objectives of the SOUTHTRAC-GW mission. The evolution of the atmospheric conditions is documented including the effect of the extraordinary Southern Hemisphere sudden stratospheric warming (SSW) that occurred in early September 2019. Moreover, outstanding initial results of the GW observation and plans for future work are presented.</t>
  </si>
  <si>
    <t>[Rapp, Markus; Kaifler, Bernd; Doernbrack, Andreas; Gisinger, Sonja; Mixa, Tyler; Reichert, Robert; Kaifler, Natalie; Knobloch, Stefanie; Eckert, Ramona; Wildmann, Norman] Deutsch Zentrum Luft &amp; Raumfahrt, Inst Phys Atmosphare, Oberpfaffenhofen, Germany; [Rapp, Markus; Garhammer, Markus] Ludwig Maximilians Univ Munchen, Meteorol Inst Munchen, Munich, Germany; [Giez, Andreas] Deutsch Zentrum Luft &amp; Raumfahrt, Einrichtung Flugexperimente, Oberpfaffenhofen, Germany; [Krasauskas, Lukas; Preusse, Peter; Geldenhuys, Markus; Riese, Martin] Forschungszentrum Julich, Inst Energy &amp; Climate Res IEK 7, Julich, Germany; [Woiwode, Wolfgang; Friedl-Vallon, Felix; Sinnhuber, Bjoern-Martin] Karlsruhe Inst Technol, Inst Meteorol &amp; Climate Res, Karlsruhe, Germany; [de la Torre, Alejandro] Univ Austral, Fac Ingn, LIDTUA CIC, Pilar, Argentina; [de la Torre, Alejandro] Consejo Nacl Invest Cient &amp; Tecn, Pilar, Argentina; [Alexander, Peter] Consejo Nacl Invest Cient &amp; Tecn, IFIBA, Buenos Aires, DF, Argentina; [Hormaechea, Jose Luis] Univ Nacl La Plata, Fac Ciencias Astron &amp; Geofis, Estn Astron Rio Grande, La Plata, Argentina; [Hormaechea, Jose Luis] Consejo Nacl Invest Cient &amp; Tecn, La Plata, Argentina; [Janches, Diego] NASA, Goddard Space Flight Ctr, Greenbelt, MD USA; [Chau, Jorge L.; Conte, J. Federico] Leibniz Inst Atmospher Phys, Kuhlungsborn, Germany; [Hoor, Peter] Johannes Gutenberg Univ Mainz, Inst Atmospher Phys, Mainz, Germany; [Engel, Andreas] Goethe Univ Frankfurt, Inst Atmospher &amp; Environm Sci, Frankfurt, Germany</t>
  </si>
  <si>
    <t>Helmholtz Association; German Aerospace Centre (DLR); University of Munich; Helmholtz Association; German Aerospace Centre (DLR); Helmholtz Association; Research Center Julich; Helmholtz Association; Karlsruhe Institute of Technology; Austral University; Consejo Nacional de Investigaciones Cientificas y Tecnicas (CONICET); Consejo Nacional de Investigaciones Cientificas y Tecnicas (CONICET); National University of La Plata; Consejo Nacional de Investigaciones Cientificas y Tecnicas (CONICET); National Aeronautics &amp; Space Administration (NASA); NASA Goddard Space Flight Center; Leibniz Institut fur Atmospharenphysik e.V. an der Universitat Rostock (IAP); Johannes Gutenberg University of Mainz; Goethe University Frankfurt</t>
  </si>
  <si>
    <t>Rapp, M (corresponding author), Deutsch Zentrum Luft &amp; Raumfahrt, Inst Phys Atmosphare, Oberpfaffenhofen, Germany.;Rapp, M (corresponding author), Ludwig Maximilians Univ Munchen, Meteorol Inst Munchen, Munich, Germany.</t>
  </si>
  <si>
    <t>markus.rapp@dlr.de</t>
  </si>
  <si>
    <t>Friedl-Vallon, Felix/AAE-7289-2022; hoor, peter m/G-5421-2010; Janches, Diego/D-4674-2012; 1294, HALO SPP/AAA-7658-2021; Chau, Jorge/C-7568-2013; Engel, Andreas/E-3100-2014; Kaifler, Bernd/AAK-7237-2021; Rapp, Markus/K-6081-2015; Riese, Martin/A-3927-2013; Preusse, Peter/A-1193-2013; Kaifler, Natalie/JOK-0324-2023; Sinnhuber, Bjorn-Martin/A-7007-2013; Mixa, Tyler/P-4883-2018</t>
  </si>
  <si>
    <t>Friedl-Vallon, Felix/0000-0003-2016-2800; hoor, peter m/0000-0001-6582-6864; Chau, Jorge/0000-0002-2364-8892; Kaifler, Bernd/0000-0002-5891-242X; Rapp, Markus/0000-0003-1508-5900; Riese, Martin/0000-0001-6398-6493; Kaifler, Natalie/0000-0002-3118-6480; Sinnhuber, Bjorn-Martin/0000-0001-9608-7320; Wildmann, Norman/0000-0001-9475-4206; Geldenhuys, Markus/0000-0001-6273-5633; Knobloch, Stefanie/0000-0002-8947-4629; Gisinger, Sonja/0000-0001-8188-4458; Conte, Juan Federico/0000-0002-9247-702X; Alexander, Peter/0000-0001-9455-2487; Mixa, Tyler/0000-0002-2590-5530</t>
  </si>
  <si>
    <t>Federal Ministry for Education and Research [01LG1907]; German Aerospace Center; Karlsruhe Institute of Technology; Forschungszentrum Julich; German Science Foundation (DFG) through the HALO-SPP; German Science foundation [GW-TP/DO1020/9-1, PACOG/RA1400/6-1]; DFG [FOR1898]</t>
  </si>
  <si>
    <t>Federal Ministry for Education and Research(Federal Ministry of Education &amp; Research (BMBF)); German Aerospace Center(Helmholtz AssociationGerman Aerospace Centre (DLR)); Karlsruhe Institute of Technology(Helmholtz Association); Forschungszentrum Julich(Helmholtz Association); German Science Foundation (DFG) through the HALO-SPP(German Research Foundation (DFG)); German Science foundation(German Research Foundation (DFG)); DFG(German Research Foundation (DFG))</t>
  </si>
  <si>
    <t>The authors gratefully acknowledge the enormous hospitality of the Argentinian Navy who hosted HALO and our team in their facilities at the Naval air base of Rio Grande. We also thank the Argentinian and Chilean authorities for their permission to perform research flights in their airspace. Thanks also for excellent support by the DLR facility for Flight Experiments (FX) and Klaus Ohlmann, the ingenious pilot of the Stemme glider. We are grateful for Annelize van Niekerk (UK MetOffice) for providing the Unified Model simulations applied during flight planning of HALO flights. The National Meteorological Service of Argentina (SMN) and the German Weather Service (DWD) supported the SOUTHTRAC-GW campaign by providing regional forecasts. Alejandro Godoy, Nicolas Rivaben (SMN) and Tobias Gocke (DWD) participated in the forecast team. Collaboration with AvN was established in the framework of the ISSI Team New Quantitative Constraints on OGW Stress and Drag at the ISSI Bern. This work was partly funded by the Federal Ministry for Education and Research under Grants 01LG1907 (project WASCLIM) in the frame of the Role of the Middle Atmosphere in Climate (ROMIC) program as well as by internal funds of the German Aerospace Center, the Karlsruhe Institute of Technology, and Forschungszentrum Julich. The university groups involved were funded by the German Science Foundation (DFG) through the HALO-SPP. Further support by the German Science foundation under Grants GW-TP/DO1020/9-1 and PACOG/RA1400/6-1 in the frame of the DFG research group MS-GWAVES (FOR1898) is also acknowledged. Access to ECMWF data was granted through the special project Deep Vertical Propagation of Internal Gravity Waves.</t>
  </si>
  <si>
    <t>E871</t>
  </si>
  <si>
    <t>E893</t>
  </si>
  <si>
    <t>10.1175/BAMS-D-20-0034.1</t>
  </si>
  <si>
    <t>WOS:000651498500014</t>
  </si>
  <si>
    <t>Bahrndorff, S; Lauritzen, JMS; Sorensen, MH; Noer, NK; Kristensen, TN</t>
  </si>
  <si>
    <t>Bahrndorff, Simon; Lauritzen, Jannik M. S.; Sorensen, Mathias H.; Noer, Natasja K.; Kristensen, Torsten N.</t>
  </si>
  <si>
    <t>Responses of terrestrial polar arthropods to high and increasing temperatures</t>
  </si>
  <si>
    <t>JOURNAL OF EXPERIMENTAL BIOLOGY</t>
  </si>
  <si>
    <t>Climate change; Insects; Arctic; Antarctic; Heat stress; Adaptation</t>
  </si>
  <si>
    <t>CRITICAL THERMAL LIMITS; CLIMATE-CHANGE; HEAT-SHOCK; ANTARCTIC MIDGE; CRYPTOPYGUS-ANTARCTICUS; MEGAPHORURA-ARCTICA; COLD-HARDINESS; TOLERANCE; ACCLIMATION; DROSOPHILA</t>
  </si>
  <si>
    <t>Terrestrial arthropods in the Arctic and Antarctic are exposed to extreme and variable temperatures, and climate change is predicted to be especially pronounced in these regions. Available ecophysiological studies on terrestrial ectotherms from the Arctic and Antarctic typically focus on the ability of species to tolerate the extreme low temperatures that can occur in these regions, whereas studies investigating species plasticity and the importance of evolutionary adaptation to periodically high and increasing temperatures are limited. Here, we provide an overview of current knowledge on thermal adaptation to high temperatures of terrestrial arthropods in Arctic and Antarctic regions. Firstly, we summarize the literature on heat tolerance for terrestrial arthropods in these regions, and discuss variation in heat tolerance across species, habitats and polar regions. Secondly, we discuss the potential for species to cope with increasing and more variable temperatures through thermal plasticity and evolutionary adaptation. Thirdly, we summarize our current knowledge of the underlying physiological adjustments to heat stress in arthropods from polar regions. It is clear that very little data are available on the heat tolerance of arthropods in polar regions, but that large variation in arthropod thermal tolerance exists across polar regions, habitats and species. Further, the species investigated show unique physiological adjustments to heat stress, such as their ability to respond quickly to increasing or extreme temperatures. To understand the consequences of climate change on terrestrial arthropods in polar regions, we suggest that more studies on the ability of species to cope with stressful high and variable temperatures are needed.</t>
  </si>
  <si>
    <t>[Bahrndorff, Simon; Lauritzen, Jannik M. S.; Sorensen, Mathias H.; Noer, Natasja K.; Kristensen, Torsten N.] Aalborg Univ, Dept Chem &amp; Biosci, Fredrik Bajers Vej 7H, DK-9220 Aalborg, Denmark; [Kristensen, Torsten N.] Aarhus Univ, Dept Anim Sci, Blichers Alle 20, DK-8830 Tjele, Denmark</t>
  </si>
  <si>
    <t>Aalborg University; Aarhus University</t>
  </si>
  <si>
    <t>Bahrndorff, S (corresponding author), Aalborg Univ, Dept Chem &amp; Biosci, Fredrik Bajers Vej 7H, DK-9220 Aalborg, Denmark.</t>
  </si>
  <si>
    <t>sba@bio.aau.dk</t>
  </si>
  <si>
    <t>; Kristensen, Torsten Nygaard/C-5031-2015</t>
  </si>
  <si>
    <t>Noer, Natasja Krog/0000-0002-4430-0342; Bahrndorff, Simon/0000-0002-0838-4008; Kristensen, Torsten Nygaard/0000-0001-6204-8753</t>
  </si>
  <si>
    <t>Danish Council for Independent Research (Natur og Univers, Det Frie Forskningsrad) [DFF-8021-00014B]; Carlsberg Foundation (Carlsbergfondet) [CF17-0415]; North to North; Aalborg Zoo Conservation Foundation (Aalborg Zoos Naturbevaringsfond, AZCF)</t>
  </si>
  <si>
    <t>Danish Council for Independent Research (Natur og Univers, Det Frie Forskningsrad); Carlsberg Foundation (Carlsbergfondet)(Carlsberg Foundation); North to North; Aalborg Zoo Conservation Foundation (Aalborg Zoos Naturbevaringsfond, AZCF)</t>
  </si>
  <si>
    <t>We thank the Danish Council for Independent Research (Natur og Univers, Det Frie Forskningsrad grant no. DFF-8021-00014B), the Carlsberg Foundation (Carlsbergfondet, CF17-0415), North to North and the Aalborg Zoo Conservation Foundation (Aalborg Zoos Naturbevaringsfond, AZCF) for supporting this work.</t>
  </si>
  <si>
    <t>COMPANY BIOLOGISTS LTD</t>
  </si>
  <si>
    <t>BIDDER BUILDING, STATION RD, HISTON, CAMBRIDGE CB24 9LF, ENGLAND</t>
  </si>
  <si>
    <t>0022-0949</t>
  </si>
  <si>
    <t>1477-9145</t>
  </si>
  <si>
    <t>J EXP BIOL</t>
  </si>
  <si>
    <t>J. Exp. Biol.</t>
  </si>
  <si>
    <t>jeb230797</t>
  </si>
  <si>
    <t>10.1242/jeb.230797</t>
  </si>
  <si>
    <t>Biology</t>
  </si>
  <si>
    <t>Life Sciences &amp; Biomedicine - Other Topics</t>
  </si>
  <si>
    <t>SD6RW</t>
  </si>
  <si>
    <t>WOS:000651503300003</t>
  </si>
  <si>
    <t>Chung, S; Choi, H; Choi, Y; Kang, H; Jeon, J; Shin, D</t>
  </si>
  <si>
    <t>Chung, Sueim; Choi, Haneul; Choi, Youngjin; Kang, Hyeonji; Jeon, Jooyoung; Shin, Donghee</t>
  </si>
  <si>
    <t>Analysis of Polar Region-Related Topics in Domestic and Foreign Textbooks</t>
  </si>
  <si>
    <t>JOURNAL OF THE KOREAN EARTH SCIENCE SOCIETY</t>
  </si>
  <si>
    <t>Korean</t>
  </si>
  <si>
    <t>polar region; polar literacy; Arctic; Antarctic; textbook; geoscience education</t>
  </si>
  <si>
    <t>The objective of this study is to increase awareness and interest regarding polar science and thereby aid in establishing the concept and future direction of polar literacy. To analyze the current status, textbooks based on the common school curriculum pertaining to polar topics were reviewed. Six countries that actively conduct polar science, namely Korea, France, Japan, Germany, the United States, and the United Kingdom, were chosen. Subsequently, 402 cases in 110 science and social studies (geography) textbooks of these countries were analyzed through both quantitative and qualitative methods. Based on the obtained results, the importance of polar research in geoscience education and the need for spreading awareness regarding polar research as an indicator of global environmental changes were examined. It was found that the primary polar topics described in the textbooks are polar glaciers, polar volcanism, solid geophysics, polar infrastructure, and preservation of geological resources and heritage. This demonstrates that the polar region is a field of research with important clues to Earth's past, present, and future environments and is also a good teaching subject for geological education. However, an educational approach is needed for systematically laying emphasis on polar research. The implications of this study are manifold, such as the establishment of a cooperative system between polar scientists and educators, extraction of core concepts for polar literacy and content reconstruction, discovery of new polar topics associated with the curriculum, diversification of forms of presentation in textbooks, and development of an affective image that is based on correct cognitive understanding. Furthermore, through the continuance of polar topics in textbooks, students can improve their awareness regarding polar literacy and polar science culture, which in turn will serve as the driving force for sustainable polar research in the future.</t>
  </si>
  <si>
    <t>[Chung, Sueim] Eunhaeng High Sch, Shihung 14916, South Korea; [Choi, Haneul; Choi, Youngjin; Kang, Hyeonji; Jeon, Jooyoung; Shin, Donghee] Ewha Womans Univ, Dept Sci Educ, Seoul 03760, South Korea</t>
  </si>
  <si>
    <t>Ewha Womans University</t>
  </si>
  <si>
    <t>Shin, D (corresponding author), Ewha Womans Univ, Dept Sci Educ, Seoul 03760, South Korea.</t>
  </si>
  <si>
    <t>donghee@ewha.ac.kr</t>
  </si>
  <si>
    <t>KOREAN EARTH SCIENCE SOC</t>
  </si>
  <si>
    <t>CHEONG-WON-GUN</t>
  </si>
  <si>
    <t>KOREAN EARTH SCIENCE SOC, CHEONG-WON-GUN, 00000, SOUTH KOREA</t>
  </si>
  <si>
    <t>1225-6692</t>
  </si>
  <si>
    <t>2287-4518</t>
  </si>
  <si>
    <t>J KOR EARTH SCI SOC</t>
  </si>
  <si>
    <t>J. Kor. Earth Sci. Soc.</t>
  </si>
  <si>
    <t>10.5467/JKESS.2021.42.2.201</t>
  </si>
  <si>
    <t>SE8YO</t>
  </si>
  <si>
    <t>WOS:000652355000007</t>
  </si>
  <si>
    <t>Clarke, DA; Palmer, DJ; McGrannachan, C; Burgess, TI; Chown, SL; Clarke, RH; Kumschick, S; Lach, L; Liebhold, AM; Roy, HE; Saunders, ME; Yeates, DK; Zalucki, MP; McGeoch, MA</t>
  </si>
  <si>
    <t>Clarke, David A.; Palmer, David J.; McGrannachan, Chris; Burgess, Treena, I; Chown, Steven L.; Clarke, Rohan H.; Kumschick, Sabrina; Lach, Lori; Liebhold, Andrew M.; Roy, Helen E.; Saunders, Manu E.; Yeates, David K.; Zalucki, Myron P.; McGeoch, Melodie A.</t>
  </si>
  <si>
    <t>Options for reducing uncertainty in impact classification for alien species</t>
  </si>
  <si>
    <t>ECOSPHERE</t>
  </si>
  <si>
    <t>EICAT; impact assessment; invasive alien species; mechanisms of impact; reducing uncertainty; risk communication</t>
  </si>
  <si>
    <t>UNITED-STATES; EXOTIC BARK; TAXA EICAT; INSECTS; ABSENCE; CONSERVATION; BIODIVERSITY; COMMUNITIES; ASSESSMENTS; COLEOPTERA</t>
  </si>
  <si>
    <t>Impact assessment is an important and cost-effective tool for assisting in the identification and prioritization of invasive alien species. With the number of alien and invasive alien species expected to increase, reliance on impact assessment tools for the identification of species that pose the greatest threats will continue to grow. Given the importance of such assessments for management and resource allocation, it is critical to understand the uncertainty involved and what effect this may have on the outcome. Using an uncertainty typology and insects as a model taxon, we identified and classified the causes and types of uncertainty when performing impact assessments on alien species. We assessed 100 alien insect species across two rounds of assessments with each species independently assessed by two assessors. Agreement between assessors was relatively low for all three impact classification components (mechanism, severity, and confidence) after the first round of assessments. For the second round, we revised guidelines and gave assessors access to each other's assessments which improved agreement by between 20% and 30% for impact mechanism, severity, and confidence. Of the 12 potential reasons for assessment discrepancies identified a priori, 11 were found to occur. The most frequent causes (and types) of uncertainty (i.e., differences between assessment outcomes for the same species) were as follows: incomplete information searches (systematic error), unclear mechanism and/or extent of impact (subjective judgment due to a lack of knowledge), and limitations of the assessment framework (context dependence). In response to these findings, we identify actions that may reduce uncertainty in the impact assessment process, particularly for assessing speciose taxa with diverse life histories such as Insects. Evidence of environmental impact was available for most insect species, and (of the non-random original subset of species assessed) 14 of those with evidence were identified as high impact species (with either major or massive impact). Although uncertainty in risk assessment, including impact assessments, can never be eliminated, identifying, and communicating its cause and variety is a first step toward its reduction and a more reliable assessment outcome, regardless of the taxa being assessed.</t>
  </si>
  <si>
    <t>[Clarke, David A.; Palmer, David J.; McGrannachan, Chris; Chown, Steven L.; Clarke, Rohan H.; McGeoch, Melodie A.] Monash Univ, Sch Biol Sci, Clayton, Vic 3800, Australia; [Burgess, Treena, I] Murdoch Univ, Ctr Climate Impacted Terr Ecosyst, Harry Butler Inst, 90 South St, Murdoch, WA 6150, Australia; [Kumschick, Sabrina] Stellenbosch Univ, Ctr Invas Biol, Dept Bot &amp; Zool, Matieland, South Africa; [Kumschick, Sabrina] South African Natl Biodivers Inst, Cape Town Off, Claremont, South Africa; [Lach, Lori] James Cook Univ, Coll Sci &amp; Engn, POB 6811, Cairns, Qld 4870, Australia; [Liebhold, Andrew M.] US Forest Serv, USDA, Northern Res Stn, Morgantown, WV 26505 USA; [Liebhold, Andrew M.] Czech Univ Life Sci, Fac Forestry &amp; Wood Sci, CZ-16521 Prague 6, Czech Republic; [Roy, Helen E.] UK Ctr Ecol &amp; Hydrol, Wallingford OX10 8BB, Oxon, England; [Saunders, Manu E.] Univ New England, Sch Environm &amp; Rural Sci, Armidale, NSW 2351, Australia; [Saunders, Manu E.] Univ New England, UNE Business Sch, Armidale, NSW 2351, Australia; [Yeates, David K.] CSIRO Australian Natl Insect Collect, POB 1700, Canberra, ACT 2601, Australia; [Zalucki, Myron P.] Univ Queensland, Sch Biol Sci, Brisbane, Qld 4072, Australia; [McGeoch, Melodie A.] La Trobe Univ, Dept Ecol Environm &amp; Evolut, Melbourne, Vic 30186, Australia</t>
  </si>
  <si>
    <t>Monash University; Murdoch University; Stellenbosch University; South African National Biodiversity Institute; James Cook University; United States Department of Agriculture (USDA); United States Forest Service; Czech University of Life Sciences Prague; UK Centre for Ecology &amp; Hydrology (UKCEH); University of New England; University of New England; Commonwealth Scientific &amp; Industrial Research Organisation (CSIRO); University of Queensland; Melbourne Genomics Health Alliance; La Trobe University</t>
  </si>
  <si>
    <t>McGeoch, MA (corresponding author), Monash Univ, Sch Biol Sci, Clayton, Vic 3800, Australia.;McGeoch, MA (corresponding author), La Trobe Univ, Dept Ecol Environm &amp; Evolut, Melbourne, Vic 30186, Australia.</t>
  </si>
  <si>
    <t>M.McGeoch@latrobe.edu.au</t>
  </si>
  <si>
    <t>Kumschick, Sabrina/JVZ-4260-2024; Yeates, David Keith/A-9917-2008; Burgess, Treena/AAB-9587-2021; Liebhold, Andrew M./C-1423-2008; Chown, Steven/ABD-7646-2021; Clarke, David A/IUQ-2290-2023; Clarke, David A/AHE-0137-2022; Chown, Steven/H-3347-2011; Lach, Lori/B-3145-2011; McGeoch, Melodie/F-8353-2011</t>
  </si>
  <si>
    <t>Burgess, Treena/0000-0002-7962-219X; Liebhold, Andrew M./0000-0001-7427-6534; Clarke, David A/0000-0003-3529-1162; Clarke, David A/0000-0003-3529-1162; Chown, Steven/0000-0001-6069-5105; Saunders, Manu/0000-0003-0645-8277; McGrannachan, Christopher/0000-0003-3968-2646; Lach, Lori/0000-0001-5137-5185; McGeoch, Melodie/0000-0003-3388-2241</t>
  </si>
  <si>
    <t>Invasive Species Council; Ian Potter Foundation, Monash University; Australian Department of Agriculture; Queensland Department of Environment; Australian Research Council [DP200101680]; Australian Government Research Training Program (RTP) scholarship; Australian Antarctic Science Grant [4482]; Natural Environment Research Council, UK-SCAPE program delivering National Capability [NE/R016429/1]; National Science Foundation Macrosystems Biology Program [1241932, 1638702, EVA4.0]; OP RDE [CZ.02.1.01/0.0/0.0/16_019/0000803]; Australian Research Council [DP200101680] Funding Source: Australian Research Council; Direct For Biological Sciences; Emerging Frontiers [1241932] Funding Source: National Science Foundation</t>
  </si>
  <si>
    <t>Invasive Species Council; Ian Potter Foundation, Monash University; Australian Department of Agriculture(Australian Government); Queensland Department of Environment; Australian Research Council(Australian Research Council); Australian Government Research Training Program (RTP) scholarship(Australian GovernmentDepartment of Industry, Innovation and Science); Australian Antarctic Science Grant; Natural Environment Research Council, UK-SCAPE program delivering National Capability(UK Research &amp; Innovation (UKRI)Natural Environment Research Council (NERC)); National Science Foundation Macrosystems Biology Program; OP RDE; Australian Research Council(Australian Research Council); Direct For Biological Sciences; Emerging Frontiers(National Science Foundation (NSF)NSF - Directorate for Biological Sciences (BIO))</t>
  </si>
  <si>
    <t>We acknowledge financial support from the Invasive Species Council, the Ian Potter Foundation, Monash University, the Australian Department of Agriculture, and the Queensland Department of Environment. We thank Andrew Cox, Carol Booth, and Rebecca O'Connor, for their comments. MAM acknowledges support from the Australian Research Council (DP200101680). DAC acknowledges support from an Australian Government Research Training Program (RTP) scholarship. SLC is supported by Australian Antarctic Science Grant 4482. SK thanks the South African National Department of Environment, Forestry and Fisheries (DEFF) and the DSI-NRF Centre of Excellence for Invasion Biology (CIB) at Stellenbosch University. HER was partly supported by the Natural Environment Research Council award number NE/R016429/1 as part of the UK-SCAPE program delivering National Capability. AML received support from the National Science Foundation Macrosystems Biology Program (grant numbers 1241932, 1638702) and grant EVA4.0, No. CZ.02.1.01/0.0/0.0/16_019/0000803 financed by OP RDE.</t>
  </si>
  <si>
    <t>2150-8925</t>
  </si>
  <si>
    <t>Ecosphere</t>
  </si>
  <si>
    <t>e03461</t>
  </si>
  <si>
    <t>10.1002/ecs2.3461</t>
  </si>
  <si>
    <t>Ecology</t>
  </si>
  <si>
    <t>RV1KB</t>
  </si>
  <si>
    <t>WOS:000645597500026</t>
  </si>
  <si>
    <t>Tibbett, EJ; Scher, HD; Warny, S; Tierney, JE; Passchier, S; Feakins, SJ</t>
  </si>
  <si>
    <t>Tibbett, Emily J.; Scher, Howie D.; Warny, Sophie; Tierney, Jessica E.; Passchier, Sandra; Feakins, Sarah J.</t>
  </si>
  <si>
    <t>Late Eocene Record of Hydrology and Temperature From Prydz Bay, East Antarctica</t>
  </si>
  <si>
    <t>PALEOCEANOGRAPHY AND PALEOCLIMATOLOGY</t>
  </si>
  <si>
    <t>PRINCE-CHARLES MOUNTAINS; ICE-SHEET EXPANSION; OLIGOCENE TRANSITION; GLACIATION; ONSET; OCEAN; IDENTIFICATION; EVOLUTION; SEDIMENTS; ISOTOPE</t>
  </si>
  <si>
    <t>The Eocene-Oligocene transition (EOT) marks the onset of Antarctic glaciation at 33.7 Ma. Although the benthic oxygen isotope record defines the major continental ice sheet expansion, recent sedimentary and geochemical evidence suggests the presence of earlier ephemeral ice sheets. Sediment cores from Ocean Drilling Program Legs 119 and 188 in Prydz Bay provide an archive of conditions in a major drainage system of East Antarctica. We study biomarker and microfossil evidence to discern how the vegetation and climate shifted between 36 and 33 Ma. Pollen was dominated by reworked Permian Glossopterid gymnosperms; however, penecontemporaneous Eocene pollen assemblages indicate that some vegetation survived the glacial advances. At the EOT, brGDGT soil biomarkers indicate abrupt cooling from 13 degrees C to 8 degrees C and soil pH increases from 6.0 to 6.7, suggesting drying which is further supported by plant wax hydrogen and carbon isotopic shifts of 20 parts per thousand and 1.1 parts per thousand, respectively, and evidence for drying from weathering proxies. Although the terrestrial soil biomarker influx mostly precludes the use of TEX86, we find sea surface temperatures of 12 degrees C in the late Eocene cooling to 8 degrees C at the EOT. Marine productivity undergoes a sustained increase after the glacial advance, likely promoted by enhanced ocean circulation. Between the two glacial surge events of the Priabonian Oxygen Maximum at 37.3 Ma and the EOT at 33.7 Ma, we observe warming of 2-5 degrees C at 35.7 and 34.7 Ma, with increase in penecontemporaneous pollen and enhanced marine productivity, capturing the last flickers of Antarctic warmth. Plain Language Summary Antarctica, once covered in forests and diverse vegetation, became almost fully ice covered around 33.7 million years ago. However, there are few records of conditions before the ice advanced. Seafloor mud, off the Antarctic coast, holds clues to conditions on land, before ice expanded to cover the continent. Pollen grains indicate what species of plants were growing at the time. We use molecular evidence from plant leaves and soils to reconstruct rainfall. Other lines of evidence include temperature estimates from soil and seawater microbes. Together these lines of evidence reveal warm periods in the Late Eocene and a cooling and drying climate with enhanced erosion as ice advanced. This helps to illuminate how conditions changed on land before Antarctica became fully ice covered, and can help check climate model simulations. This study provides a better understanding of how the Earth shifts between warm and cold climate states.</t>
  </si>
  <si>
    <t>[Tibbett, Emily J.; Feakins, Sarah J.] Univ Southern Calif, Dept Earth Sci, Los Angeles, CA 90007 USA; [Scher, Howie D.] Univ South Carolina, Dept Earth &amp; Ocean Sci, Columbia, SC 29208 USA; [Warny, Sophie] Louisiana State Univ, Dept Geol &amp; Geophys, Baton Rouge, LA 70803 USA; [Tierney, Jessica E.] Univ Arizona, Dept Geosci, Tucson, AZ 85721 USA; [Passchier, Sandra] Montclair State Univ, Dept Earth &amp; Environm Studies, Montclair, NJ USA</t>
  </si>
  <si>
    <t>University of Southern California; University of South Carolina System; University of South Carolina Columbia; Louisiana State University System; Louisiana State University; University of Arizona; Montclair State University</t>
  </si>
  <si>
    <t>Tibbett, EJ (corresponding author), Univ Southern Calif, Dept Earth Sci, Los Angeles, CA 90007 USA.</t>
  </si>
  <si>
    <t>tibbett@usc.edu</t>
  </si>
  <si>
    <t>Scher, Howie/C-4927-2013; Feakins, Sarah/K-4149-2012; Warny, Sophie A/A-8226-2013; Passchier, Sandra/GYU-2381-2022; Passchier, Sandra/B-1993-2008</t>
  </si>
  <si>
    <t>Feakins, Sarah/0000-0003-3434-2423; Tibbett, Emily/0000-0001-9335-4163; Passchier, Sandra/0000-0001-7204-7025</t>
  </si>
  <si>
    <t>U.S. National Science Foundation [NSF-OPP-1908548, NSF-OPP-1908399, NSF-OPP-1743643]; U.S. National Science Foundation</t>
  </si>
  <si>
    <t>U.S. National Science Foundation(National Science Foundation (NSF)); U.S. National Science Foundation(National Science Foundation (NSF))</t>
  </si>
  <si>
    <t>This study was funded by the U.S. National Science Foundation NSF-OPP-1908548 to Sarah J. Feakins, NSF-OPP-1908399 to Howie D. Scher, and NSF-OPP-1743643 to Sandra Passchier. This study used samples and/or data collected by the International Ocean Discovery Program, supported by funding from the U.S. National Science Foundation and other member nations. The authors thank Peter Flaig for providing a sample of Permian-age coal. This manuscript was improved with the constructive comments of Carlos Jaramillo, Aaron Diefendorf, and Gordon Inglis.</t>
  </si>
  <si>
    <t>2572-4517</t>
  </si>
  <si>
    <t>2572-4525</t>
  </si>
  <si>
    <t>PALEOCEANOGR PALEOCL</t>
  </si>
  <si>
    <t>Paleoceanogr. Paleoclimatology</t>
  </si>
  <si>
    <t>e2020PA004204</t>
  </si>
  <si>
    <t>10.1029/2020PA004204</t>
  </si>
  <si>
    <t>Geosciences, Multidisciplinary; Oceanography; Paleontology</t>
  </si>
  <si>
    <t>Geology; Oceanography; Paleontology</t>
  </si>
  <si>
    <t>RT6JZ</t>
  </si>
  <si>
    <t>WOS:000644566400017</t>
  </si>
  <si>
    <t>Höppner, N; Chiessi, CM; Lucassen, F; Zavala, K; Becchio, RA; Kasemann, SA</t>
  </si>
  <si>
    <t>Hoeppner, Natalie; Chiessi, Cristiano M.; Lucassen, Friedrich; Zavala, Karina; Becchio, Rail A.; Kasemann, Simone A.</t>
  </si>
  <si>
    <t>Modern isotopic signatures of Plata River sediments and changes in sediment supply to the western subtropical South Atlantic during the last 30 kyr</t>
  </si>
  <si>
    <t>Quaternary; Paleoclimatology; South America; South Atlantic; Radiogenic isotopes; Plata River drainage basin; Provenance; Suspended particulate matter; Marine cores</t>
  </si>
  <si>
    <t>ANTARCTIC INTERMEDIATE WATER; CONTINENTAL-MARGIN; SILICATE SAMPLES; AMERICAN MONSOON; YOUNGER DRYAS; CLIMATE; ND; PB; STRONTIUM; CIRCULATION</t>
  </si>
  <si>
    <t>Sediments transported in rivers reflect the geology of the catchment area and its radiogenic isotopic composition. These isotopic signatures are not significantly altered by weathering, transport or deposition and hence can document variations in sediment supply. Here we present strontium (Sr), neodymium (Nd) and lead (Pb) isotope values from suspended and riverbed sediments of the Plata River drainage basin, the second largest on the South American continent, and from two marine sediment cores collected off the mouth of the Plata River in the western subtropical South Atlantic. Our modern riverine data suggest that the basin has three main sediment source areas, namely the upper Parana River, the Uruguay River and the Andean draining rivers. Sediments from the Andean draining rivers (Salado and Bermejo Rivers) have the most radiogenic Pb (i.e. &gt;18.5 for Pb-206/Pb-204) and Sr (average of 0.726 +/- 0.031; 2SD) isotopic signatures, and least radiogenic eNd values (average of -10.5 +/- 3.1; 2SD). The upper Parana and Uruguay Rivers have less radiogenic Pb (i.e. &lt;18.5 for Pb-206/Pb-204) and Sr (average of 0.715 +/- 0.003; 2SD) isotopic signatures. While the upper Parana River has average epsilon(Nd) values of -7.8 +/- 1.1 (2SD), the Uruguay River has average eNd values of -5.9 +/- 0.2 (2SD). The modern isotopic signature at the mouth of the Plata River is largely dominated by the Andean draining rivers. To reconstruct changes in sediment supply to the western subtropical South Atlantic, we used this new riverine dataset together with literature values from the Argentine continental margin to interpret the data from two marine sediment cores. The downcore records cover the last similar to 30 kyr and show two short-lived excursions (i.e. Heinrich Stadial 1 and the Younger Dryas) and two long-term trends (i.e. late Pleistocene (i.e. similar to 29 to 11 cal ka BP for Sr and similar to 29 to 25 cal ka BP for Nd), and early and mid-Holocene). We suggest that the short-lived excursions result from increased precipitation in the headlands of the Andean draining rivers during Heinrich Stadial 1 and the Younger Dryas. The late Pleistocene long-term change showed an increase in the contribution of material from the Plata River drainage basin in relation to material from the Argentine continental margin most probably due to low sea-level. The early and mid-Holocene long-term trend showed the opposite change in sediment input and was related to decreased precipitation over most of the Plata River drainage basin. (C) 2021 Elsevier Ltd. All rights reserved.</t>
  </si>
  <si>
    <t>[Hoeppner, Natalie; Lucassen, Friedrich; Zavala, Karina; Kasemann, Simone A.] Univ Bremen, MARUM Ctr Marine Environm Sci, Bremen, Germany; [Hoeppner, Natalie; Lucassen, Friedrich; Zavala, Karina; Kasemann, Simone A.] Univ Bremen, Fac Geosci, Bremen, Germany; [Chiessi, Cristiano M.] Univ Sao Paulo, Sch Arts Sci &amp; Humanities, Sao Paulo, Brazil; [Becchio, Rail A.] Consejo Nacl Invest Cient &amp; Tecn, UNSa, IBIGEO, Inst Bio &amp; Geociencias NOA, Salta, Argentina</t>
  </si>
  <si>
    <t>University of Bremen; University of Bremen; Universidade de Sao Paulo; Consejo Nacional de Investigaciones Cientificas y Tecnicas (CONICET)</t>
  </si>
  <si>
    <t>Kasemann, SA (corresponding author), Univ Bremen, MARUM Ctr Marine Environm Sci, Bremen, Germany.;Kasemann, SA (corresponding author), Univ Bremen, Fac Geosci, Bremen, Germany.</t>
  </si>
  <si>
    <t>kasemann@uni-bremen.de</t>
  </si>
  <si>
    <t>Chiessi, Cristiano Mazur/JAZ-0806-2023</t>
  </si>
  <si>
    <t>Chiessi, Cristiano Mazur/0000-0003-3318-8022; Kasemann, Simone Antonia/0000-0002-6913-7748</t>
  </si>
  <si>
    <t>DFG-Research Center/Cluster of Excellence The Ocean in the Earth System at MARUM - Center for Environmental Sciences, University of Bremen; GLOMAR - Bremen International Graduate School for Marine Sciences; DAAD - German Academic Exchange Service; FAPESP [2018/15123-4, 2019/24349-9]; CAPES [564/2015, 88881.313535/2019-01]; CNPq [302607/2016-1, 312458/2020-7]; Alexander von Humboldt Foundation</t>
  </si>
  <si>
    <t>DFG-Research Center/Cluster of Excellence The Ocean in the Earth System at MARUM - Center for Environmental Sciences, University of Bremen; GLOMAR - Bremen International Graduate School for Marine Sciences; DAAD - German Academic Exchange Service(Deutscher Akademischer Austausch Dienst (DAAD)); FAPESP(Fundacao de Amparo a Pesquisa do Estado de Sao Paulo (FAPESP)); CAPES(Coordenacao de Aperfeicoamento de Pessoal de Nivel Superior (CAPES)); CNPq(Conselho Nacional de Desenvolvimento Cientifico e Tecnologico (CNPQ)); Alexander von Humboldt Foundation(Alexander von Humboldt Foundation)</t>
  </si>
  <si>
    <t>This work was funded through the DFG-Research Center/Cluster of Excellence The Ocean in the Earth System at MARUM e Center for Environmental Sciences, University of Bremen. Logistic and technical assistance was provided by the captain and crew of the R/V Meteor cruise M46/2. Core sample material has been provided by the GeoB Core Repository at the MARUM e Center for Marine Environmental Sciences, University of Bremen, Germany. NH thanks GLOMAR e Bremen International Graduate School for Marine Sciences for support and the DAAD e German Academic Exchange Service for financial support. Furthermore, NH thanks M. Carolina A. Catunda for help during the sampling campaign in the Brazilian sector of the PRB, Andre O. Sawakuchi for lending the sampling equipment, and Gustavo M. Paula-Santos for providing the sample of the Paraguay River drainage basin. SAK thanks Benjamin Heit and Pablo Maciel for supporting the sampling campaign in the Argentinean and Bolivian sectors of the PRB. CMC acknowledges the financial support from FAPESP (grants 2018/15123e4 and 2019/24349e9), CAPES (grants 564/2015 and 88881.313535/2019e01), CNPq (grants 302607/2016e1 and 312458/2020e7) and the Alexander von Humboldt Foundation. All authors thank two anonymous reviewers and Ingrid Hendy (editor) for constructive comments.</t>
  </si>
  <si>
    <t>MAY 1</t>
  </si>
  <si>
    <t>10.1016/j.quascirev.2021.106910</t>
  </si>
  <si>
    <t>RX7QQ</t>
  </si>
  <si>
    <t>WOS:000647414700005</t>
  </si>
  <si>
    <t>Yesiltas, M; Young, J; Glotch, TD</t>
  </si>
  <si>
    <t>Yesiltas, Mehmet; Young, Jordan; Glotch, Timothy D.</t>
  </si>
  <si>
    <t>Thermal metamorphic history of Antarctic CV3 and CO3 chondrites inferred from the first- and second-order Raman peaks of polyaromatic organic carbon</t>
  </si>
  <si>
    <t>AMERICAN MINERALOGIST</t>
  </si>
  <si>
    <t>Carbonaceous chondrites; organic matter; Raman spectroscopy; thermal metamorphism; Origins of Our Solar System and Its Organic Compounds</t>
  </si>
  <si>
    <t>TYPE-3 CHONDRITES; EXTRATERRESTRIAL; SPECTROSCOPY; METEORITE; MATTER; CM; COMPONENTS; MINERALOGY; EVOLUTION; SPECTRA</t>
  </si>
  <si>
    <t>Parent body thermal metamorphism is an important process that alters the structure of organic matter in the parent asteroid of meteorites. Increasing and progressing thermal metamorphism results in carbonization and graphitization of carbonaceous matter in the parent body. Such modifications in the carbon structures can be studied by Raman microspectroscopy, thanks to its high sensitivity to structure and bonding within carbonaceous molecules. We have characterized polyaromatic carbonaceous matter in a total of 24 Antarctic CV3 and CO3 chondrites using micro-Raman imaging spectroscopy in an effort to better understand parent body thermal metamorphism and assess its effects on the carbon structures. Raman spectral parameters of the first-order carbon peaks (D and G) were extracted from at least 200 spectra for each meteorite and were compared to deduce relationships that yield information regarding the thermal metamorphism conditions. We also show, for the first time, spectral trends and relations of the second-order carbon peaks (2D and D+G) within the 2500-3200 cm(-1) with thermal metamorphic history. The second-order peaks appear to contain information that is lacking in the first-order peaks. Based on the second-order carbon peak parameters, we tentatively classify four CV3 chondrites into subtypes, and reclassify another. Peak metamorphic temperatures of the investigated meteorites have been estimated based on the width of the D band as well as the calculated Raman spectral curvature. Estimated temperatures appear to correlate well with the assigned petrologic types. We have calculated higher peak metamorphic temperatures for the CV3 chondrites than for the considered CO3 chondrites and further showed that the peak metamorphic temperatures of CV3(oxA) chondrites are higher than those of CV3(oxB), indicating possibly different metamorphic conditions for the two oxidized subtypes. We observe that there is a relatively larger temperature increase going from CO3.2 to CO3.4 (150 degrees C increase) compared to CO3.4-CO3.6 (20 degrees C), which may indicate that the graphitization and structural ordering of carbon reach a critical temperature regime around petrologic type CO3.3.</t>
  </si>
  <si>
    <t>[Yesiltas, Mehmet] Kirklareli Univ, Fac Aeronaut &amp; Space Sci, TR-39100 Kirklareli, Turkey; [Young, Jordan; Glotch, Timothy D.] SUNY Stony Brook, Dept Geol Sci, Stony Brook, NY 11794 USA</t>
  </si>
  <si>
    <t>Kirklareli University; State University of New York (SUNY) System; State University of New York (SUNY) Stony Brook</t>
  </si>
  <si>
    <t>Yesiltas, M (corresponding author), Kirklareli Univ, Fac Aeronaut &amp; Space Sci, TR-39100 Kirklareli, Turkey.</t>
  </si>
  <si>
    <t>myesiltas@knights.ucf.edu</t>
  </si>
  <si>
    <t>Glotch, Timothy D/B-6829-2008</t>
  </si>
  <si>
    <t>Ministry of Industry and Technology of Turkey; TUBITAK MAM Polar Research Institute</t>
  </si>
  <si>
    <t>This work is funded in part by the RISE2 node of NASA's Solar System Exploration Research Virtual Institute (SSERVI; PI: T.D. Glotch) M.Y. acknowledges the support by the Ministry of Industry and Technology of Turkey as well as TUBITAK MAM Polar Research Institute. The data presented here will be made publicly available at Turkish Spectral Database upon publication (http://tsd.klu.edu.tr).</t>
  </si>
  <si>
    <t>MINERALOGICAL SOC AMER</t>
  </si>
  <si>
    <t>CHANTILLY</t>
  </si>
  <si>
    <t>3635 CONCORDE PKWY STE 500, CHANTILLY, VA 20151-1125 USA</t>
  </si>
  <si>
    <t>0003-004X</t>
  </si>
  <si>
    <t>1945-3027</t>
  </si>
  <si>
    <t>AM MINERAL</t>
  </si>
  <si>
    <t>Am. Miner.</t>
  </si>
  <si>
    <t>10.2138/am-2021-7507</t>
  </si>
  <si>
    <t>Geochemistry &amp; Geophysics; Mineralogy</t>
  </si>
  <si>
    <t>RV7RH</t>
  </si>
  <si>
    <t>WOS:000646025000002</t>
  </si>
  <si>
    <t>Sandiford, D; Brune, S; Glerum, A; Naliboff, J; Whittaker, JM</t>
  </si>
  <si>
    <t>Sandiford, Dan; Brune, Sascha; Glerum, Anne; Naliboff, John; Whittaker, Joanne M.</t>
  </si>
  <si>
    <t>Kinematics of Footwall Exhumation at Oceanic Detachment faults: Solid-Block Rotation and Apparent Unbending</t>
  </si>
  <si>
    <t>GEOCHEMISTRY GEOPHYSICS GEOSYSTEMS</t>
  </si>
  <si>
    <t>CORE COMPLEXES; SEA-FLOOR; ANGLE; EVOLUTION; MEGAMULLIONS; INTEGRATION; EXTENSION; ACCURACY; ZONES; RIDGE</t>
  </si>
  <si>
    <t>Seafloor spreading at slow rates can be accommodated on large-offset oceanic detachment faults (ODFs), that exhume lower crustal and mantle rocks in footwall domes termed oceanic core complexes (OCCs). Footwall rocks experience large rotation during exhumation, yet important aspects of the kinematics-particularly the relative roles of solid-block rotation and flexure-are not clearly understood. Using a high-resolution numerical model, we explore the exhumation kinematics in the footwall beneath an emergent ODF/OCC. A key feature of the models is that footwall motion is dominated by solid-block rotation, accommodated by the nonplanar, concave-down fault interface. A consequence is that curvature measured along the ODF is representative of a neutral stress configuration, rather than a bent one. Instead, it is in the subsequent process of apparent unbending that significant flexural stresses are developed in the model footwall. The brittle strain associated with apparent unbending is produced dominantly in extension, beneath the OCC, consistent with earthquake clustering observed in the Trans-Atlantic Geotraverse at the Mid-Atlantic Ridge.</t>
  </si>
  <si>
    <t>[Sandiford, Dan; Whittaker, Joanne M.] Univ Tasmania, Inst Marine &amp; Antarctic Studies, Hobart, Tas, Australia; [Sandiford, Dan; Brune, Sascha; Glerum, Anne] German Res Ctr Geosci GFZ, Helmholtz Ctr Potsdam, Potsdam, Germany; [Brune, Sascha] Univ Potsdam, Inst Geosci, Potsdam, Germany; [Naliboff, John] New Mexico Inst Min &amp; Technol, Dept Earth &amp; Environm Sci, Socorro, NM USA</t>
  </si>
  <si>
    <t>University of Tasmania; Helmholtz Association; Helmholtz-Center Potsdam GFZ German Research Center for Geosciences; University of Potsdam; New Mexico Institute of Mining Technology</t>
  </si>
  <si>
    <t>Sandiford, D (corresponding author), Univ Tasmania, Inst Marine &amp; Antarctic Studies, Hobart, Tas, Australia.;Sandiford, D (corresponding author), German Res Ctr Geosci GFZ, Helmholtz Ctr Potsdam, Potsdam, Germany.</t>
  </si>
  <si>
    <t>dan.sandiford@utas.edu.au</t>
  </si>
  <si>
    <t>; Naliboff, John/D-8160-2016; Whittaker, Joanne/B-3695-2010</t>
  </si>
  <si>
    <t>Glerum, Anne/0000-0002-9481-1749; Sandiford, Dan/0000-0002-2207-6837; Naliboff, John/0000-0002-5697-7203; Brune, Sascha/0000-0003-4985-1810; Whittaker, Joanne/0000-0002-3170-3935</t>
  </si>
  <si>
    <t>Australian Research Council [DP180102280]; Helmholtz Young Investigators Group CRYSTALS [VH-NG-1132]; North-German Supercomputing Alliance (HLRN)</t>
  </si>
  <si>
    <t>Australian Research Council(Australian Research Council); Helmholtz Young Investigators Group CRYSTALS; North-German Supercomputing Alliance (HLRN)</t>
  </si>
  <si>
    <t>Figures were created using Pyvista, a Python interface for the Visualization Toolkit (VTK) (Sullivan &amp; Kaszynski, 2019). Dan Sandiford, Sascha Brune, and Joanne M. Whittaker were supported by Australian Research Council Grant DP180102280. Anne Glerum was supported by the Helmholtz Young Investigators Group CRYSTALS (Grant No. VH-NG-1132). We thank Jean-Arthur Olive and Garrett Ito for their constructive reviews of the paper. The work was supported by the North-German Supercomputing Alliance (HLRN). Dan would like to acknowledge Mike Sandiford for his enthusiasm and support; congratulations on a wonderful innings Mike!</t>
  </si>
  <si>
    <t>1525-2027</t>
  </si>
  <si>
    <t>GEOCHEM GEOPHY GEOSY</t>
  </si>
  <si>
    <t>Geochem. Geophys. Geosyst.</t>
  </si>
  <si>
    <t>e2021GC009681</t>
  </si>
  <si>
    <t>10.1029/2021GC009681</t>
  </si>
  <si>
    <t>RS7GG</t>
  </si>
  <si>
    <t>WOS:000643942600028</t>
  </si>
  <si>
    <t>Whalen, CB</t>
  </si>
  <si>
    <t>Whalen, Caitlin B.</t>
  </si>
  <si>
    <t>Best Practices for Comparing Ocean Turbulence Measurements across Spatiotemporal Scales</t>
  </si>
  <si>
    <t>JOURNAL OF ATMOSPHERIC AND OCEANIC TECHNOLOGY</t>
  </si>
  <si>
    <t>Mixing; In situ oceanic observations; Sampling</t>
  </si>
  <si>
    <t>ANTARCTIC CIRCUMPOLAR CURRENT; FINESCALE PARAMETERIZATIONS; ROUGH TOPOGRAPHY; DISSIPATION; SHEAR; ENERGY</t>
  </si>
  <si>
    <t>The turbulent energy dissipation rate in the ocean can be measured by using rapidly sampling microstructure shear probes, or by applying a finescale parameterization to coarser-resolution density and/or shear profiles. The two techniques require measurements that are on different spatiotemporal scales and generate dissipation rate estimates that also differ in spatiotemporal scale. Since the distribution of the measured energy dissipation rate is closer to lognormal than normal and fluctuates with the strength of the turbulence, averaging the two approaches on equivalent spatiotemporal scales is critical for accurately comparing the two methods. Here, microstructure data from the 1997 Brazil Basin Tracer Release Experiment (BBTRE) is used to demonstrate that comparing averages of the dissipation rate on different spatiotemporal scales can generate spurious discrepancies of up to a factor of order 10 in regions of strong turbulence and smaller biases of up to a factor of 2 in the presence of weaker turbulence. SIGNIFICANCE STATEMENT: Ocean turbulence is more commonly weak than strong. This implies that measurements of ocean turbulence that are made over small time and length scales will measure weak turbulence more often than those that measure turbulence averaged over a large area and a long time. Therefore, comparing the two measurement methods can lead to a mismatch that is due to the statistics of turbulence opposed to inherent differences in the methods. While it is important for oceanographers to compare different measurement methods, care needs to be taken to ensure that equivalent quantities are being compared. This note is important since it explains a key consideration necessary for accurately comparing ocean turbulence measurements.</t>
  </si>
  <si>
    <t>[Whalen, Caitlin B.] Univ Washington, Appl Phys Lab, Seattle, WA 98105 USA</t>
  </si>
  <si>
    <t>University of Washington; University of Washington Seattle</t>
  </si>
  <si>
    <t>Whalen, CB (corresponding author), Univ Washington, Appl Phys Lab, Seattle, WA 98105 USA.</t>
  </si>
  <si>
    <t>cbwhalen@uw.edu</t>
  </si>
  <si>
    <t>National Science Foundation [OCE-1923558]</t>
  </si>
  <si>
    <t>National Science Foundation(National Science Foundation (NSF))</t>
  </si>
  <si>
    <t>This work was supported by National Science Foundation Award OCE-1923558. The author thanks Stephanie Waterman, Jennifer MacKinnon, and Eric Kunze for helpful comments on an early version of the manuscript. The author also thanks two reviewers for their useful feedback.</t>
  </si>
  <si>
    <t>0739-0572</t>
  </si>
  <si>
    <t>1520-0426</t>
  </si>
  <si>
    <t>J ATMOS OCEAN TECH</t>
  </si>
  <si>
    <t>J. Atmos. Ocean. Technol.</t>
  </si>
  <si>
    <t>10.1175/JTECH-D-20-0175.1</t>
  </si>
  <si>
    <t>Engineering, Ocean; Meteorology &amp; Atmospheric Sciences</t>
  </si>
  <si>
    <t>Engineering; Meteorology &amp; Atmospheric Sciences</t>
  </si>
  <si>
    <t>RT0KM</t>
  </si>
  <si>
    <t>WOS:000644157500010</t>
  </si>
  <si>
    <t>Bodart, JA; Bingham, RG; Ashmore, DW; Karlsson, NB; Hein, AS; Vaughan, DG</t>
  </si>
  <si>
    <t>Bodart, J. A.; Bingham, R. G.; Ashmore, D. W.; Karlsson, N. B.; Hein, A. S.; Vaughan, D. G.</t>
  </si>
  <si>
    <t>Age-Depth Stratigraphy of Pine Island Glacier Inferred From Airborne Radar and Ice-Core Chronology</t>
  </si>
  <si>
    <t>JOURNAL OF GEOPHYSICAL RESEARCH-EARTH SURFACE</t>
  </si>
  <si>
    <t>Englacial stratigraphy; Holocene; ice‐ penetrating radar; Pine Island Glacier; Thwaites Glacier; West Antarctica</t>
  </si>
  <si>
    <t>SURFACE MASS-BALANCE; AMUNDSEN SEA EMBAYMENT; GROUNDING-LINE RETREAT; WEST ANTARCTICA; DOME C; WD2014 CHRONOLOGY; MAUD-LAND; SHEET; ACCUMULATION; CLIMATE</t>
  </si>
  <si>
    <t>Understanding the contribution of the West Antarctic Ice Sheet (WAIS) to past and future sea level has been a major scientific priority over the last three decades. In recent years, observed thinning and ice-flow acceleration of the marine-based Pine Island Glacier has highlighted that understanding dynamic changes is critical to predicting the long-term stability of the WAIS. However, relatively little is known about the evolution of the catchment during the Holocene. Internal reflecting horizons (IRHs) provide a cumulative record of accumulation, basal melt, and ice dynamics that, if dated, can be used to constrain ice-flow models. Here, we use airborne radars to trace four spatially extensive IRHs deposited in the late Quaternary across the Pine Island Glacier catchment. We use the WAIS Divide ice-core chronology to assign ages to three IRHs: 4.72 +/- 0.28, 6.94 +/- 0.31, and 16.50 +/- 0.79 ka. We use a 1-D model, constrained by observational and modeled accumulation rates, to produce an independent validation of our ice-core-derived ages and provide an age estimate for our shallowest IRH (2.31-2.92 ka). We find that our upper three IRHs correspond to three large peaks in sulfate concentrations in the WAIS Divide ice-core record and hypothesize that the origin of these spatially extensive IRHs is from past volcanic activity. The clear correspondence between our IRHs and the ones previously identified over the Weddell Sea Sector, altogether representing similar to 20% of the WAIS, indicates that a unique set of stratigraphic markers spanning the Holocene exists over a large part of West Antarctica.</t>
  </si>
  <si>
    <t>[Bodart, J. A.; Bingham, R. G.; Hein, A. S.] Univ Edinburgh, Sch GeoSci, Edinburgh, Midlothian, Scotland; [Ashmore, D. W.] Univ Liverpool, Sch Environm Sci, Liverpool, Merseyside, England; [Karlsson, N. B.] Geol Survey Denmark &amp; Greenland, Copenhagen, Denmark; [Bodart, J. A.; Vaughan, D. G.] British Antarctic Survey, Cambridge, England</t>
  </si>
  <si>
    <t>University of Edinburgh; University of Liverpool; Geological Survey Of Denmark &amp; Greenland; UK Research &amp; Innovation (UKRI); Natural Environment Research Council (NERC); NERC British Antarctic Survey</t>
  </si>
  <si>
    <t>Bodart, JA (corresponding author), Univ Edinburgh, Sch GeoSci, Edinburgh, Midlothian, Scotland.;Bodart, JA (corresponding author), British Antarctic Survey, Cambridge, England.</t>
  </si>
  <si>
    <t>julien.bodart@ed.ac.uk</t>
  </si>
  <si>
    <t>Bingham, Robert G/G-3576-2017; Karlsson, Nanna Bjørnholt/G-4621-2018; Hein, Andrew/JWO-3756-2024; Vaughan, David/C-8348-2011; Karlsson, Nanna B./M-4519-2014</t>
  </si>
  <si>
    <t>Karlsson, Nanna B./0000-0003-0423-8705; Hein, Andrew/0000-0003-3397-3813; Ashmore, David/0000-0003-4829-7854; Bodart, Dr Julien A/0000-0002-8237-0675</t>
  </si>
  <si>
    <t>NERC Doctoral Training Partnership grant [NE/L002558/1]; NERC [NE/S006613/1] Funding Source: UKRI</t>
  </si>
  <si>
    <t>NERC Doctoral Training Partnership grant(UK Research &amp; Innovation (UKRI)Natural Environment Research Council (NERC)); NERC(UK Research &amp; Innovation (UKRI)Natural Environment Research Council (NERC))</t>
  </si>
  <si>
    <t>This study was motivated by the AntArchitecture Action Group of the Scientific Committee for Antarctic Research (SCAR). J. A. Bodart was supported by the NERC Doctoral Training Partnership grant (NE/L002558/1), hosted in the Edinburgh E3 DTP program. The authors would like to thank the reviewers, Marie Cavitte and T. J. Fudge, for their constructive suggestions, which greatly improved this manuscript. The authors thank the BAS scientists and logistics personnel for acquiring the PASIN data over Pine Island Glacier, which will be made fully available upon publication from the Polar Airborne Geophysics Data Portal of the UK Polar Data Center (https://secure.antarctica.ac.uk/data/aerogeo/).The authors also thank CReSIS for acquiring and providing the processed MCoRDS2 data, which can be downloaded from the OIB data portal (https://data.cresis.ku.edu/).The authors thank Brooke Medley and Howard Conway for providing the airborne and ground snow accumulation products.</t>
  </si>
  <si>
    <t>2169-9003</t>
  </si>
  <si>
    <t>2169-9011</t>
  </si>
  <si>
    <t>J GEOPHYS RES-EARTH</t>
  </si>
  <si>
    <t>J. Geophys. Res.-Earth Surf.</t>
  </si>
  <si>
    <t>e2020JF005927</t>
  </si>
  <si>
    <t>10.1029/2020JF005927</t>
  </si>
  <si>
    <t>RU2TF</t>
  </si>
  <si>
    <t>WOS:000645002100014</t>
  </si>
  <si>
    <t>Kim, S; Polyak, L; Joe, YJ; Niessen, F; Kim, HJ; Choi, Y; Kang, SG; Hong, JK; Nam, SI; Jin, YK</t>
  </si>
  <si>
    <t>Kim, Sookwan; Polyak, Leonid; Joe, Young Jin; Niessen, Frank; Kim, Hyoung Jun; Choi, Yeonjin; Kang, Seung-Goo; Hong, Jong Kuk; Nam, Seung-Il; Jin, Young Keun</t>
  </si>
  <si>
    <t>Seismostratigraphic and Geomorphic Evidence for the Glacial History of the Northwestern Chukchi Margin, Arctic Ocean</t>
  </si>
  <si>
    <t>Arctic Ocean; Chukchi Rise; glaciogenic sedimentary processes; ice‐ sheet dynamics; morphobathymetry; seismostratigraphy</t>
  </si>
  <si>
    <t>ANTARCTIC ICE-SHEET; TROUGH MOUTH FANS; NORTH-ATLANTIC MARGINS; SEA-LEVEL HISTORY; PINE ISLAND BAY; CONTINENTAL-SLOPE; SEDIMENTARY PROCESSES; LATE PLEISTOCENE; SEISMIC STRATIGRAPHY; ROSS SEA</t>
  </si>
  <si>
    <t>High-resolution seafloor mapping provides insights into the dynamics of past ice sheets/ice shelves on high-latitude continental margins. Geological/geophysical studies in the Arctic Ocean suggest widespread Pleistocene ice grounding on the Chukchi-East Siberian continental margin. However, flow directions, timing, and behavior of these ice masses are not yet clear due to insufficient data. We present a combined seismostratigraphic and morphobathymetric analysis of the Chukchi Rise off the northwestern Chukchi margin using the densely acquired subbottom profiler (SBP) and multibeam echosounder (MBES) data. Comparison with deeper airgun seismic records shows that the SBP data cover most of the glaciogenic stratigraphy possibly spanning ca. 0.5-1 Ma. Based on the stratigraphic distribution and geometry of acoustically transparent glaciogenic diamictons, the lateral and vertical extent of southern-sourced grounded ice became smaller over time. The older deposits are abundant as debris lobes on the slope contributing to a large trough mouth fan, whereas younger grounding-zone wedges are found at shallower depths. MBES data show two sets of mega-scale lineations indicating at least two fast ice-streaming events of different ages. Contour-parallel recessional morainic ridges mark a stepwise retreat of the grounded ice margin, likely controlled by rising sea levels during deglaciation(s). The different inferred advance and retreat directions of the southern-sourced ice reflect complex geomorphic settings. The overall picture shows that the Chukchi Rise was an area where different ice streams had complex interactions. In addition to glaciogenic deposits, we identify a number of related or preceding seabed features including mounds, gullies/channels, and sediment waves.</t>
  </si>
  <si>
    <t>[Kim, Sookwan; Joe, Young Jin; Kim, Hyoung Jun; Choi, Yeonjin; Kang, Seung-Goo; Hong, Jong Kuk; Nam, Seung-Il; Jin, Young Keun] Korea Polar Res Inst, Div Earth Sci, Div Glacial Environm Res, Dept Future Technol Convergence, Incheon, South Korea; [Polyak, Leonid] Ohio State Univ, Byrd Polar &amp; Climate Res Ctr, Columbus, OH 43210 USA; [Joe, Young Jin] Jeju Natl Univ, Dept Earth &amp; Marine Sci, Jeju, South Korea; [Niessen, Frank] Helmholtz Ctr Polar &amp; Marine Res, Alfred Wegener Inst AWI, Bremerhaven, Germany; [Choi, Yeonjin] Korea Maritime &amp; Ocean Univ, Dept Ocean Energy &amp; Resources Engn, Busan, South Korea</t>
  </si>
  <si>
    <t>Korea Polar Research Institute (KOPRI); University System of Ohio; Ohio State University; Jeju National University; Helmholtz Association; Alfred Wegener Institute, Helmholtz Centre for Polar &amp; Marine Research; Korea Maritime &amp; Ocean University</t>
  </si>
  <si>
    <t>Kim, S; Jin, YK (corresponding author), Korea Polar Res Inst, Div Earth Sci, Div Glacial Environm Res, Dept Future Technol Convergence, Incheon, South Korea.</t>
  </si>
  <si>
    <t>skwan@kopri.re.kr; ykjin@kopri.re.kr</t>
  </si>
  <si>
    <t>Kim, Sookwan/JJD-3241-2023</t>
  </si>
  <si>
    <t>Kim, Sookwan/0000-0001-9960-2295; Choi, Yeonjin/0000-0001-5453-9691; Polyak, Leonid/0000-0002-9633-5352; Jin, Young Keun/0000-0003-3511-0464; Kang, Seung-Goo/0000-0001-6532-3482</t>
  </si>
  <si>
    <t>Korea Polar Research Institute (KOPRI) [PM20050, 20160247]; KOPRI grant [PE20350]; AWI Research Program PACES-II; SeisWare Inc.</t>
  </si>
  <si>
    <t>Korea Polar Research Institute (KOPRI)(Korea Polar Research Institute of Marine Research Placement (KOPRI)); KOPRI grant(Korea Polar Research Institute of Marine Research Placement (KOPRI)); AWI Research Program PACES-II; SeisWare Inc.</t>
  </si>
  <si>
    <t>The authors are grateful to the captain and crew of the IBRV Araon for their help provided during the Arctic expeditions since 2012. This work was supported by the Korea Polar Research Institute (KOPRI) grant PM20050 (KIMST grant 20160247). Y. J. Joe and S.-I. Nam acknowledge funding from the KOPRI grant PE20350. F. Niessen was funded by the AWI Research Program PACES-II, Workpackages 3.1 and 3.2. We thank SeisWare Inc. for the academic grant program for using the software for seismostratigraphic analysis and mapping. The authors thank two anonymous reviewers for providing many helpful comments and suggestions for improving the manuscript.</t>
  </si>
  <si>
    <t>e2020JF006030</t>
  </si>
  <si>
    <t>10.1029/2020JF006030</t>
  </si>
  <si>
    <t>WOS:000645002100012</t>
  </si>
  <si>
    <t>Sandhu, JK; Rae, IJ; Wygant, JR; Breneman, AW; Tian, S; Watt, CEJ; Horne, RB; Ozeke, LG; Georgiou, M; Walach, MT</t>
  </si>
  <si>
    <t>Sandhu, J. K.; Rae, I. J.; Wygant, J. R.; Breneman, A. W.; Tian, S.; Watt, C. E. J.; Horne, R. B.; Ozeke, L. G.; Georgiou, M.; Walach, M-T</t>
  </si>
  <si>
    <t>ULF Wave Driven Radial Diffusion During Geomagnetic Storms: A Statistical Analysis of Van Allen Probes Observations</t>
  </si>
  <si>
    <t>JOURNAL OF GEOPHYSICAL RESEARCH-SPACE PHYSICS</t>
  </si>
  <si>
    <t>Geomagnetic Storms; outer radiation belt; radial diffusion; ULF waves; Van Allen probes</t>
  </si>
  <si>
    <t>PERIOD MAGNETIC PULSATIONS; FIELD LINE RESONANCES; DAWN-DUSK ASYMMETRY; INNER MAGNETOSPHERE; BELT ELECTRONS; VANALLEN RADIATION; SPACE WEATHER; ACCELERATION; EXCITATION; DYNAMICS</t>
  </si>
  <si>
    <t>The impact of radial diffusion in storm time radiation belt dynamics is well-debated. In this study we quantify the changes and variability in radial diffusion coefficients during geomagnetic storms. A statistical analysis of Van Allen Probes data (2012-2019) is conducted to obtain measurements of the magnetic and electric power spectral densities for Ultra Low Frequency (ULF) waves, and corresponding radial diffusion coefficients. The results show global wave power enhancements occur during the storm main phase, and continue into the recovery phase. Local time asymmetries show sources of wave power are both external solar wind driving and internal sources from coupling with ring current ions and substorms. Wave power enhancements are also observed at low L values (L &lt; 4). The accessibility of wave power to low L is attributed to a depression of the Alfven continuum. The increased wave power drives enhancements in both the magnetic and electric field diffusion coefficients by more than an order of magnitude. Significant variability in diffusion coefficients is observed, with values ranging over several orders of magnitude. A comparison to the Kp parameterized empirical model of Ozeke et al. (2014) is conducted and indicates important differences during storm times. Although the electric field diffusion coefficient is relatively well described by the empirical model, the magnetic field diffusion coefficient is approximately similar to 10 times larger than predicted. We discuss how differences could be attributed to data set limitations and assumptions. Alternative storm-time radial diffusion coefficients are provided as a function of L* and storm phase.</t>
  </si>
  <si>
    <t>[Sandhu, J. K.; Rae, I. J.; Watt, C. E. J.] Northumbria Univ, Newcastle Upon Tyne, Tyne &amp; Wear, England; [Wygant, J. R.; Tian, S.] Univ Minnesota, Sch Phys &amp; Astron, Minneapolis, MN 55455 USA; [Breneman, A. W.] NASA, Goddard Space Flight Ctr, ITM Phys Lab, Greenbelt, MD USA; [Horne, R. B.] British Antarctic Survey, Cambridge, England; [Ozeke, L. G.] Univ Alberta, Dept Phys, Edmonton, AB, Canada; [Georgiou, M.] Natl &amp; Kapodistrian Univ Athens, Zografos, Greece; [Walach, M-T] Univ Lancaster, Lancaster, England</t>
  </si>
  <si>
    <t>Northumbria University; University of Minnesota System; University of Minnesota Twin Cities; National Aeronautics &amp; Space Administration (NASA); NASA Goddard Space Flight Center; UK Research &amp; Innovation (UKRI); Natural Environment Research Council (NERC); NERC British Antarctic Survey; University of Alberta; National &amp; Kapodistrian University of Athens; Lancaster University</t>
  </si>
  <si>
    <t>Sandhu, JK (corresponding author), Northumbria Univ, Newcastle Upon Tyne, Tyne &amp; Wear, England.</t>
  </si>
  <si>
    <t>jasmine.k.sandhu@northumbria.ac.uk</t>
  </si>
  <si>
    <t>Walach, Maria-Theresia/AAB-1833-2020; Horne, Richard B/U-3764-2019; Rae, Jonathan/D-8132-2013; Sandhu, Jasmine/AAM-9919-2021; Watt, Clare/C-5218-2008</t>
  </si>
  <si>
    <t>Walach, Maria-Theresia/0000-0002-9352-0659; Horne, Richard B/0000-0002-0412-6407; Rae, Jonathan/0000-0002-2637-4786; Sandhu, Jasmine/0000-0001-6089-426X; Watt, Clare/0000-0003-3193-8993; Georgiou, Marina/0000-0001-6480-345X</t>
  </si>
  <si>
    <t>NERC [NE/P017274/1, NE/V002759/2, NE/P01738X/1, NE/P017185/2, NE/V002554/2]; STFC [ST/R000921/1]; Natural Environments Research Council [NE/P001556/1, NE/T000937/1]; JHU/APL [922613]; NERC [NE/P01738X/1, NE/P017185/1, NE/P001556/1, NE/T000937/1] Funding Source: UKRI; SPF [NE/V002554/1] Funding Source: UKRI</t>
  </si>
  <si>
    <t>NERC(UK Research &amp; Innovation (UKRI)Natural Environment Research Council (NERC)); STFC(UK Research &amp; Innovation (UKRI)Science &amp; Technology Facilities Council (STFC)); Natural Environments Research Council; JHU/APL; NERC(UK Research &amp; Innovation (UKRI)Natural Environment Research Council (NERC)); SPF</t>
  </si>
  <si>
    <t>J. K. Sandhu was supported by NERC Grants NE/P017185/2 and NE/V002554/2. I. J. Rae was supported by NERC Grants NE/P017185/2 and NE/V002554/2. C. E. J. Watt was supported by STFC grant ST/R000921/1 and NERC grants NE/P017274/1 and NE/V002759/2. R. B. Horne was supported by Highlight Topic Grant NE/P01738X/1 (Rad-Sat). M.-T. Walach was supported by Natural Environments Research Council grants NE/P001556/1 and NE/T000937/1. The authors thank the EMFISIS instrument team for data provision. The authors thank the EFW team for data provision and the work by the EFW team was conducted under JHU/APL contract 922613 (RBSP-EFW).</t>
  </si>
  <si>
    <t>2169-9380</t>
  </si>
  <si>
    <t>2169-9402</t>
  </si>
  <si>
    <t>J GEOPHYS RES-SPACE</t>
  </si>
  <si>
    <t>J. Geophys. Res-Space Phys.</t>
  </si>
  <si>
    <t>e2020JA029024</t>
  </si>
  <si>
    <t>10.1029/2020JA029024</t>
  </si>
  <si>
    <t>Astronomy &amp; Astrophysics</t>
  </si>
  <si>
    <t>RU2TO</t>
  </si>
  <si>
    <t>WOS:000645003000039</t>
  </si>
  <si>
    <t>Similä, M; Usoskin, I; Poluianov, S; Mishev, A; Kovaltsov, GA; Strauss, D</t>
  </si>
  <si>
    <t>Simila, Markus; Usoskin, Ilya; Poluianov, Stepan; Mishev, Alexander; Kovaltsov, Gennady A.; Strauss, Du Toit</t>
  </si>
  <si>
    <t>High-Altitude Polar NM With the New DAQ System as a Tool to Study Details of the Cosmic-Ray Induced Nucleonic Cascade</t>
  </si>
  <si>
    <t>NEUTRON MONITOR RESPONSE; YIELD FUNCTION; MODULATION; SIMULATION; DETECTORS; STATION; FLUX</t>
  </si>
  <si>
    <t>A neutron monitor (NM) is, since the 1950s, a standard ground-based detector whose count rate reflects cosmic-ray variability. The worldwide network of NMs forms a rough spectrometer for cosmic rays. Recently, a brand-new data-acquisition (DAQ) system has been installed on the DOMC and DOMB NMs, located at the Concordia research station on the Central Antarctic plateau. The new DAQ system digitizes, at a 2-MHz sampling rate, and records all individual pulses corresponding to secondary particles in the detector. An analysis of the pulse characteristics (viz. shape, magnitude, duration, waiting time) has been performed, and several clearly distinguishable branches were identified: (A) corresponding to signal from individual secondary neutrons; (B) representing the detector's noise; (C) double pulses corresponding to the shortly separated nucleons of the same atmospheric cascades; (D) very-high multiple pulses which are likely caused by atmospheric muons; and (E) double pulses potentially caused by contamination of the neighboring detector. An analysis of the waiting-time distributions has revealed two clearly distinguishable peaks: peak (I) at about 1 ms being related to the intracascade diffusion and thermalization of secondary atmospheric neutrons; and peak (II) at 30-1,000 ms corresponding to individual atmospheric cascades. This opens a new possibility to study spectra of cosmic-ray particles in a single location as well as details of the cosmic-ray induced atmospheric cascades, using the same data set.</t>
  </si>
  <si>
    <t>[Simila, Markus; Usoskin, Ilya; Poluianov, Stepan; Mishev, Alexander] Univ Oulu, Space Phys &amp; Astron Res Unit, Oulu, Finland; [Simila, Markus; Usoskin, Ilya; Poluianov, Stepan; Mishev, Alexander] Univ Oulu, Sodankyla Geophys Observ, St Petersburg, Russia; [Kovaltsov, Gennady A.] Ioffe Phys Tech Inst RAS, St Petersburg, Russia; [Strauss, Du Toit] North West Univ, Ctr Space Res, Potchefstroom, South Africa</t>
  </si>
  <si>
    <t>University of Oulu; Russian Academy of Sciences; St. Petersburg Scientific Centre of the Russian Academy of Sciences; Ioffe Physical Technical Institute; North West University - South Africa</t>
  </si>
  <si>
    <t>Usoskin, I (corresponding author), Univ Oulu, Space Phys &amp; Astron Res Unit, Oulu, Finland.;Usoskin, I (corresponding author), Univ Oulu, Sodankyla Geophys Observ, St Petersburg, Russia.</t>
  </si>
  <si>
    <t>ilya.usoskin@oulu.fi</t>
  </si>
  <si>
    <t>Usoskin, Ilya/E-5089-2014</t>
  </si>
  <si>
    <t>Usoskin, Ilya/0000-0001-8227-9081</t>
  </si>
  <si>
    <t>Italian polar program PNRA [2015/AC3, OSS-06]; Academy of Finland [304435, 321882, 330064, HEAIM-2 330427]; Finnish Antarctic Research Program (FINNARP); Academy of Finland (AKA) [304435, 330064] Funding Source: Academy of Finland (AKA)</t>
  </si>
  <si>
    <t>Italian polar program PNRA; Academy of Finland(Research Council of Finland); Finnish Antarctic Research Program (FINNARP); Academy of Finland (AKA)(Research Council of Finland)</t>
  </si>
  <si>
    <t>We are grateful to the personnel of Concordia station hosting the DOMC/DOMB instrumentation. Operation of DOMC/DOMB NMs is possible thanks to the hospitality of the Italian polar program PNRA (via the LTCPAA PNRA 2015/AC3 and the BSRN PNRA OSS-06 projects) and the French Polar Institute IPEV. It is supported by the Academy of Finland (projects CRIPA-X No. 304435, ESPERA No. 321882, QUASARE 330064, HEAIM-2 330427), and Finnish Antarctic Research Program (FINNARP).</t>
  </si>
  <si>
    <t>e2020JA028959</t>
  </si>
  <si>
    <t>10.1029/2020JA028959</t>
  </si>
  <si>
    <t>WOS:000645003000052</t>
  </si>
  <si>
    <t>Stepanov, NA; Sergeev, VA; Sormakov, DA; Andreeva, VA; Dubyagin, SV; Ganushkina, N; Angelopoulos, V; Runov, AV</t>
  </si>
  <si>
    <t>Stepanov, N. A.; Sergeev, V. A.; Sormakov, D. A.; Andreeva, V. A.; Dubyagin, S., V; Ganushkina, N.; Angelopoulos, V; Runov, A., V</t>
  </si>
  <si>
    <t>Superthermal Proton and Electron Fluxes in the Plasma Sheet Transition Region and Their Dependence on Solar Wind Parameters</t>
  </si>
  <si>
    <t>energetic particles; magnetotail; plasma sheet; solar wind dependence</t>
  </si>
  <si>
    <t>GEOSTATIONARY ORBIT; ENERGETIC OXYGEN; MODEL; ACCELERATION; TEMPERATURE; SUBSTORMS; HYDROGEN; DRIVEN; SEED</t>
  </si>
  <si>
    <t>To study further the factors and mechanisms controlling 10-150 keV particle fluxes in the inner magnetosphere, we investigate empirically their behavior in the nightside transition region (6-14 Re) depending on solar wind parameters taken at different time lags. We aim to establish the hierarchy of predictors (V, N, Pd, Ekl = VByz sin(2)(theta/2), etc.) and the optimal range of their time delays, both depending on the distance and local time. We use THEMIS 5-min averaged observations of energetic proton and electron fluxes in 2007-2018 near the plasma sheet midplane and build regression models exploring the combination of predictors, taken at time delays up to 24 h. The model obtained shows that protons and electrons are controlled differently by solar wind parameters: electrons are influenced equally by Vsw and Ekl, whereas protons are controlled mostly by Vsw and Pd and less by Ekl. We found that a wide range of time delays is involved depending on distance and particle energy. Specifically, the Ekl affects the energetic fluxes with time delays up to 24 h (or more), exhibiting the long delays in the innermost regions. As regards the mechanism of Vsw influence, the Vsw-related flux changes are large and, to a large extent, established on the route of the energy flow from solar wind to the plasma sheet and, eventually, the inner magnetosphere. We also identified a new parameter, NBL = VByz cos(2)(theta/2), which helps to reveal the loss processes in the plasma sheet transition region.</t>
  </si>
  <si>
    <t>[Stepanov, N. A.; Sergeev, V. A.; Andreeva, V. A.] St Petersburg State Univ, St Petersburg, Russia; [Stepanov, N. A.; Sormakov, D. A.] Arctic &amp; Antarctic Res Inst, St Petersburg, Russia; [Dubyagin, S., V] Finnish Meteorol Inst, Helsinki, Finland; [Ganushkina, N.] Univ Michigan, Dept Climate &amp; Space Sci &amp; Engn, Ann Arbor, MI 48109 USA; [Angelopoulos, V; Runov, A., V] Univ Calif Los Angeles, Los Angeles, CA USA</t>
  </si>
  <si>
    <t>Saint Petersburg State University; Arctic &amp; Antarctic Research Institute; Finnish Meteorological Institute; University of Michigan System; University of Michigan; University of California System; University of California Los Angeles</t>
  </si>
  <si>
    <t>Stepanov, NA (corresponding author), St Petersburg State Univ, St Petersburg, Russia.;Stepanov, NA (corresponding author), Arctic &amp; Antarctic Res Inst, St Petersburg, Russia.</t>
  </si>
  <si>
    <t>nikitasa@aari.ru</t>
  </si>
  <si>
    <t>Andreeva, Varvara/AAH-5616-2021; Andreeva, Varvara A./E-7414-2019; Sergeev, Victor A/H-1173-2013; Никита, Степанов/AAB-8570-2022; Sormakov, Dmitry/K-1695-2014; Ganushkina, Natalia/K-6314-2013</t>
  </si>
  <si>
    <t>Andreeva, Varvara/0000-0001-7714-5329; Sergeev, Victor A/0000-0002-4569-9631; Никита, Степанов/0000-0003-0014-5886; Sormakov, Dmitry/0000-0003-2829-5982; Ganushkina, Natalia/0000-0002-9259-850X; Angelopoulos, Vassilis/0000-0001-7024-1561</t>
  </si>
  <si>
    <t>Russian Foundation of Basic Research [19-05-00072]; RFBR [19-35-90054]; Finnish Center of Excellence in Research of Sustainable Space (Academy of Finland) [312351312390]; Academy of Finland; National Aeronautics and Space Administration [NNX17AI48G, 80NSSC20K0353]</t>
  </si>
  <si>
    <t>Russian Foundation of Basic Research(Russian Foundation for Basic Research (RFBR)); RFBR(Russian Foundation for Basic Research (RFBR)); Finnish Center of Excellence in Research of Sustainable Space (Academy of Finland); Academy of Finland(Research Council of Finland); National Aeronautics and Space Administration(National Aeronautics &amp; Space Administration (NASA))</t>
  </si>
  <si>
    <t>The Russian Foundation of Basic Research supported the work by V.A.S. and D.A.S. by the grant 19-05-00072. The work by N.A.S. was supported by RFBR 19-35-90054 grant. The work by S.V.D. has been carried out in the Finnish Center of Excellence in Research of Sustainable Space (Academy of Finland grant number 312351312390), which he gratefully acknowledges. N.G. thanks the Academy of Finland for the support of the Space Cooperation in the Science and Technology Commission between Finland and Russia (TT/AVA). The work of N.G. in Michigan was partly supported by the National Aeronautics and Space Administration under grant agreements no. NNX17AI48G and 80NSSC20K0353 issued through ROSES-2016 and ROSES-2018 programs, respectively.</t>
  </si>
  <si>
    <t>e2020JA028580</t>
  </si>
  <si>
    <t>10.1029/2020JA028580</t>
  </si>
  <si>
    <t>WOS:000645003000023</t>
  </si>
  <si>
    <t>Thomson, NR; Clilverd, MA; Brundell, JB; Rodger, CJ</t>
  </si>
  <si>
    <t>Thomson, Neil R.; Clilverd, Mark A.; Brundell, James B.; Rodger, Craig J.</t>
  </si>
  <si>
    <t>Quiet Night Arctic Ionospheric D Region Characteristics</t>
  </si>
  <si>
    <t>energetic electron precipitation; galactic cosmic rays; geocoronal Lyman‐ alpha; polar night D‐ region electron density; polar night D‐ region height and sharpness; VLF propagation</t>
  </si>
  <si>
    <t>VLF; PLASMA; MODEL</t>
  </si>
  <si>
    <t>VLF radio propagation recordings are used to determine the characteristics of the nighttime polar lower D region of the ionosphere. Recordings of both VLF phase and amplitude in the Arctic on days within similar to 1-2 weeks of the equinoxes enable their day-to-night changes to be determined. These changes are then combined with previously measured daytime polar D region characteristics to find the nighttime characteristics. The previously determined daytime characteristics were measured in the Arctic summer; the NRLMSISE atmosphere model is used to help determine the height change from daytime summer to daytime equinox (similar to 5 km lower). The principal path used was from the 16.4 kHz Norwegian transmitter JXN (67 degrees N, 14 degrees E) 1,334 km northwards across the Arctic Ocean to Ny-angstrom lesund (79 degrees N, 12 degrees E), Svalbard. Also used were the 2,014-km path from NRK (37.5 kHz, Grindavik, 64 degrees N, Iceland) to Ny-angstrom lesund, the 1,655-km path from JXN to Reykjavik (64 degrees N, Iceland), and the 5,302-km path from JXN across the Arctic Ocean to Fairbanks (65 degrees N) in Alaska. The night values of (the Wait parameters) H ' and beta were found to average from similar to 79 km at equinox down to 77 km near winter solstice (lower than the 85 km at low and midlatitudes by similar to 7 km) and 0.6 km(-1), respectively. This lower height and its variability are shown to be consistent with the principal source of ionization being energetic electron precipitation.</t>
  </si>
  <si>
    <t>[Thomson, Neil R.; Brundell, James B.; Rodger, Craig J.] Univ Otago, Phys Dept, Dunedin, New Zealand; [Clilverd, Mark A.] British Antarctic Survey UKRI NERC, Cambridge, England</t>
  </si>
  <si>
    <t>University of Otago; UK Research &amp; Innovation (UKRI); Natural Environment Research Council (NERC); NERC British Antarctic Survey</t>
  </si>
  <si>
    <t>Thomson, NR (corresponding author), Univ Otago, Phys Dept, Dunedin, New Zealand.</t>
  </si>
  <si>
    <t>thomsoneil@gmail.com</t>
  </si>
  <si>
    <t>Rodger, Craig/A-1501-2011; Brundell, James/F-3196-2013</t>
  </si>
  <si>
    <t>Brundell, James/0000-0002-8753-4720; Rodger, Craig J./0000-0002-6770-2707</t>
  </si>
  <si>
    <t>UK Research and Innovation (UKRI-NERC) through National Capability-Space Weather Observatory</t>
  </si>
  <si>
    <t>The VLF observations analyzed here were supported by funding from the UK Research and Innovation (UKRI-NERC) through National Capability-Space Weather Observatory.</t>
  </si>
  <si>
    <t>e2020JA029043</t>
  </si>
  <si>
    <t>10.1029/2020JA029043</t>
  </si>
  <si>
    <t>WOS:000645003000007</t>
  </si>
  <si>
    <t>Zhao, KX; Stewart, AL; McWilliams, JC</t>
  </si>
  <si>
    <t>Zhao, Ken X.; Stewart, Andrew L.; McWilliams, James C.</t>
  </si>
  <si>
    <t>Geometric Constraints on Glacial Fjord-Shelf Exchange</t>
  </si>
  <si>
    <t>Ice shelves; Baroclinic flows; Channel flows; Coastal flows; Ocean circulation; Ocean dynamics; Idealized models</t>
  </si>
  <si>
    <t>SUBMARINE MELT; CIRCULATION; VARIABILITY; CONVECTION; RESOLUTION; DYNAMICS; RENEWAL; RETREAT; WATER</t>
  </si>
  <si>
    <t>The oceanic connections between tidewater glaciers and continental shelf waters are modulated and controlled by geometrically complex fjords. These fjords exhibit both overturning circulations and horizontal recirculations, driven by a combination of water mass transformation at the head of the fjord, variability on the continental shelf, and atmospheric forcing. However, it remains unclear which geometric and forcing parameters are the most important in exerting control on the overturning and horizontal recirculation. To address this, idealized numerical simulations are conducted using an isopycnal model of a fjord connected to a continental shelf, which is representative of regions in Greenland and the West Antarctic Peninsula. A range of sensitivity experiments demonstrate that sill height, wind direction/strength, subglacial discharge strength, and depth of offshore warm water are of first-order importance to the overturning circulation, while fjord width is also of leading importance to the horizontal recirculation. Dynamical predictions are developed and tested for the overturning circulation of the entire shelf-to-glacier-face domain, subdivided into three regions: the continental shelf extending from the open ocean to the fjord mouth, the sill overflow at the fjord mouth, and the plume-driven water mass transformation at the fjord head. A vorticity budget is also developed to predict the strength of the horizontal recirculation, which provides a scaling in terms of the overturning and bottom friction. Based on these theories, we may predict glacial melt rates that take into account overturning and recirculation, which may be used to refine estimates of ocean-driven melting of the Greenland and Antarctic ice sheets.</t>
  </si>
  <si>
    <t>[Zhao, Ken X.; Stewart, Andrew L.; McWilliams, James C.] Univ Calif Los Angeles, Dept Atmospher &amp; Ocean Sci, Los Angeles, CA 90032 USA</t>
  </si>
  <si>
    <t>University of California System; University of California Los Angeles</t>
  </si>
  <si>
    <t>Zhao, KX (corresponding author), Univ Calif Los Angeles, Dept Atmospher &amp; Ocean Sci, Los Angeles, CA 90032 USA.</t>
  </si>
  <si>
    <t>kzhao@atmos.ucla.edu</t>
  </si>
  <si>
    <t>Zhao, Ken/AAN-9890-2020</t>
  </si>
  <si>
    <t>Zhao, Ken/0000-0002-6260-4315; Stewart, Andrew/0000-0001-5861-4070</t>
  </si>
  <si>
    <t>National Science Foundation [PLR-1543388, OCE-1751386]</t>
  </si>
  <si>
    <t>The authors thank Pierre St-Laurent for allowing the use of the open source code BEOM and two anonymous reviewers for helpful comments. The model source code is available at www.nordet.net/beom.html.This material is based in part upon work supported by the National Science Foundation under Grants PLR-1543388 and OCE-1751386.</t>
  </si>
  <si>
    <t>10.1175/JPO-D-20-0091.1</t>
  </si>
  <si>
    <t>RT2FF</t>
  </si>
  <si>
    <t>WOS:000644279200015</t>
  </si>
  <si>
    <t>Barton, N; Metzger, EJ; Reynolds, CA; Ruston, B; Rowley, C; Smedstad, OM; Ridout, JA; Wallcraft, A; Frolov, S; Hogan, P; Janiga, MA; Shriver, JF; McLay, J; Thoppil, P; Huang, A; Crawford, W; Whitcomb, T; Bishop, CH; Zamudio, L; Phelps, M</t>
  </si>
  <si>
    <t>Barton, Neil; Metzger, E. Joseph; Reynolds, Carolyn A.; Ruston, Benjamin; Rowley, Clark; Smedstad, Ole Martin; Ridout, James A.; Wallcraft, Alan; Frolov, Sergey; Hogan, Patrick; Janiga, Matthew A.; Shriver, Jay F.; McLay, Justin; Thoppil, Prasad; Huang, Andrew; Crawford, William; Whitcomb, Timothy; Bishop, Craig H.; Zamudio, Luis; Phelps, Michael</t>
  </si>
  <si>
    <t>The Navy's Earth System Prediction Capability: A New Global Coupled Atmosphere-Ocean-Sea Ice Prediction System Designed for Daily to Subseasonal Forecasting</t>
  </si>
  <si>
    <t>EARTH AND SPACE SCIENCE</t>
  </si>
  <si>
    <t>coupled modeling; subseasonal forecasting; data assimilation; ensembles; MJO</t>
  </si>
  <si>
    <t>SEMI-LAGRANGIAN METHOD; MADDEN-JULIAN OSCILLATION; WESTERN NORTH PACIFIC; DATA ASSIMILATION; VERTICAL COORDINATE; NAVDAS-AR; MODEL; MJO; CONVECTION; IMPACT</t>
  </si>
  <si>
    <t>This paper describes the new global Navy Earth System Prediction Capability (Navy-ESPC) coupled atmosphere-ocean-sea ice prediction system developed at the Naval Research Laboratory (NRL) for operational forecasting for timescales of days to the subseasonal. Two configurations of the system are validated: (1) a low-resolution 16-member ensemble system and (2) a high-resolution deterministic system. The Navy-ESPC ensemble system became operational in August 2020, and this is the first time the NRL operational partner, Fleet Numerical Meteorology and Oceanography Center, will provide global coupled atmosphere-ocean-sea ice forecasts, with atmospheric forecasts extending past 16 days, and ocean and sea ice ensemble forecasts. A unique aspect of the Navy-ESPC is that the global ocean model is eddy resolving at 1/12 degrees in the ensemble and at 1/25 degrees in the deterministic configurations. The component models are current Navy operational systems: NAVy Global Environmental Model (NAVGEM) for the atmosphere, HYbrid Coordinate Ocean Model (HYCOM) for the ocean, and Community Ice CodE (CICE) for the sea ice. Physics updates to improve the simulation of equatorial phenomena, particularly the Madden-Julian Oscillation (MJO), were introduced into NAVGEM. The low-resolution ensemble configuration and high-resolution deterministic configuration are evaluated based on analyses and forecasts from January 2017 to January 2018. Navy-ESPC ensemble forecast skill for large-scale atmospheric phenomena, such as the MJO, North Atlantic Oscillation (NAO), Antarctic Oscillation (AAO), and other indices, is comparable to that of other numerical weather prediction (NWP) centers. Ensemble forecasts of ocean sea surface temperatures perform better than climatology in the tropics and midlatitudes out to 60 days. In addition, the Navy-ESPC Pan-Arctic and Pan-Antarctic sea ice extent predictions perform better than climatology out to about 45 days, although the skill is dependent on season.</t>
  </si>
  <si>
    <t>[Barton, Neil; Reynolds, Carolyn A.; Ruston, Benjamin; Ridout, James A.; Frolov, Sergey; Janiga, Matthew A.; McLay, Justin; Crawford, William; Whitcomb, Timothy] Naval Res Lab, Marine Meteorol Div, Monterey, CA 93943 USA; [Metzger, E. Joseph; Rowley, Clark; Shriver, Jay F.; Thoppil, Prasad] Naval Res Lab, Ocean Sci Div, Stennis Space Ctr, MS USA; [Smedstad, Ole Martin; Phelps, Michael] Perspecta, Stennis Space Ctr, MS USA; [Wallcraft, Alan; Zamudio, Luis] Florida State Univ, Ctr Ocean Atmospher Predict Studies, Tallahassee, FL 32306 USA; [Frolov, Sergey] Univ Colorado, Cooperat Inst Res Environm Sci CIRES, Boulder, CO 80309 USA; [Hogan, Patrick] Natl Ctr Environm Informat, NOAA, Stennis Space Ctr, MS USA; [Huang, Andrew] Sci Applicat Int Corp SAIC, Monterey, CA USA; [Bishop, Craig H.] Univ Melbourne, Sch Earth Sci, Parkville, Vic, Australia; [Bishop, Craig H.] Univ Melbourne, ARC Ctr Excellence Climate Extremes, Parkville, Vic, Australia</t>
  </si>
  <si>
    <t>United States Department of Defense; United States Navy; Naval Research Laboratory; United States Department of Defense; United States Navy; Naval Research Laboratory; State University System of Florida; Florida State University; University of Colorado System; University of Colorado Boulder; National Oceanic Atmospheric Admin (NOAA) - USA; Science Applications International Corporation (SAIC); University of Melbourne; University of Melbourne</t>
  </si>
  <si>
    <t>Barton, N (corresponding author), Naval Res Lab, Marine Meteorol Div, Monterey, CA 93943 USA.</t>
  </si>
  <si>
    <t>neil.barton@nrlmry.navy.mil</t>
  </si>
  <si>
    <t>Barton, Neil/IUM-2472-2023; Whitcomb, Tim/AGR-6264-2022; Bishop, Craig/GRX-2068-2022; Barton, Neil/F-9827-2011</t>
  </si>
  <si>
    <t>Barton, Neil/0000-0001-7603-9532; Whitcomb, Tim/0000-0002-8549-6214; Barton, Neil/0000-0001-7603-9532; Frolov, Sergey/0000-0002-9081-1979; Rowley, Clark/0000-0003-3496-6404; Reynolds, Carolyn/0000-0003-4690-4171; SMEDSTAD, OLE MARTIN/0000-0001-5423-6973</t>
  </si>
  <si>
    <t>Office of Naval Research's Earth System Prediction Capability [PE0603207N]; [OPNAV N2N6E]</t>
  </si>
  <si>
    <t>Office of Naval Research's Earth System Prediction Capability(Office of Naval Research);</t>
  </si>
  <si>
    <t>We thank the reviewers who provide detailed comments that aided in this manuscript. We thank multiple personnel that aided in Navy-ESPC model development and discussions of results. This research was sponsored by OPNAV N2N6E and the Office of Naval Research's Earth System Prediction Capability, PE0603207N. This work would not be possible without computer time granted from Department of Defense's High Performance Computing Modernization Program. Please refer to Table 4 for the time period and the calculation of the indices (e.g., NAO, AO, MJO) for data needed to download. An account with ECMWF is needed to download these data and the availability is at no-cost for research. If you need an account, please follow the Log In button. Access to the Navy DSRC may be obtained through a request to the DoD HPCMP (https://www.hpc.mil/) by following the Obtain and Account link at the bottom of the page, on the next page follow the Obtaining an Account link on the left. Once an account has been established, contact the corresponding for information to access the archived data. The Navy-ESPC code is only available with preapproval from sponsors. Collaborators outside of NRL with model access have agreements and grants with sponsors (i.e., Office of Naval Research (ONR)). If interested in working with the Navy-ESPC code, please contact corresponding and code 32 of ONR (https://www.onr.navy.mil/Science-Technology/Departments/Code-32). This is NRL publication NRLJA-7320-2020-4917 that is approved for public release, and distribution is unlimited.</t>
  </si>
  <si>
    <t>2333-5084</t>
  </si>
  <si>
    <t>EARTH SPACE SCI</t>
  </si>
  <si>
    <t>Earth Space Sci.</t>
  </si>
  <si>
    <t>e2020EA001199</t>
  </si>
  <si>
    <t>10.1029/2020EA001199</t>
  </si>
  <si>
    <t>Astronomy &amp; Astrophysics; Geosciences, Multidisciplinary</t>
  </si>
  <si>
    <t>Astronomy &amp; Astrophysics; Geology</t>
  </si>
  <si>
    <t>RU2SQ</t>
  </si>
  <si>
    <t>WOS:000645000600013</t>
  </si>
  <si>
    <t>Schultz, C; Doney, SC; Hauck, J; Kavanaugh, MT; Schofield, O</t>
  </si>
  <si>
    <t>Schultz, C.; Doney, S. C.; Hauck, J.; Kavanaugh, M. T.; Schofield, O.</t>
  </si>
  <si>
    <t>Modeling Phytoplankton Blooms and Inorganic Carbon Responses to Sea-Ice Variability in the West Antarctic Peninsula</t>
  </si>
  <si>
    <t>JOURNAL OF GEOPHYSICAL RESEARCH-BIOGEOSCIENCES</t>
  </si>
  <si>
    <t>air‐ sea fluxes; biogeochemical modeling; inorganic carbon cycle; phytoplankton bloom; sea ice; West Antarctic Peninsula</t>
  </si>
  <si>
    <t>NET COMMUNITY PRODUCTION; RYDER BAY; INTERANNUAL VARIABILITY; SEASONAL CYCLE; SOUTHERN-OCEAN; CLIMATE-CHANGE; FRESH-WATER; ZONE WEST; SUMMER; DYNAMICS</t>
  </si>
  <si>
    <t>The ocean coastal-shelf-slope ecosystem west of the Antarctic Peninsula (WAP) is a biologically productive region that could potentially act as a large sink of atmospheric carbon dioxide. The duration of the sea-ice season in the WAP shows large interannual variability. However, quantifying the mechanisms by which sea ice impacts biological productivity and surface dissolved inorganic carbon (DIC) remains a challenge due to the lack of data early in the phytoplankton growth season. In this study, we implemented a circulation, sea-ice, and biogeochemistry model (MITgcm-REcoM2) to study the effect of sea ice on phytoplankton blooms and surface DIC. Results were compared with satellite sea-ice and ocean color, and research ship surveys from the Palmer Long-Term Ecological Research (LTER) program. The simulations suggest that the annual sea-ice cycle has an important role in the seasonal DIC drawdown. In years of early sea-ice retreat, there is a longer growth season leading to larger seasonally integrated net primary production (NPP). Part of the biological uptake of DIC by phytoplankton, however, is counteracted by increased oceanic uptake of atmospheric CO2. Despite lower seasonal NPP, years of late sea-ice retreat show larger DIC drawdown, attributed to lower air-sea CO2 fluxes and increased dilution by sea-ice melt. The role of dissolved iron and iron limitation on WAP phytoplankton also remains a challenge due to the lack of data. The model results suggest sediments and glacial meltwater are the main sources in the coastal and shelf regions, with sediments being more influential in the northern coast.</t>
  </si>
  <si>
    <t>[Schultz, C.; Doney, S. C.] Univ Virginia, Dept Environm Sci, Clark Hall, Charlottesville, VA 22903 USA; [Schultz, C.] Woods Hole Oceanog Inst, Dept Marine Chem &amp; Geochem, Woods Hole, MA 02543 USA; [Schultz, C.] MIT, Dept Earth &amp; Atmospher Sci, 77 Massachusetts Ave, Cambridge, MA 02139 USA; [Hauck, J.] Helmholtz Zentrum Polar &amp; Meeresforsch, Marine Biogeosci Div, Alfred Wegener Inst, Bremerhaven, Germany; [Kavanaugh, M. T.] Oregon State Univ, Ocean Ecol &amp; Biogeochem, Coll Earth Ocean &amp; Atmospher Sci, Corvallis, OR 97331 USA; [Schofield, O.] Rutgers State Univ, Dept Marine &amp; Coastal Sci, Ctr Ocean Observing Leadership, Sch Environm &amp; Biol Sci, New Brunswick, NJ USA</t>
  </si>
  <si>
    <t>University of Virginia; Woods Hole Oceanographic Institution; Massachusetts Institute of Technology (MIT); Helmholtz Association; Alfred Wegener Institute, Helmholtz Centre for Polar &amp; Marine Research; Oregon State University; Rutgers University System; Rutgers University New Brunswick</t>
  </si>
  <si>
    <t>Schultz, C (corresponding author), Univ Virginia, Dept Environm Sci, Clark Hall, Charlottesville, VA 22903 USA.;Schultz, C (corresponding author), Woods Hole Oceanog Inst, Dept Marine Chem &amp; Geochem, Woods Hole, MA 02543 USA.;Schultz, C (corresponding author), MIT, Dept Earth &amp; Atmospher Sci, 77 Massachusetts Ave, Cambridge, MA 02139 USA.</t>
  </si>
  <si>
    <t>cs3xm@virginia.edu</t>
  </si>
  <si>
    <t>Hauck, Judith/AAC-3967-2019; Doney, Scott/F-9247-2010; Schofield, Oscar/H-4169-2018</t>
  </si>
  <si>
    <t>Hauck, Judith/0000-0003-4723-9652; Doney, Scott/0000-0002-3683-2437; Schultz, Cristina/0000-0003-2006-7053; Schofield, Oscar/0000-0003-2359-4131</t>
  </si>
  <si>
    <t>US National Science Foundation [PLR-1440435]; University of Virginia; Helmholtz Young Investigator Group Marine Carbon and Ecosystem Feedbacks in the Earth System (MarESys) [VH-NG-1301]</t>
  </si>
  <si>
    <t>US National Science Foundation(National Science Foundation (NSF)); University of Virginia; Helmholtz Young Investigator Group Marine Carbon and Ecosystem Feedbacks in the Earth System (MarESys)</t>
  </si>
  <si>
    <t>The authors thank the anonymous reviewers for the thoughtful comments and suggestions. The authors also thank the scientists, students, technicians and ship crew, officers, and captains involved in collecting Palmer LTER time-series data. C. Schultz, S. C. Doney, M. T. Kavanaugh, and O. Schofield acknowledge support by the US National Science Foundation (Grant no. PLR-1440435), and C. Schultz and S. C. Doney acknowledge support from the University of Virginia. This research has also received funding from the Helmholtz Young Investigator Group Marine Carbon and Ecosystem Feedbacks in the Earth System (MarESys), Grant number VH-NG-1301.</t>
  </si>
  <si>
    <t>2169-8953</t>
  </si>
  <si>
    <t>2169-8961</t>
  </si>
  <si>
    <t>J GEOPHYS RES-BIOGEO</t>
  </si>
  <si>
    <t>J. Geophys. Res.-Biogeosci.</t>
  </si>
  <si>
    <t>e2020JG006227</t>
  </si>
  <si>
    <t>10.1029/2020JG006227</t>
  </si>
  <si>
    <t>Environmental Sciences; Geosciences, Multidisciplinary</t>
  </si>
  <si>
    <t>RU2TA</t>
  </si>
  <si>
    <t>WOS:000645001600022</t>
  </si>
  <si>
    <t>Boland, EJD; Jones, DC; Meijers, AJS; Forget, G; Josey, SA</t>
  </si>
  <si>
    <t>Boland, Emma J. D.; Jones, Daniel C.; Meijers, Andrew J. S.; Forget, Gael; Josey, Simon A.</t>
  </si>
  <si>
    <t>Local and Remote Influences on the Heat Content of Southern Ocean Mode Water Formation Regions</t>
  </si>
  <si>
    <t>JOURNAL OF GEOPHYSICAL RESEARCH-OCEANS</t>
  </si>
  <si>
    <t>adjoint; heat content; feat flux; sensitivity; Southern Ocean; wind stress</t>
  </si>
  <si>
    <t>GENERAL-CIRCULATION MODEL; SEA; TRANSPORT; VARIABILITY; CARBON; INTERMEDIATE; SENSITIVITY; FLUXES</t>
  </si>
  <si>
    <t>The Southern Ocean (SO) is a crucial region for the global ocean uptake of heat and carbon. There are large uncertainties in the observations of fluxes of heat and carbon between the atmosphere and the ocean mixed layer, which lead to large uncertainties in the amount entering into the global overturning circulation. In order to better understand where and when fluxes of heat and momentum have the largest impact on near-surface heat content, we use an adjoint model to calculate the linear sensitivities of heat content in SO mode water formation regions (MWFRs) to surface fluxes. We find that the heat content of these regions is, in all three basins, most sensitive to same-winter, local heat fluxes, and to local and remote wind one to eight years (the maximum lead-time of our simulations) previously. This is supported by sensitivities to potential temperature changes, which reveal the sources of the MWFRs as well as dynamic links with boundary current regions and the Antarctic Circumpolar Current. We use the adjoint sensitivity fields to design a set of targeted perturbation experiments, allowing us to examine the linear and non-linear responses of the heat content to changes in surface forcing. In these targeted experiments, the heat content is sensitive to both temperature changes and mixed layer volume changes in roughly equal magnitude.</t>
  </si>
  <si>
    <t>[Boland, Emma J. D.; Jones, Daniel C.; Meijers, Andrew J. S.] British Antarctic Survey, Cambridge, England; [Forget, Gael] MIT, 77 Massachusetts Ave, Cambridge, MA 02139 USA; [Josey, Simon A.] Natl Oceanog Ctr, Southampton, Hants, England</t>
  </si>
  <si>
    <t>UK Research &amp; Innovation (UKRI); Natural Environment Research Council (NERC); NERC British Antarctic Survey; Massachusetts Institute of Technology (MIT); NERC National Oceanography Centre</t>
  </si>
  <si>
    <t>Boland, EJD (corresponding author), British Antarctic Survey, Cambridge, England.</t>
  </si>
  <si>
    <t>emmomp@bas.ac.uk</t>
  </si>
  <si>
    <t>Boland, Emma/AFV-9181-2022</t>
  </si>
  <si>
    <t>Boland, Emma/0000-0003-2430-7763; Jones, Dani/0000-0002-8701-4506; Josey, Simon/0000-0002-1683-8831</t>
  </si>
  <si>
    <t>Natural Environment Research Council (NERC); North Atlantic Climate System Integrated Study (ACSIS) [NE/N018028/1]; Securing Multidisciplinary UndeRstanding and Prediction of Hiatus and Surge events (SMURPHS) [NE/N006038/1]; Ocean Regulation of Climate by Heat and Carbon Sequestration and Transports (ORCHESTRA) [NE/N018095/1]; NASA [6937342, 6943170]; Simons Foundation [549931]; FLF [MR/T020822/1] Funding Source: UKRI; NERC [NE/N018028/1, noc010010, NE/N006038/1, NE/N018095/1] Funding Source: UKRI</t>
  </si>
  <si>
    <t>Natural Environment Research Council (NERC)(UK Research &amp; Innovation (UKRI)Natural Environment Research Council (NERC)); North Atlantic Climate System Integrated Study (ACSIS); Securing Multidisciplinary UndeRstanding and Prediction of Hiatus and Surge events (SMURPHS); Ocean Regulation of Climate by Heat and Carbon Sequestration and Transports (ORCHESTRA); NASA(National Aeronautics &amp; Space Administration (NASA)); Simons Foundation; FLF; NERC(UK Research &amp; Innovation (UKRI)Natural Environment Research Council (NERC))</t>
  </si>
  <si>
    <t>With thanks to Helen Pillar and two anonymous reviewers for their constructive comments. This study is supported by grants from the Natural Environment Research Council (NERC), including (1) The North Atlantic Climate System Integrated Study (ACSIS) (grant NE/N018028/1, author DJ), (2) Securing Multidisciplinary UndeRstanding and Prediction of Hiatus and Surge events (SMURPHS) (grant NE/N006038/1, author EB), and (3) Ocean Regulation of Climate by Heat and Carbon Sequestration and Transports (ORCHESTRA, grant NE/N018095/1, authors EB, AM). GF was supported by NASA (6937342, 6943170) and the Simons Foundation (549931).</t>
  </si>
  <si>
    <t>2169-9275</t>
  </si>
  <si>
    <t>2169-9291</t>
  </si>
  <si>
    <t>J GEOPHYS RES-OCEANS</t>
  </si>
  <si>
    <t>J. Geophys. Res.-Oceans</t>
  </si>
  <si>
    <t>e2020JC016585</t>
  </si>
  <si>
    <t>10.1029/2020JC016585</t>
  </si>
  <si>
    <t>RU2ZS</t>
  </si>
  <si>
    <t>hybrid, Green Accepted, Green Submitted</t>
  </si>
  <si>
    <t>WOS:000645019200009</t>
  </si>
  <si>
    <t>Chen, SM; Qiu, B</t>
  </si>
  <si>
    <t>Chen, Shuiming; Qiu, Bo</t>
  </si>
  <si>
    <t>Sea Surface Height Variability in the 30-120 km Wavelength Band From Altimetry Along-Track Observations</t>
  </si>
  <si>
    <t>satellite altimetry along‐ track data; sea surface height variability; small mesoscale eddies</t>
  </si>
  <si>
    <t>INTERNAL GRAVITY-WAVES; UNBALANCED MOTIONS; EDDY FIELD; OCEAN; TOPOGRAPHY; TRANSITION; MESOSCALE; SCALE; WATER; TOPEX/POSEIDON</t>
  </si>
  <si>
    <t>Reprocessed altimetry along-track sea surface height (SSH) observations from multiple missions are analyzed for the SSH variability in the 30-120 km wavelength band. This band of variability is missing in the widely used global multi-mission mapped SSH data set, known as the Archiving, Validation and Interpretation of Satellite Oceanographic Data SSH product. The SSH variability is derived from along-track SSH variance spectra after subtracting noise floors, and its global spatial patterns are consistent among the missions and the output of a high-resolution ocean general circulation model simulation. High SSH variability in the 30-120 km wavelength band is found in the intratropics of all ocean basins (25 degrees S-25 degrees N), the western boundary current outflow regions, and in five regions along the Antarctic Circumpolar Current: Agulhas Retroflection zone, Kerguelen Plateau, Macquarie Ridge, Pacific Antarctic Ridge, and Drake Passage. The average slope of the along-track SSH spectra in the 30-120 km wavelength band in the intratropics falls between -2.14 and -1.56, consistent with the Garrett-Munk spectral slope. The spatial patterns of the SSH variability could be used as a metric to evaluate high-resolution numerical models and to shed light on what to expect from future high-resolution altimetry missions.</t>
  </si>
  <si>
    <t>[Chen, Shuiming; Qiu, Bo] Univ Hawaii Manoa, Dept Oceanog, Honolulu, HI 96822 USA</t>
  </si>
  <si>
    <t>University of Hawaii System; University of Hawaii Manoa</t>
  </si>
  <si>
    <t>Chen, SM (corresponding author), Univ Hawaii Manoa, Dept Oceanog, Honolulu, HI 96822 USA.</t>
  </si>
  <si>
    <t>schen@soest.hawaii.edu</t>
  </si>
  <si>
    <t>NASA OSTST project [NNX17AH33G]</t>
  </si>
  <si>
    <t>NASA OSTST project</t>
  </si>
  <si>
    <t>The authors thank two anonymous reviewers for their comments that helped improve an early version of the manuscript. This study was supported by NASA OSTST project NNX17AH33G.</t>
  </si>
  <si>
    <t>e2021JC017284</t>
  </si>
  <si>
    <t>10.1029/2021JC017284</t>
  </si>
  <si>
    <t>WOS:000645019200008</t>
  </si>
  <si>
    <t>Frey, DI; Piola, AR; Krechik, VA; Fofanov, DV; Morozov, EG; Silvestrova, KP; Tarakanov, RY; Gladyshev, SV</t>
  </si>
  <si>
    <t>Frey, D., I; Piola, A. R.; Krechik, V. A.; Fofanov, D., V; Morozov, E. G.; Silvestrova, K. P.; Tarakanov, R. Yu; Gladyshev, S., V</t>
  </si>
  <si>
    <t>Direct Measurements of the Malvinas Current Velocity Structure</t>
  </si>
  <si>
    <t>currents; Malvinas Current; ocean circulation; SADCP measurements; velocity structure</t>
  </si>
  <si>
    <t>ANTARCTIC CIRCUMPOLAR CURRENT; DRAKE PASSAGE; ARGO FLOATS; SATELLITE ALTIMETRY; VOLUME TRANSPORT; CIRCULATION; FRONTS; BRAZIL; VARIABILITY; SURFACE</t>
  </si>
  <si>
    <t>Direct velocity measurements of the Malvinas Current (MC) were carried out on multiple occupations of five transects across the flow using a Shipborne Acoustic Current Profiler (SADCP) on the R/V Akademik Sergey Vavilov and Akademik Mstislav Keldysh. These data are used to determine local features of the three-dimensional velocity field of the current. The occupations covered the northern branch of the Antarctic Circumpolar Current (ACC) and the southern part of the MC. Five transects across the flow were located at 350-550 km from each other from the Drake Passage to the western Argentine Basin at 46 degrees S. The new observations reveal that the current is organized in two branches, namely, an inshore branch extending to a depth of 200-300 m and a main offshore branch, which flows approximately over the 1,400 m isobath. This two-branch structure is observed on each of the cross-flow transects. The observed velocities of the inshore branch exceed 40 cm/s on each studied crossing of the current. The MC is a cold western boundary current that follows the Subantarctic Front. This flow originates as an offshoot of the northern branch of the ACC and continues over the Falkland/Malvinas Plateau and along the western slope of the Argentine Basin. Volume transports of the upper 700 m of the MC calculated for each crossing range between 1.4 and 4.4 Sv for the inshore branch and between 21.2 and 25.5 Sv for the offshore (main) branch.</t>
  </si>
  <si>
    <t>[Frey, D., I; Krechik, V. A.; Fofanov, D., V; Morozov, E. G.; Silvestrova, K. P.; Tarakanov, R. Yu; Gladyshev, S., V] Russian Acad Sci, Shirshov Inst Oceanol, Moscow, Russia; [Piola, A. R.] Consejo Nacl Invest Cient &amp; Tecn, Serv Hidrog Naval, Dept Oceanog, Buenos Aires, DF, Argentina; [Piola, A. R.] Univ Buenos Aires, Buenos Aires, DF, Argentina</t>
  </si>
  <si>
    <t>Russian Academy of Sciences; Shirshov Institute of Oceanology; Consejo Nacional de Investigaciones Cientificas y Tecnicas (CONICET); Servicio de Hidrografia Naval; University of Buenos Aires</t>
  </si>
  <si>
    <t>Frey, DI (corresponding author), Russian Acad Sci, Shirshov Inst Oceanol, Moscow, Russia.</t>
  </si>
  <si>
    <t>dima.frey@gmail.com</t>
  </si>
  <si>
    <t>Morozov, Eugene G/L-3023-2018; Tarakanov, Roman/R-3325-2016; Piola, Alberto/O-2280-2013; Silvestrova, Ksenia/E-8929-2014; Krechik, Viktor/J-9941-2016</t>
  </si>
  <si>
    <t>Tarakanov, Roman/0000-0002-8711-1859; Frey, Dmitry/0000-0001-8141-9513; Piola, Alberto/0000-0002-5003-8926; Silvestrova, Ksenia/0000-0002-7515-6398; Morozov, Eugene/0000-0002-0251-3454; Krechik, Viktor/0000-0001-6440-060X</t>
  </si>
  <si>
    <t>State Task of Russia [0128-2019-0008]; Russian Science Foundation [21-77-20004]; Russian Foundation for Basic Research [19-57-60001, 18-05-00283, 18-05-00194]; CONICET (Argentina) [D3347/14]; Inter-American Institute for Global Change Research grant [CRN3070]; Russian Science Foundation [21-77-20004] Funding Source: Russian Science Foundation</t>
  </si>
  <si>
    <t>State Task of Russia; Russian Science Foundation(Russian Science Foundation (RSF)); Russian Foundation for Basic Research(Russian Foundation for Basic Research (RFBR)Spanish Government); CONICET (Argentina)(Consejo Nacional de Investigaciones Cientificas y Tecnicas (CONICET)); Inter-American Institute for Global Change Research grant; Russian Science Foundation(Russian Science Foundation (RSF))</t>
  </si>
  <si>
    <t>This work was supported by the State Task of Russia 0128-2019-0008 (ship expenses), the Russian Science Foundation Grant 21-77-20004 (field studies) and Russian Foundation for Basic Research grants 19-57-60001 (calculation of the sea surface velocities), 18-05-00283 (measurements of the ACC in the Drake Passage), and 18-05-00194 (analysis of the field and satellite data). A. R. Piola acknowledges the support of grant D3347/14 from CONICET (Argentina) and the Inter-American Institute for Global Change Research grant CRN3070. The authors thank the editor and two reviewers for providing comments that helped improving the final version of this manuscript.</t>
  </si>
  <si>
    <t>e2020JC016727</t>
  </si>
  <si>
    <t>10.1029/2020JC016727</t>
  </si>
  <si>
    <t>WOS:000645019200011</t>
  </si>
  <si>
    <t>Giddy, I; Swart, S; du Plessis, M; Thompson, AF; Nicholson, SA</t>
  </si>
  <si>
    <t>Giddy, I; Swart, S.; du Plessis, M.; Thompson, A. F.; Nicholson, S-A</t>
  </si>
  <si>
    <t>Stirring of Sea-Ice Meltwater Enhances Submesoscale Fronts in the Southern Ocean</t>
  </si>
  <si>
    <t>marginal ice zone; Seaglider observations; sea‐ ice meltwater; submesoscale eddies; upper ocean; wind‐ front interactions</t>
  </si>
  <si>
    <t>HORIZONTAL DENSITY STRUCTURE; MIXED-LAYER; SEASONAL CYCLE; HEAT UPTAKE; ENERGY; RESTRATIFICATION; TURBULENCE; EVOLUTION; SALINITY; EDDIES</t>
  </si>
  <si>
    <t>In the sea-ice-impacted Southern Ocean, the spring sea-ice melt and its impact on physical processes set the rate of surface water mass modification. These modified waters will eventually subduct near the polar front and enter the global overturning circulation. Submesoscale processes modulate the stratification of the mixed layer (ML) and ML properties. Sparse observations in polar regions mean that the role of submesoscale motions in the exchange of properties across the base of the ML is not well understood. The goal of this study is to determine the interplay between sea-ice melt, surface boundary layer forcing, and submesoscale flows in setting properties of the surface ML in the Antarctic marginal ice zone. High-resolution observations suggest that fine-scale lateral fronts arise from either/both mesoscale and submesoscale stirring of sea-ice meltwater anomalies. The strong salinity-driven stratification at the base of the ML confines these fronts to the upper ocean, limiting submesoscale vertical fluxes across the ML base. This strong stratification prevents the local subduction of modified waters by submesoscale flows, suggesting that the subduction site that links to the global overturning circulation does not correspond with the location of sea-ice melt. However, surface-enhanced fronts increase the potential for Ekman-driven cross-frontal flow to modulate the stability of the ML and ML properties. The parameterization of submesoscale processes in coupled-climate models, particularly those contributing to the Ekman buoyancy flux, may improve the representation of ML heat and freshwater transport in the ice-impacted Southern Ocean during summer.</t>
  </si>
  <si>
    <t>[Giddy, I; Swart, S.] Univ Cape Town, Dept Oceanog, Rondebosch, South Africa; [Giddy, I; Swart, S.; du Plessis, M.] Univ Gothenburg, Dept Marine Sci, Gothenburg, Sweden; [Giddy, I; du Plessis, M.; Nicholson, S-A] CSIR, Southern Ocean Carbon Climate Observ, Cape Town, South Africa; [Thompson, A. F.] CALTECH, Environm Sci &amp; Engn, Pasadena, CA 91125 USA</t>
  </si>
  <si>
    <t>University of Cape Town; University of Gothenburg; Council for Scientific &amp; Industrial Research (CSIR) - South Africa; California Institute of Technology</t>
  </si>
  <si>
    <t>Giddy, I (corresponding author), Univ Cape Town, Dept Oceanog, Rondebosch, South Africa.;Giddy, I (corresponding author), Univ Gothenburg, Dept Marine Sci, Gothenburg, Sweden.;Giddy, I (corresponding author), CSIR, Southern Ocean Carbon Climate Observ, Cape Town, South Africa.</t>
  </si>
  <si>
    <t>isgiddy@gmail.com</t>
  </si>
  <si>
    <t>Nicholson, Sarah-Anne/AAN-2655-2021; Swart, Sebastiaan/U-5498-2017</t>
  </si>
  <si>
    <t>Nicholson, Sarah-Anne/0000-0002-1226-1828; Swart, Sebastiaan/0000-0002-2251-8826; du Plessis, Marcel/0000-0003-2759-2467; Giddy, Isabelle/0000-0002-8926-3311</t>
  </si>
  <si>
    <t>Wallenberg Academy Fellowship (WAF) [2015.0186]; Swedish Research Council (VR) [2019-04400]; STINT-NRF Mobility Grant [STNT180910357293]; NRF-SANAP [SNA170522231782, SANAP200324510487]; Young Researchers Establishment Fund (YREF) [0000007361]; European Union [821001]; ONR [N00014-19-1-2421]; NSF [1756956, 1829969]; Linde Center Discovery Fund grant; UCT-UEA Newton Fund; SANAP [110733]; Oppenheimer Memorial Trust; Division Of Ocean Sciences; Directorate For Geosciences [1829969, 1756956] Funding Source: National Science Foundation; Swedish Research Council [2019-04400] Funding Source: Swedish Research Council</t>
  </si>
  <si>
    <t>Wallenberg Academy Fellowship (WAF); Swedish Research Council (VR)(Swedish Research Council); STINT-NRF Mobility Grant; NRF-SANAP; Young Researchers Establishment Fund (YREF); European Union(European Union (EU)); ONR(Office of Naval Research); NSF(National Science Foundation (NSF)); Linde Center Discovery Fund grant; UCT-UEA Newton Fund; SANAP; Oppenheimer Memorial Trust; Division Of Ocean Sciences; Directorate For Geosciences(National Science Foundation (NSF)NSF - Directorate for Geosciences (GEO)); Swedish Research Council(Swedish Research Council)</t>
  </si>
  <si>
    <t>This work was supported by the following grants of S. Swart: Wallenberg Academy Fellowship (WAF 2015.0186), Swedish Research Council (VR 2019-04400), STINT-NRF Mobility Grant (STNT180910357293). S. A. Nicholson and S. Swart: NRF-SANAP (SNA170522231782, SANAP200324510487) and S. A. Nicholson, the Young Researchers Establishment Fund (YREF 2019 0000007361). S. Swart and M. du Plessis have received funding from the European Union's Horizon 2020 research and innovation program under Grant agreement no. 821001 (SO-CHIC). A. F. Thompson is supported by ONR (N00014-19-1-2421), NSF (1756956, 1829969), and a Linde Center Discovery Fund grant. The authors thank Sea Technology Services (STS), SANAP, the captain, and crew of the S.A. Agulhas II for their field-work/technical assistance. Zach Erickson, Mar Flexas, and Giuliana Viglione (Caltech) contributed to glider piloting throughout the deployment. S. Swart is grateful to Geoff Shilling and Craig Lee (APL, University of Washington) for hosting gliders on IOP. B. Queste is thanked for insightful discussions on glider processing and thermal lag corrections, which was made possible through the UCT-UEA Newton Fund. Special thanks is extended to Isabelle Ansorge for the generous support of I. Giddy in her doctoral studies and training, from which this paper is derived (SANAP 110733 SAMOC-SA). I. Giddy is further supported by the Oppenheimer Memorial Trust. The authors are grateful to the insightful and constructive reviews of Dr. Balwada and one anonymous reviewer, which greatly improved this manuscript.</t>
  </si>
  <si>
    <t>e2020JC016814</t>
  </si>
  <si>
    <t>10.1029/2020JC016814</t>
  </si>
  <si>
    <t>WOS:000645019200007</t>
  </si>
  <si>
    <t>Yang, B; Shadwick, EH; Schultz, C; Doney, SC</t>
  </si>
  <si>
    <t>Yang, Bo; Shadwick, Elizabeth H.; Schultz, Cristina; Doney, Scott C.</t>
  </si>
  <si>
    <t>Annual Mixed Layer Carbon Budget for the West Antarctic Peninsula Continental Shelf: Insights From Year-Round Mooring Measurements</t>
  </si>
  <si>
    <t>NET COMMUNITY PRODUCTION; CLIMATE-CHANGE; INORGANIC CARBON; CO2 EXCHANGE; ROSS SEA; OCEAN; ICE; PACIFIC; VARIABILITY; OXYGEN</t>
  </si>
  <si>
    <t>For the first time the annual carbon budget on the West Antarctic Peninsula shelf was studied with continuously measured CO2 system parameters (pH and pCO(2)) from a subsurface mooring. The temporal evolution of the mixed layer dissolved inorganic carbon (DIC) is investigated via a mass balance. The annual mixed layer DIC inventory change was 1.1 +/- 0.4 mol m(-2) yr(-1), which was mainly regulated by biological drawdown (-2.8 +/- 2.4 mol m(-2) yr(-1)), diapycnal eddy diffusion (2.6 +/- 1.3 mol m(-2) yr(-1)), entrainment/detrainment (0.9 +/- 0.4 mol m(-2) yr(-1)), and air-water gas exchange (0.4 +/- 2.1 mol m(-2) yr(-1)). Significant carbon drawdown was observed in the spring and summer, which was replenished by the physical processes mentioned above. These observations suggest this area is an annual atmosphere CO2 sink with a mixed layer net community production of 2.8 +/- 2.4 mol m(-2) yr(-1). These results highlight the significant seasonality in the DIC mass balance and the necessity of year-round continuous observations for robust assessments of biogeochemical cycling in this region. Plain Language Summary With continuously measured CO2 system parameters (pH and pCO(2)) from submerged sensors on an oceanographic mooring, for the first time we captured the seasonal and annual changes of surface dissolved inorganic carbon (DIC) on the West Antarctic Peninsula shelf. The annual DIC inventory change was mainly controlled by biological consumption of DIC (e.g., DIC consumption from photosynthesis). Physical processes like diffusion, upwelling/downwelling, and airwater CO2 exchange also played important roles. Significant biological consumption of DIC was observed in the spring and summer, which was replenished by the physical processes mentioned above. These observations suggest that over a complete seasonal cycle, this area absorbs CO2 from the atmosphere and produces significant amount of organic carbon through photosynthesis. These results highlight the significant seasonal variations in the DIC mass balance and the necessity of year-round continuous observations for robust assessments of biogeochemical cycling in this region.</t>
  </si>
  <si>
    <t>[Yang, Bo; Schultz, Cristina; Doney, Scott C.] Univ Virginia, Dept Environm Sci, Clark Hall, Charlottesville, VA 22903 USA; [Yang, Bo] Univ Miami, Rosenstiel Sch Marine &amp; Atmospher Sci, Cooperat Inst Marine &amp; Atmospher Studies, 4600 Rickenbacker Causeway, Miami, FL 33149 USA; [Yang, Bo] NOAA, Atlantic Oceanog &amp; Meteorol Lab, Miami, FL 33149 USA; [Shadwick, Elizabeth H.] CSIRO Oceans &amp; Atmosphere, Hobart, Tas, Australia</t>
  </si>
  <si>
    <t>University of Virginia; University of Miami; National Oceanic Atmospheric Admin (NOAA) - USA; Atlantic Oceanographic &amp; Meteorological Laboratory (AOML); Commonwealth Scientific &amp; Industrial Research Organisation (CSIRO)</t>
  </si>
  <si>
    <t>Yang, B (corresponding author), Univ Virginia, Dept Environm Sci, Clark Hall, Charlottesville, VA 22903 USA.;Yang, B (corresponding author), Univ Miami, Rosenstiel Sch Marine &amp; Atmospher Sci, Cooperat Inst Marine &amp; Atmospher Studies, 4600 Rickenbacker Causeway, Miami, FL 33149 USA.;Yang, B (corresponding author), NOAA, Atlantic Oceanog &amp; Meteorol Lab, Miami, FL 33149 USA.</t>
  </si>
  <si>
    <t>boyang@mail.usf.edu</t>
  </si>
  <si>
    <t>Doney, Scott/F-9247-2010</t>
  </si>
  <si>
    <t>Doney, Scott/0000-0002-3683-2437; Yang, Bo/0000-0001-5617-5748; Schultz, Cristina/0000-0003-2006-7053</t>
  </si>
  <si>
    <t>US National Science Foundation [OPP-1543380, PLR-1440435]; Commonwealth Scientific and Industrial Research Organisation (CSIRO); Australian Antarctic Program Partnership through the Australian Government's Antarctic Science Collaboration Initiative program</t>
  </si>
  <si>
    <t>US National Science Foundation(National Science Foundation (NSF)); Commonwealth Scientific and Industrial Research Organisation (CSIRO)(Commonwealth Scientific &amp; Industrial Research Organisation (CSIRO)); Australian Antarctic Program Partnership through the Australian Government's Antarctic Science Collaboration Initiative program</t>
  </si>
  <si>
    <t>The mooring deployments and recoveries were conducted as part of the Palmer Long-Term Ecological Research (LTER) annual ship research survey along the Western Antarctic Peninsula, and the authors thank the scientists, students, technicians, captains, and ship crew involved in those expeditions. The authors especially thank the Palmer LTER scientists Hugh Ducklow and Douglas Martinson, and the mooring team at LDEO, Richard Iannuzzi, Naomi Shelton, and Darren McKee. The authors are grateful to Olivia De Meo for excellent logistical and laboratory support at Virginia Institute of Marine Science. This research was supported by the US National Science Foundation through awards OPP-1543380 and PLR-1440435; the Centre for Southern Hemisphere Oceans Research (CSHOR), a partnership between the Commonwealth Scientific and Industrial Research Organisation (CSIRO) and the Qingdao National Laboratory for Marine Science; and the Australian Antarctic Program Partnership through the Australian Government's Antarctic Science Collaboration Initiative program.</t>
  </si>
  <si>
    <t>e2020JC016920</t>
  </si>
  <si>
    <t>10.1029/2020JC016920</t>
  </si>
  <si>
    <t>WOS:000645019200002</t>
  </si>
  <si>
    <t>Hapgood, M; Angling, MJ; Attrill, G; Bisi, M; Cannon, PS; Dyer, C; Eastwood, JP; Elvidge, S; Gibbs, M; Harrison, RA; Hord, C; Horne, RB; Jackson, DR; Jones, B; Machin, S; Mitchell, CN; Preston, J; Rees, J; Rogers, NC; Routledge, G; Ryden, K; Tanner, R; Thomson, AWP; Wild, JA; Willis, M</t>
  </si>
  <si>
    <t>Hapgood, Mike; Angling, Matthew J.; Attrill, Gemma; Bisi, Mario; Cannon, Paul S.; Dyer, Clive; Eastwood, Jonathan P.; Elvidge, Sean; Gibbs, Mark; Harrison, Richard A.; Hord, Colin; Horne, Richard B.; Jackson, David R.; Jones, Bryn; Machin, Simon; Mitchell, Cathryn N.; Preston, John; Rees, John; Rogers, Neil C.; Routledge, Graham; Ryden, Keith; Tanner, Rick; Thomson, Alan W. P.; Wild, James A.; Willis, Mike</t>
  </si>
  <si>
    <t>Development of Space Weather Reasonable Worst-Case Scenarios for the UK National Risk Assessment</t>
  </si>
  <si>
    <t>SPACE WEATHER-THE INTERNATIONAL JOURNAL OF RESEARCH AND APPLICATIONS</t>
  </si>
  <si>
    <t>extreme conditions; national risk assessment; reasonable worst‐ case scenarios; space weather; technological impacts</t>
  </si>
  <si>
    <t>GEOMAGNETICALLY INDUCED CURRENTS; SOLAR PROTON EVENT; EARTH-ORBIT ANALYSIS; PROBABILITY MODEL; FIELD VARIATIONS; PARTICLE EVENTS; EXTREME; STORM; DISTURBANCE; ELECTRONS</t>
  </si>
  <si>
    <t>Severe space weather was identified as a risk to the UK in 2010 as part of a wider review of natural hazards triggered by the societal disruption caused by the eruption of the Eyjafjallajokull volcano in April of that year. To support further risk assessment by government officials, and at their request, we developed a set of reasonable worst-case scenarios and first published them as a technical report in 2012 (current version published in 2020). Each scenario focused on a space weather environment that could disrupt a particular national infrastructure such as electric power or satellites, thus, enabling officials to explore the resilience of that infrastructure against severe space weather through discussions with relevant experts from other parts of government and with the operators of that infrastructure. This approach also encouraged us to focus on the environmental features that are key to generating adverse impacts. In this paper, we outline the scientific evidence that we have used to develop these scenarios, and the refinements made to them as new evidence emerged. We show how these scenarios are also considered as an ensemble so that government officials can prepare for a severe space weather event, during which many or all of the different scenarios will materialize. Finally, we note that this ensemble also needs to include insights into how public behavior will play out during a severe space weather event and hence the importance of providing robust, evidence-based information on space weather and its adverse impacts.</t>
  </si>
  <si>
    <t>[Hapgood, Mike; Bisi, Mario; Harrison, Richard A.] STFC Rutherford Appleton Lab, RAL Space, Harwell Campus, Didcot, Oxon, England; [Angling, Matthew J.] Spire, Unit 5A, Glasgow, Lanark, Scotland; [Attrill, Gemma] RAF Wyton, Intelligence Innovat, Def Sci &amp; Technol Lab, Huntingdon, England; [Cannon, Paul S.; Elvidge, Sean] Univ Birmingham, Sch Engn, Birmingham, W Midlands, England; [Dyer, Clive; Ryden, Keith] Univ Surrey, Surrey Space Ctr, Dept Elect &amp; Elect Engn, Guildford, Surrey, England; [Dyer, Clive] CSDRadConsultancy Ltd, Fleet, England; [Eastwood, Jonathan P.] Imperial Coll London, Blacken Lab, Space &amp; Atmospher Phys, Imperial Coll, London, England; [Gibbs, Mark; Jackson, David R.; Machin, Simon] Met Off, Exeter, Devon, England; [Hord, Colin] Civil Aviat Author, Aviat House, Crawley, W Sussex, England; [Horne, Richard B.] British Antarctic Survey, Cambridge, England; [Jones, Bryn] SolarMetrics Ltd, Swindon, Wilts, England; [Mitchell, Cathryn N.] Univ Bath, Ctr Space Atmospher &amp; Ocean Sci, Bath, Avon, England; [Preston, John] Univ Essex, Dept Sociol, Wivenhoe Pk, Colchester, Essex, England; [Rees, John] British Geol Survey, Environm Sci Ctr, Nicker Hill, Nottingham, England; [Rogers, Neil C.; Wild, James A.] Univ Lancaster, Dept Phys, Lancaster, England; [Routledge, Graham] Def Sci &amp; Technol Lab, Portsdown West, Fareham, England; [Tanner, Rick] PHE Ctr Radiat Chem &amp; Environm Hazards, Harwell Campus, Didcot, Oxon, England; [Thomson, Alan W. P.] British Geol Survey, Lyell Ctr, Res Ave South, Edinburgh, Midlothian, Scotland; [Willis, Mike] UK Space Agcy, Polaris House, Swindon, Wilts, England</t>
  </si>
  <si>
    <t>UK Research &amp; Innovation (UKRI); Science &amp; Technology Facilities Council (STFC); STFC Rutherford Appleton Laboratory; Defence Science &amp; Technology Laboratory; University of Birmingham; University of Surrey; Imperial College London; Met Office - UK; UK Research &amp; Innovation (UKRI); Natural Environment Research Council (NERC); NERC British Antarctic Survey; University of Bath; University of Essex; UK Research &amp; Innovation (UKRI); Natural Environment Research Council (NERC); NERC British Geological Survey; Lancaster University; Defence Science &amp; Technology Laboratory; UK Research &amp; Innovation (UKRI); Natural Environment Research Council (NERC); NERC British Geological Survey</t>
  </si>
  <si>
    <t>Hapgood, M (corresponding author), STFC Rutherford Appleton Lab, RAL Space, Harwell Campus, Didcot, Oxon, England.</t>
  </si>
  <si>
    <t>mike.hapgood@stfc.ac.uk</t>
  </si>
  <si>
    <t>Harrison, Richard/IWU-9343-2023; Wild, James Anderson/HKN-7736-2023; Horne, Richard B/U-3764-2019; Cannon, Paul/A-2488-2011; Cannon, Paul S/C-3579-2011; Hapgood, Mike/D-6269-2014</t>
  </si>
  <si>
    <t>Wild, James Anderson/0000-0001-8025-8869; Horne, Richard B/0000-0002-0412-6407; Cannon, Paul/0000-0001-8240-994X; Harrison, Richard/0000-0002-0843-8045; Rogers, Neil/0000-0002-8423-6306; Dyer, Clive/0000-0002-3778-9821; Jackson, David/0000-0001-6387-6876; Bisi, Mario/0000-0001-6821-9576; Gibbs, Mark/0000-0001-8055-0915; Hapgood, Mike/0000-0002-0211-0241; Elvidge, Sean/0000-0003-2846-0730</t>
  </si>
  <si>
    <t>STFC [ST/M001083/1]; NERC [NE/R016038/1, NE/R016445/1, NE/P01738X/1, NE/P017231/1, NE/P017142/1, NE/P017347/1, NE/P016715/1, NE/V002686/1, NE/P006450/1]; NERC [NE/P01738X/1, NE/P016715/1, NE/P017142/1, NE/P016863/1, NE/P017347/1, NE/P017231/1, NE/R016445/1, NE/R008930/1, NE/R016038/1, bas0100031, NE/P006450/1] Funding Source: UKRI; SPF [NE/V002708/1, NE/V002643/1, NE/V002686/1] Funding Source: UKRI; STFC [ST/M001083/1] Funding Source: UKRI</t>
  </si>
  <si>
    <t>STFC(UK Research &amp; Innovation (UKRI)Science &amp; Technology Facilities Council (STFC)); NERC(UK Research &amp; Innovation (UKRI)Natural Environment Research Council (NERC)); NERC(UK Research &amp; Innovation (UKRI)Natural Environment Research Council (NERC)); SPF; STFC(UK Research &amp; Innovation (UKRI)Science &amp; Technology Facilities Council (STFC))</t>
  </si>
  <si>
    <t>The authors of this paper are members (past and present) of the Space Environment Impacts Expert Group (SEIEG), an independent group of space weather experts that provides advice to UK government bodies. SEIEG was set up in 2010 with strong encouragement from the Civil M. Hapgood, M. Bisi, and R. A. Harrison acknowledge support provided by STFC, including grant ST/M001083/1. R. B. Horne was supported by NERC National Capability grants NE/R016038/1 and NE/R016445/1 and Highlight Topic Grant NE/P01738X/1 (Rad-Sat). A. W. P. Thomson acknowledges support under NERC Highlight Topic grant NE/P017231/1 (Space Weather Impact on Ground-based Systems, SWIGS). J. Eastwood acknowledges support under NERC Highlight Topics Grants NE/P017142/1 (SWIGS) and NE/P017347/1 (Rad-Sat). J. A. Wild and N. C. Rogers acknowledge support under NERC Highlight Topic grant NE/P016715/1 (SWIGS). NCR acknowledges support under NERC grant NE/V002686/1 (Space Weather Instrumentation, Measurement, Modeling and Risk, SWIMMR). C. N. Mitchell acknowledges NERC grant NE/P006450/1. The authors thank Prof. Farideh Honary for helpful discussions and support. The authors also express our thanks to Catherine Burnett for her support and encouragement of the work of SEIEG, not least this paper.</t>
  </si>
  <si>
    <t>1542-7390</t>
  </si>
  <si>
    <t>SPACE WEATHER</t>
  </si>
  <si>
    <t>Space Weather</t>
  </si>
  <si>
    <t>e2020SW002593</t>
  </si>
  <si>
    <t>10.1029/2020SW002593</t>
  </si>
  <si>
    <t>RT6XS</t>
  </si>
  <si>
    <t>hybrid, Green Published, Green Accepted</t>
  </si>
  <si>
    <t>WOS:000644602700007</t>
  </si>
  <si>
    <t>Rathore, S; Bindoff, NL; Ummenhofer, CC; Phillips, HE; Feng, M; Mishra, M</t>
  </si>
  <si>
    <t>Rathore, Saurabh; Bindoff, Nathaniel L.; Ummenhofer, Caroline C.; Phillips, Helen E.; Feng, Ming; Mishra, Mayank</t>
  </si>
  <si>
    <t>Improving Australian Rainfall Prediction Using Sea Surface Salinity</t>
  </si>
  <si>
    <t>ENSO; Flood events; Hydrologic cycle; Machine learning; Rainfall; Salinity; Seasonal forecasting; Soil moisture</t>
  </si>
  <si>
    <t>CLIMATE VARIABILITY; SUMMER RAINFALL; WINTER RAINFALL; ENSO MODOKI; TEMPERATURE; PREDICTABILITY; PRECIPITATION; REANALYSIS; ALGORITHMS; REGRESSION</t>
  </si>
  <si>
    <t>This study uses sea surface salinity (SSS) as an additional precursor for improving the prediction of summer [December-February (DJF)] rainfall over northeastern Australia. From a singular value decomposition between SSS of prior seasons and DJF rainfall, we note that SSS of the Indo-Pacific warm pool region [SSSP (150 degrees E-165 degrees W and 10 degrees S-10 degrees N) and SSSI (50 degrees-95 degrees E and 10 degrees S-10 degrees N)] covaries with Australian rainfall, particularly in the northeast region. Composite analysis that is based on high or low SSS events in the SSSP and SSSI regions is performed to understand the physical links between the SSS and the atmospheric moisture originating from the regions of anomalously high or low, respectively, SSS and precipitation over Australia. The composites show the signature of co-occurring La Nina and negative Indian Ocean dipole with anomalously wet conditions over Australia and conversely show the signature of co-occurring El Nino and positive Indian Ocean dipole with anomalously dry conditions there. During the high SSS events of the SSSP and SSSI regions, the convergence of incoming moisture flux results in anomalously wet conditions over Australia with a positive soil moisture anomaly. Conversely, during the low SSS events of the SSSP and SSSI regions, the divergence of incoming moisture flux results in anomalously dry conditions over Australia with a negative soil moisture anomaly. We show from the random-forest regression analysis that the local soil moisture, El Nino-Southern Oscillation (ENSO), and SSSP are the most important precursors for the northeast Australian rainfall whereas for the Brisbane region ENSO, SSSP, and the Indian Ocean dipole are the most important. The prediction of Australian rainfall using random-forest regression shows an improvement by including SSS from the prior season. This evidence suggests that sustained observations of SSS can improve the monitoring of the Australian regional hydrological cycle.</t>
  </si>
  <si>
    <t>[Rathore, Saurabh; Bindoff, Nathaniel L.; Phillips, Helen E.] Univ Tasmania, Inst Marine &amp; Antarctic Studies, Hobart, Tas, Australia; [Rathore, Saurabh] ARC Ctr Excellence Climate Syst Sci, Hobart, Tas, Australia; [Bindoff, Nathaniel L.; Ummenhofer, Caroline C.; Phillips, Helen E.] ARC Ctr Excellence Climate Extremes, Sydney, NSW, Australia; [Bindoff, Nathaniel L.] CSIRO Oceans &amp; Atmosphere, Hobart, Tas, Australia; [Bindoff, Nathaniel L.] Australian Antarctic Program Partnership, Hobart, Tas, Australia; [Ummenhofer, Caroline C.] Woods Hole Oceanog Inst, Woods Hole, MA 02543 USA; [Feng, Ming] CSIRO Oceans &amp; Atmosphere, Indian Ocean Marine Res Ctr, Crawley, WA, Australia; [Feng, Ming] CSIRO, Ctr Southern Hemisphere Oceans Res, Hobart, Tas, Australia; [Mishra, Mayank] Indian Inst Technol Kharagpur, Ctr Oceans Rivers Atmosphere &amp; Land Sci, Kharagpur, W Bengal, India</t>
  </si>
  <si>
    <t>University of Tasmania; ARC Centre of Excellence for Climate System Science; Commonwealth Scientific &amp; Industrial Research Organisation (CSIRO); Woods Hole Oceanographic Institution; University of Western Australia; Commonwealth Scientific &amp; Industrial Research Organisation (CSIRO); Commonwealth Scientific &amp; Industrial Research Organisation (CSIRO); Indian Institute of Technology System (IIT System); Indian Institute of Technology (IIT) - Kharagpur</t>
  </si>
  <si>
    <t>Rathore, S (corresponding author), Univ Tasmania, Inst Marine &amp; Antarctic Studies, Hobart, Tas, Australia.;Rathore, S (corresponding author), ARC Ctr Excellence Climate Syst Sci, Hobart, Tas, Australia.</t>
  </si>
  <si>
    <t>saurabh.rathore@utas.edu.au</t>
  </si>
  <si>
    <t>Bindoff, Nathaniel Lee/C-8050-2011; Rathore, Saurabh/GQA-8434-2022; Phillips, Helen/I-3761-2013; Bindoff, Nathaniel Lee/IVV-0333-2023; Feng, Ming/F-5411-2010</t>
  </si>
  <si>
    <t>Bindoff, Nathaniel Lee/0000-0001-5662-9519; Phillips, Helen/0000-0002-2941-7577; Bindoff, Nathaniel Lee/0000-0001-5662-9519; Rathore, Saurabh/0000-0001-6677-6838; Feng, Ming/0000-0002-2855-7092</t>
  </si>
  <si>
    <t>Earth System and Climate Change Hub of the Australian government's National Environmental Science Programme; Australian Government; U.S. National Science Foundation [OCE-1663704]; Centre for Southern Hemisphere Oceans Research (CSHOR); Qingdao National Laboratory for Marine Science and Technology (QNLM), CSIRO; University of New South Wales; University of Tasmania</t>
  </si>
  <si>
    <t>Earth System and Climate Change Hub of the Australian government's National Environmental Science Programme; Australian Government(Australian Government); U.S. National Science Foundation(National Science Foundation (NSF)); Centre for Southern Hemisphere Oceans Research (CSHOR); Qingdao National Laboratory for Marine Science and Technology (QNLM), CSIRO; University of New South Wales; University of Tasmania</t>
  </si>
  <si>
    <t>This research is funded through the Earth System and Climate Change Hub of the Australian government's National Environmental Science Programme. The assistance of computing resources from the National Computational Infrastructure supported by the Australian Government is acknowledged. Author Ummenhofer acknowledges support fromthe U.S. National Science Foundation under Grant OCE-1663704. Author Feng was supported by the Centre for Southern Hemisphere Oceans Research (CSHOR), which is a joint initiative between the QingdaoNational Laboratory for Marine Science and Technology (QNLM), CSIRO, University of New South Wales, and the University of Tasmania. The authors also acknowledge Dr. Manali Pal for technical discussion on machine learning.</t>
  </si>
  <si>
    <t>10.1175/JCLI-D-20-0625.1</t>
  </si>
  <si>
    <t>RT0EU</t>
  </si>
  <si>
    <t>WOS:000644142700006</t>
  </si>
  <si>
    <t>Kurtakoti, P; Veneziani, M; Stössel, A; Weijer, W; Maltrud, M</t>
  </si>
  <si>
    <t>Kurtakoti, Prajvala; Veneziani, Milena; Stossel, Achim; Weijer, Wilbert; Maltrud, Mathew</t>
  </si>
  <si>
    <t>On the Generation of Weddell Sea Polynyas in a High-Resolution Earth System Model</t>
  </si>
  <si>
    <t>Southern Ocean; Atmosphere-ocean interaction; Deep convection; Ocean circulation; Ocean dynamics; Climate models</t>
  </si>
  <si>
    <t>SOUTHERN-OCEAN CONVECTION; MAUD-RISE; DEEP CONVECTION; ICE; VARIABILITY; CIRCULATION; TRANSPORT; LATITUDE; STRATIFICATION; ANTARCTICA</t>
  </si>
  <si>
    <t>Larger Weddell Sea polynyas (WSPs), differentiated in this study from the smaller Maud Rise Polynyas (MRPs) that form to the east of the prime meridian in the proximity of the Maud Rise seamount, have last been observed in the 1970s. We investigate WSPs that grow realistically out of MRPs in a high-resolution preindustrial simulation with the Energy Exascale Earth System Model, version 0.1. The formation of MRPs requires high resolution to simulate the detailed flow around Maud Rise, whereas the realistic formation of WSPs requires a model to produce MRPs. Furthermore, WSPs tend to follow periods of a prolonged buildup of a heat reservoir at depth and weakly negative wind stress curl in association with the core of the Southern Hemisphere westerlies at an anomalously northern position. While this scenario also leads to drier conditions over the central Weddell Sea, which some literature claims to be a necessary condition for the formation of WSPs, our model results indicate that open-ocean polynyas do not occur during periods of weakly negative wind stress curl despite drier atmospheric conditions. Our study supports the hypothesis noted in earlier studies that a shift from a weakly negative to a strongly negative wind stress curl over the Weddell Sea is a prerequisite for WSPs to form, together with a large heat reservoir at depth. However, the ultimate trigger is a pronounced MRP, whose associated convection creates high surface salinity anomalies that propagate westward with the flow of the Weddell Gyre. If large enough, these anomalies trigger the formation of a WSP and a pulse of newly formed Antarctic Bottom Water.</t>
  </si>
  <si>
    <t>[Kurtakoti, Prajvala] Los Alamos Natl Lab, Ctr Nonlinear Studies CNLS, Los Alamos, NM 87545 USA; [Kurtakoti, Prajvala; Veneziani, Milena; Maltrud, Mathew] Los Alamos Natl Lab, Fluid Dynam &amp; Solid Mech T3, Los Alamos, NM 87545 USA; [Kurtakoti, Prajvala; Stossel, Achim] Texas A&amp;M Univ, Dept Oceanog, College Stn, TX 77843 USA; [Weijer, Wilbert] Los Alamos Natl Lab, Computat Phys &amp; Methods CCS 2, Los Alamos, NM USA</t>
  </si>
  <si>
    <t>United States Department of Energy (DOE); Los Alamos National Laboratory; United States Department of Energy (DOE); Los Alamos National Laboratory; Texas A&amp;M University System; Texas A&amp;M University College Station; United States Department of Energy (DOE); Los Alamos National Laboratory</t>
  </si>
  <si>
    <t>Kurtakoti, P (corresponding author), Los Alamos Natl Lab, Ctr Nonlinear Studies CNLS, Los Alamos, NM 87545 USA.;Kurtakoti, P (corresponding author), Los Alamos Natl Lab, Fluid Dynam &amp; Solid Mech T3, Los Alamos, NM 87545 USA.;Kurtakoti, P (corresponding author), Texas A&amp;M Univ, Dept Oceanog, College Stn, TX 77843 USA.</t>
  </si>
  <si>
    <t>prajvala@lanl.gov</t>
  </si>
  <si>
    <t>Weijer, Wilbert/AAT-3247-2021; Weijer, Wilbert/A-7909-2010</t>
  </si>
  <si>
    <t>Weijer, Wilbert/0000-0002-5654-562X; Weijer, Wilbert/0000-0002-5654-562X; Kurtakoti, Prajvala/0000-0002-1499-5980; Veneziani, Milena/0000-0001-9977-4599</t>
  </si>
  <si>
    <t>U.S. Department of Energy (DOE) Office of Science Biological and Environmental Research (BER) program through the Regional and Global Model Analysis (RGMA) program through the High-Latitude Application and Testing of Earth System Models (HiLATRASM) project; U.S. Department of Energy through the LANL/LDRD Program; Center for Non Linear Studies [LA-UR-2022461]</t>
  </si>
  <si>
    <t>U.S. Department of Energy (DOE) Office of Science Biological and Environmental Research (BER) program through the Regional and Global Model Analysis (RGMA) program through the High-Latitude Application and Testing of Earth System Models (HiLATRASM) project(United States Department of Energy (DOE)); U.S. Department of Energy through the LANL/LDRD Program(United States Department of Energy (DOE)); Center for Non Linear Studies</t>
  </si>
  <si>
    <t>Authors P. Kurtakoti, M. Veneziani, and W. Weijer acknowledge support of the U.S. Department of Energy (DOE) Office of Science Biological and Environmental Research (BER) program through the Regional and Global Model Analysis (RGMA) program through the High-Latitude Application and Testing of Earth System Models (HiLATRASM) project. Kurtakoti acknowledges the support of the U.S. Department of Energy through the LANL/LDRD Program and the Center for Non Linear Studies for this work (LA-UR-2022461). Discussions with TarunVerma have been immensely helpful in developing the ideas for analysis used in sections 3b and 3e.</t>
  </si>
  <si>
    <t>10.1175/JCLI-D-20-0229.1</t>
  </si>
  <si>
    <t>Green Submitted, Bronze</t>
  </si>
  <si>
    <t>WOS:000644142700007</t>
  </si>
  <si>
    <t>Lockwood, JW; Dufour, CO; Griffies, SM; Winton, M</t>
  </si>
  <si>
    <t>Lockwood, Joseph W.; Dufour, Carolina O.; Griffies, Stephen M.; Winton, Michael</t>
  </si>
  <si>
    <t>On the Role of the Antarctic Slope Front on the Occurrence of the Weddell Sea Polynya under Climate Change</t>
  </si>
  <si>
    <t>Sea ice; Southern Ocean; Boundary currents; Deep convection; Climate models</t>
  </si>
  <si>
    <t>SOUTHERN-OCEAN CONVECTION; CIRCUMPOLAR DEEP-WATER; CMIP5 MODELS; CIRCULATION; EDDY; MESOSCALE; SIMULATION; EDDIES; WINDS; VARIABILITY</t>
  </si>
  <si>
    <t>This study investigates the occurrence of the Weddell Sea polynya under an idealized climate change scenario by evaluating simulations from climate models of different ocean resolutions. The GFDL-CM2.6 climate model, with roughly 3.8-km horizontal ocean grid spacing in the high latitudes, forms a Weddell Sea polynya at similar time and duration under idealized climate change forcing as under preindustrial forcing. In contrast, all convective models forming phase 5 of the Coupled Model Intercomparison Project (CMIP5) show either a cessation or a slowdown of Weddell Sea polynya events under climate warming. The representation of the Antarctic Slope Current and related Antarctic Slope Front is found to be key in explaining the differences between the two categories of models, with these features being more realistic in CM2.6 than in CMIP5. In CM2.6, the freshwater input driven by sea ice melt and enhanced runoff found under climate warming largely remains on the shelf region since the slope front restricts the lateral spread of the freshwater. In contrast, for most CMIP5 models, open-ocean stratification is enhanced by freshening since the absence of a slope front allows coastal freshwater anomalies to spread into the open ocean. This enhanced freshening contributes to the slowdown the occurrence of Weddell Sea polynyas. Hence, an improved representation of Weddell Sea shelf processes in current climate models is desirable to increase our ability to predict the fate of the Weddell Sea polynyas under climate change.</t>
  </si>
  <si>
    <t>[Lockwood, Joseph W.; Dufour, Carolina O.] McGill Univ, Dept Atmospher &amp; Ocean Sci, Montreal, PQ, Canada; [Griffies, Stephen M.; Winton, Michael] NOAA, Geophys Fluid Dynam Lab, Princeton, NJ USA; [Griffies, Stephen M.] Princeton Univ, Atmospher &amp; Ocean Sci Program, Princeton, NJ 08544 USA</t>
  </si>
  <si>
    <t>McGill University; National Oceanic Atmospheric Admin (NOAA) - USA; Princeton University; National Oceanic Atmospheric Admin (NOAA) - USA</t>
  </si>
  <si>
    <t>Lockwood, JW (corresponding author), McGill Univ, Dept Atmospher &amp; Ocean Sci, Montreal, PQ, Canada.</t>
  </si>
  <si>
    <t>mailme@josephlockwood.co.uk</t>
  </si>
  <si>
    <t>Dufour, Carolina/GZA-9986-2022; Griffies, Stephen Matthew/N-9144-2019</t>
  </si>
  <si>
    <t>Dufour, Carolina/0000-0002-1441-3880; Griffies, Stephen Matthew/0000-0002-3711-236X</t>
  </si>
  <si>
    <t>McGill University Stephen and Anastasia Mysak Graduate Fellowship in Atmospheric and Oceanic Sciences; Natural Sciences and Engineering Research Council of Canada (NSERC)</t>
  </si>
  <si>
    <t>McGill University Stephen and Anastasia Mysak Graduate Fellowship in Atmospheric and Oceanic Sciences; Natural Sciences and Engineering Research Council of Canada (NSERC)(Natural Sciences and Engineering Research Council of Canada (NSERC))</t>
  </si>
  <si>
    <t>J. W. Lockwood was supported by the McGill University Stephen and Anastasia Mysak Graduate Fellowship in Atmospheric and Oceanic Sciences. We acknowledge the support of the Natural Sciences and Engineering Research Council of Canada (NSERC). Quebec Ocean supported J. Lockwood through the Short training support program. We thank Dany Dumont, Graeme MacGilchrist, Casimir de Lavergne, and Alexander Haumann for helpful comments and discussions on this study. We thank the CMIP5 archive and NASA for providing access to the LLC_4320 model data. We also thank three anonymous reviewers whose constructive comments greatly improved this manuscript.</t>
  </si>
  <si>
    <t>10.1175/JCLI-D-20-0069.1</t>
  </si>
  <si>
    <t>WOS:000644142700009</t>
  </si>
  <si>
    <t>Feng, XF; Ding, QH; Wu, LG; Jones, C; Baxter, I; Tardif, R; Stevenson, S; Emile-Geay, J; Mitchell, J; Carvalho, LMV; Wang, HJ; Steig, EJ</t>
  </si>
  <si>
    <t>Feng, Xiaofang; Ding, Qinghua; Wu, Liguang; Jones, Charles; Baxter, Ian; Tardif, Robert; Stevenson, Samantha; Emile-Geay, Julien; Mitchell, Jonathan; Carvalho, Leila M., V; Wang, Huijun; Steig, Eric J.</t>
  </si>
  <si>
    <t>A Multidecadal-Scale Tropically Driven Global Teleconnection over the Past Millennium and Its Recent Strengthening</t>
  </si>
  <si>
    <t>Antarctica; Arctic; Tropics; Teleconnections; Paleoclimate; Multidecadal variability</t>
  </si>
  <si>
    <t>SEA-ICE LOSS; NINO-SOUTHERN OSCILLATION; SURFACE TEMPERATURE; CLIMATE; OCEAN; VARIABILITY; REANALYSIS; TIME; EMERGENCE; VARIANCE</t>
  </si>
  <si>
    <t>In the past 40 years, the global annual mean surface temperature has experienced a nonuniform warming, differing from the spatially uniform warming simulated by the forced responses of large multimodel ensembles to anthropogenic forcing. Rather, it exhibits significant asymmetry between the Arctic and Antarctic, with intermittent and spatially varying warming trends along the Northern Hemisphere (NH) midlatitudes and a slight cooling in the tropical eastern Pacific. In particular, this wavy pattern of temperature changes over the NH midlatitudes features strong cooling over Eurasia in boreal winter. Here, we show that these nonuniform features of surface temperature changes are likely tied together by tropical eastern Pacific sea surface temperatures (SSTs), via a global atmospheric teleconnection. Using six reanalyses, we find that this teleconnection can be consistently obtained as a leading circulation mode in the past century. This tropically driven teleconnection is associated with a Pacific SST pattern resembling the interdecadal Pacific oscillation (IPO), and hereafter referred to as the IPO-related bipolar teleconnection (IPO-BT). Further, two paleo-reanalysis reconstruction datasets show that the IPO-BT is a robust recurrent mode over the past 400 and 2000 years. The IPO-BT mode may thus serve as an important internal mode that regulates high-latitude climate variability on multidecadal time scales, favoring a warming (cooling) episode in the Arctic accompanied by cooling (warming) over Eurasia and the Southern Ocean (SO). Thus, the spatial nonuniformity of recent surface temperature trends may be partially explained by the enhanced appearance of the IPO-BT mode by a transition of the IPO toward a cooling phase in the eastern Pacific in the past decades.</t>
  </si>
  <si>
    <t>[Feng, Xiaofang; Wang, Huijun] Nanjing Univ Informat Sci &amp; Technol, Key Lab Meteorol Disaster, Minist Educ, Nanjing, Peoples R China; [Feng, Xiaofang; Ding, Qinghua; Jones, Charles; Baxter, Ian; Carvalho, Leila M., V] Univ Calif Santa Barbara, Dept Geog, Santa Barbara, CA 93106 USA; [Feng, Xiaofang; Ding, Qinghua; Jones, Charles; Baxter, Ian; Carvalho, Leila M., V] Univ Calif Santa Barbara, Earth Res Inst, Santa Barbara, CA 93106 USA; [Wu, Liguang] Fudan Univ, Dept Atmospher &amp; Ocean Sci, Shanghai, Peoples R China; [Wu, Liguang] Fudan Univ, Inst Atmospher Sci, Shanghai, Peoples R China; [Tardif, Robert] Univ Washington, Dept Atmospher Sci, Seattle, WA 98195 USA; [Stevenson, Samantha] Univ Calif Santa Barbara, Bren Sch Environm Sci &amp; Management, Santa Barbara, CA 93106 USA; [Emile-Geay, Julien] Univ Southern Calif, Dept Earth Sci, Los Angeles, CA 90007 USA; [Mitchell, Jonathan] Univ Calif Los Angeles, Dept Atmospher &amp; Ocean Sci, Los Angeles, CA USA; [Mitchell, Jonathan] Univ Calif Los Angeles, Dept Earth Planetary &amp; Space Sci, Los Angeles, CA USA; [Wang, Huijun] Nanjing Univ Informat Sci &amp; Technol, Collaborat Innovat Ctr Forecast &amp; Evaluat Meteoro, Nanjing, Peoples R China; [Steig, Eric J.] Univ Washington, Dept Earth &amp; Space Sci, Seattle, WA 98195 USA</t>
  </si>
  <si>
    <t>Nanjing University of Information Science &amp; Technology; University of California System; University of California Santa Barbara; University of California System; University of California Santa Barbara; Fudan University; Fudan University; University of Washington; University of Washington Seattle; University of California System; University of California Santa Barbara; University of Southern California; University of California System; University of California Los Angeles; University of California System; University of California Los Angeles; Nanjing University of Information Science &amp; Technology; University of Washington; University of Washington Seattle</t>
  </si>
  <si>
    <t>Ding, QH (corresponding author), Univ Calif Santa Barbara, Dept Geog, Santa Barbara, CA 93106 USA.;Ding, QH (corresponding author), Univ Calif Santa Barbara, Earth Res Inst, Santa Barbara, CA 93106 USA.</t>
  </si>
  <si>
    <t>qinghua@ucsb.edu</t>
  </si>
  <si>
    <t>wang, hui/HSG-6135-2023; Wang, Hui/HMU-9512-2023; Wu, Liguang/ABC-3384-2021; Jones, Charles/GVS-9497-2022; Steig, Eric J/G-9088-2015; wang, yue/ISA-4119-2023; Emile-Geay, Julien/B-1102-2010; Jones, Charles/I-4574-2012</t>
  </si>
  <si>
    <t>Emile-Geay, Julien/0000-0001-5920-4751; Jones, Charles/0000-0003-4808-6977; Feng, Xiaofang/0000-0003-1749-6674; Stevenson, Samantha/0000-0002-1223-8521</t>
  </si>
  <si>
    <t>NOAA's Climate Program Office [NA18OAR4310424, NA19OAR4310281]; NSF's Polar Programs [OPP-1744598, OPP-1443144]; China Scholarship Council (CSC) [NA18OAR4310424, 201808320280]; National Natural Science Foundation of China [41730961]</t>
  </si>
  <si>
    <t>NOAA's Climate Program Office(National Oceanic Atmospheric Admin (NOAA) - USA); NSF's Polar Programs; China Scholarship Council (CSC)(China Scholarship Council); National Natural Science Foundation of China(National Natural Science Foundation of China (NSFC))</t>
  </si>
  <si>
    <t>This study was supported by Climate Variability and Predictability (NA18OAR4310424) and Modeling, Analysis, Predictions and Projections (NA19OAR4310281) programs as part of NOAA's Climate Program Office andNSF's Polar Programs (OPP-1744598, OPP-1443144). X. F. was jointly supported by the China Scholarship Council (CSC) (201808320280) and NA18OAR4310424 and the National Natural Science Foundation of China (41730961). L. W. was supported by the National Natural Science Foundation of China (41730961). We acknowledge the CESM Large Ensemble Community Project, U.S. CLIVAR Large Ensemble Working Group and supercomputing resources provided by NSF/CISL/Yellowstone.</t>
  </si>
  <si>
    <t>10.1175/JCLI-D-20-0216.1</t>
  </si>
  <si>
    <t>WOS:000644142700010</t>
  </si>
  <si>
    <t>Turner, J; Lu, H; King, J; Marshall, GJ; Phillips, T; Bannister, D; Colwell, S</t>
  </si>
  <si>
    <t>Turner, John; Lu, Hua; King, John; Marshall, Gareth J.; Phillips, Tony; Bannister, Dan; Colwell, Steve</t>
  </si>
  <si>
    <t>Extreme Temperatures in the Antarctic</t>
  </si>
  <si>
    <t>Atmosphere; Antarctica; Antarctic Oscillation; Climate variability; Temperature</t>
  </si>
  <si>
    <t>SOUTHERN ANNULAR MODE; SEA-ICE; SURFACE TEMPERATURES; CLIMATE; RECORD; PRECIPITATION; VARIABILITY; TRENDS; IMPACT; WINTER</t>
  </si>
  <si>
    <t>We present the first Antarctic-wide analysis of extreme near-surface air temperatures based on data collected up to the end of 2019 as part of the synoptic meteorological observing programs. We consider temperatures at 17 stations on the Antarctic continent and nearby sub-Antarctic islands. We examine the frequency distributions of temperatures and the highest and lowest individual temperatures observed. The variability and trends in the number of extreme temperatures were examined via the mean daily temperatures computed from the 0000, 0600, 1200, and 1800 UTC observations, with the thresholds for extreme warm and cold days taken as the 5th and 95th percentiles. The five stations examined from the Antarctic Peninsula region all experienced a statistically significant increase (p &lt; 0.01) in the number of extreme high temperatures in the late-twentieth-century part of their records, although the number of extremes decreased in subsequent years. For the period after 1979 we investigate the synoptic background to the extreme events using ECMWF interim reanalysis (ERA-Interim) fields. The majority of record high temperatures were recorded after the passage of air masses over high orography, with the air being warmed by the foehn effect. At some stations in coastal East Antarctica the highest temperatures were recorded after air with a high potential temperature descended from the Antarctic plateau, resulting in an air mass 5 degrees-7 degrees C warmer than the maritime air. Record low temperatures at the Antarctic Peninsula stations were observed during winters with positive sea ice anomalies over the Bellingshausen and Weddell Seas.</t>
  </si>
  <si>
    <t>[Turner, John; Lu, Hua; King, John; Marshall, Gareth J.; Phillips, Tony; Bannister, Dan; Colwell, Steve] British Antarctic Survey, Nat Environm Res Council, Cambridge, England</t>
  </si>
  <si>
    <t>Turner, J (corresponding author), British Antarctic Survey, Nat Environm Res Council, Cambridge, England.</t>
  </si>
  <si>
    <t>jtu@bas.ac.uk</t>
  </si>
  <si>
    <t>Lu, Hua/GXA-0276-2022</t>
  </si>
  <si>
    <t>Lu, Hua/0000-0001-9485-5082</t>
  </si>
  <si>
    <t>NERC [bas0100032] Funding Source: UKRI</t>
  </si>
  <si>
    <t>NERC(UK Research &amp; Innovation (UKRI)Natural Environment Research Council (NERC))</t>
  </si>
  <si>
    <t>10.1175/JCLI-D-20-0538.1</t>
  </si>
  <si>
    <t>WOS:000644142700015</t>
  </si>
  <si>
    <t>Scherllin-Pirscher, B; Steiner, AK; Anthes, RA; Alexander, MJ; Alexander, SP; Biondi, R; Birner, T; Kim, J; Randel, WJ; Son, SW; Tsuda, T; Zeng, Z</t>
  </si>
  <si>
    <t>Scherllin-Pirscher, Barbara; Steiner, Andrea K.; Anthes, Richard A.; Alexander, M. Joan; Alexander, Simon P.; Biondi, Riccardo; Birner, Thomas; Kim, Joowan; Randel, William J.; Son, Seok-Woo; Tsuda, Toshitaka; Zeng, Zhen</t>
  </si>
  <si>
    <t>Tropical Temperature Variability in the UTLS: New Insights from GPS Radio Occultation Observations</t>
  </si>
  <si>
    <t>Tropics; Stratosphere-troposphere coupling; Upper troposphere; Temperature; Occultation; Tropical variability</t>
  </si>
  <si>
    <t>GRAVITY-WAVE ACTIVITY; LATENT-HEAT RELEASE; VERTICAL STRUCTURE; UPPER TROPOSPHERE; THERMAL STRUCTURE; VOLCANIC CLOUDS; MOMENTUM FLUX; KELVIN WAVES; ANNUAL CYCLE; TROPOPAUSE</t>
  </si>
  <si>
    <t>Global positioning system (GPS) radio occultation (RO) observations, first made of Earth's atmosphere in 1995, have contributed in new ways to the understanding of the thermal structure and variability of the tropical upper troposphere-lower stratosphere (UTLS), an important component of the climate system. The UTLS plays an essential role in the global radiative balance, the exchange of water vapor, ozone, and other chemical constituents between the troposphere and stratosphere, and the transfer of energy from the troposphere to the stratosphere. With their high accuracy, precision, vertical resolution, and global coverage, RO observations are uniquely suited for studying the UTLS and a broad range of equatorial waves, including gravity waves, Kelvin waves, Rossby and mixed Rossby-gravity waves, and thermal tides. Because RO measurements are nearly unaffected by clouds, they also resolve the upper-level thermal structure of deep convection and tropical cyclones as well as volcanic clouds. Their low biases and stability from mission to mission make RO observations powerful tools for studying climate variability and trends, including the annual cycle and intraseasonal-to-interannual atmospheric modes of variability such as the quasi-biennial oscillation (QBO), Madden-Julian oscillation (MJO), and El Nino-Southern Oscillation (ENSO). These properties also make them useful for evaluating climate models and detection of small trends in the UTLS temperature, key indicators of climate change. This paper reviews the contributions of RO observations to the understanding of the three-dimensional structure of tropical UTLS phenomena and their variability over time scales ranging from hours to decades and longer.</t>
  </si>
  <si>
    <t>[Scherllin-Pirscher, Barbara] Zentralanstalt Meteorol &amp; Geodynam, Graz, Austria; [Scherllin-Pirscher, Barbara; Steiner, Andrea K.] Karl Franzens Univ Graz, Wegener Ctr Climate &amp; Global Change, Graz, Austria; [Steiner, Andrea K.] Karl Franzens Univ Graz, Inst Geophys Astrophys &amp; Meteorol, Inst Phys, Graz, Austria; [Anthes, Richard A.; Zeng, Zhen] Univ Corp Atmospher Res, COSMIC Program Off, Boulder, CO USA; [Alexander, M. Joan] Colorado Res Associates, NorthWest Res Associates, Boulder, CO USA; [Alexander, Simon P.] Australian Antarctic Div, Hobart, Tas, Australia; [Biondi, Riccardo] Univ Padua, Dipartimento Geosci, Padua, Italy; [Birner, Thomas] Ludwig Maximilians Univ Munchen, Munich, Germany; [Kim, Joowan] Kongju Natl Univ, Dept Atmospher Sci, Gongju, South Korea; [Randel, William J.] Natl Ctr Atmospher Res, Atmospher Chem Observat &amp; Modeling Lab, POB 3000, Boulder, CO 80307 USA; [Son, Seok-Woo] Seoul Natl Univ, Sch Earth &amp; Environm Sci, Seoul, South Korea; [Tsuda, Toshitaka] Kyoto Univ, Res Inst Sustainable Humanosphere, Uji, Japan</t>
  </si>
  <si>
    <t>University of Graz; University of Graz; National Center Atmospheric Research (NCAR) - USA; NorthWest Research Associates; Australian Antarctic Division; University of Padua; University of Munich; Kongju National University; National Center Atmospheric Research (NCAR) - USA; Seoul National University (SNU); Kyoto University</t>
  </si>
  <si>
    <t>Scherllin-Pirscher, B (corresponding author), Zentralanstalt Meteorol &amp; Geodynam, Graz, Austria.;Scherllin-Pirscher, B (corresponding author), Karl Franzens Univ Graz, Wegener Ctr Climate &amp; Global Change, Graz, Austria.</t>
  </si>
  <si>
    <t>barbara.scherllin-pirscher@zamg.ac.at</t>
  </si>
  <si>
    <t>Randel, William J/K-3267-2016; Tsuda, Toshitaka/GYJ-4925-2022; Birner, Thomas/FFE-8380-2022; Son, Seok-Woo/A-8797-2013; Steiner, Andrea K/F-7980-2017; Biondi, Riccardo/F-5156-2011</t>
  </si>
  <si>
    <t>Birner, Thomas/0000-0002-2966-3428; Steiner, Andrea K/0000-0003-1201-3303; Alexander, Simon/0000-0001-6823-8857; Biondi, Riccardo/0000-0003-3062-0326</t>
  </si>
  <si>
    <t>Austrian Science Fund (FWF) [P27724-NBL]; NSF-NASA [1522830]; NOAA [16CN0070]; U.S. Air Force Contract [319C004]; NSPO-UCAR AIT-TECRO Agreement Implementing Arrangement 5; NASA GNSS Remote Sensing Science Team [NNX16AK37G]; JSPS KAKENHI Grant [JP18K03741]; NASA [80NSSC18K0069]; NSF [1642644]; VESUVIO project under the Supporting Talent in Research (STARS) Programme at Universita degli Studi di Padova; H2020 SESAR ENGAGE KTN CARGO project [783287]; National Research Foundation of Korea [NRF-2020R1F1A1075859]; National Research Foundation of Korea (NRF) grant - South Korean government (Ministry of Science and ICT) [2017R1E1A1A01074889]; U.S. National Science Foundation; NASA [902101, NNX16AK37G] Funding Source: Federal RePORTER; Directorate For Geosciences; Div Atmospheric &amp; Geospace Sciences [1642644] Funding Source: National Science Foundation; H2020 Societal Challenges Programme [783287] Funding Source: H2020 Societal Challenges Programme</t>
  </si>
  <si>
    <t>Austrian Science Fund (FWF)(Austrian Science Fund (FWF)); NSF-NASA(National Science Foundation (NSF)National Aeronautics &amp; Space Administration (NASA)); NOAA(National Oceanic Atmospheric Admin (NOAA) - USA); U.S. Air Force Contract; NSPO-UCAR AIT-TECRO Agreement Implementing Arrangement 5; NASA GNSS Remote Sensing Science Team; JSPS KAKENHI Grant(Ministry of Education, Culture, Sports, Science and Technology, Japan (MEXT)Japan Society for the Promotion of ScienceGrants-in-Aid for Scientific Research (KAKENHI)); NASA(National Aeronautics &amp; Space Administration (NASA)); NSF(National Science Foundation (NSF)); VESUVIO project under the Supporting Talent in Research (STARS) Programme at Universita degli Studi di Padova; H2020 SESAR ENGAGE KTN CARGO project; National Research Foundation of Korea(National Research Foundation of Korea); National Research Foundation of Korea (NRF) grant - South Korean government (Ministry of Science and ICT)(National Research Foundation of Korea); U.S. National Science Foundation(National Science Foundation (NSF)); NASA(National Aeronautics &amp; Space Administration (NASA)); Directorate For Geosciences; Div Atmospheric &amp; Geospace Sciences(National Science Foundation (NSF)NSF - Directorate for Geosciences (GEO)); H2020 Societal Challenges Programme(Horizon 2020European Union (EU)H2020 Societal Challenges Programme)</t>
  </si>
  <si>
    <t>We thank all RO processing teams worldwide for their continuous support and for making RO data available for free. At WEGC this work was funded by the Austrian Science Fund (FWF) under Research Grant P27724-NBL (VERTICLIM). The UCAR work was sponsored by NSF-NASA Grant 1522830, NOAA Contract 16CN0070, U.S. Air Force Contract 319C004, and NSPO-UCAR AIT-TECRO Agreement Implementing Arrangement 5. Author Randel was additionally supported by the NASA GNSS Remote Sensing Science Team under Grant NNX16AK37G. Author Tsuda was supported in part by JSPS KAKENHI Grant JP18K03741. Author M. J. Alexander was supported by NASA Grant 80NSSC18K0069 and NSF Grant 1642644. Author Biondi was supported by the VESUVIO project funded under the Supporting Talent in Research (STARS) Programme at Universita degli Studi di Padova, and by the H2020 SESAR ENGAGE KTN CARGO project under Grant Agreement 783287. Author Kim was supported by the National Research Foundation of Korea (NRF-2020R1F1A1075859). Author Son was supported by the National Research Foundation of Korea (NRF) grant funded by the South Korean government (Ministry of Science and ICT) (2017R1E1A1A01074889). The National Center for Atmospheric Research is sponsored by the U.S. National Science Foundation.</t>
  </si>
  <si>
    <t>10.1175/JCLI-D-20-0385.1</t>
  </si>
  <si>
    <t>RT0GN</t>
  </si>
  <si>
    <t>WOS:000644147200001</t>
  </si>
  <si>
    <t>Tesdal, JE; Abernathey, RP</t>
  </si>
  <si>
    <t>Tesdal, Jan-Erik; Abernathey, Ryan P.</t>
  </si>
  <si>
    <t>Drivers of Local Ocean Heat Content Variability in ECCOv4</t>
  </si>
  <si>
    <t>Ocean; Ocean dynamics; Atmosphere-ocean interaction; Reanalysis data; Interannual variability; Oceanic variability; Clustering</t>
  </si>
  <si>
    <t>INTERANNUAL VARIATIONS; TRANSPORT CONVERGENCE; CLIMATE MODELS; TEMPERATURE; PREDICTION; FLUX</t>
  </si>
  <si>
    <t>Variation in upper-ocean heat content is a critical factor in understanding global climate variability. Using temperature anomaly budgets in a two-decade-long physically consistent ocean state estimate (ECCOv4r3; 1992-2015), we describe the balance between atmospheric forcing and ocean transport mechanisms for different depth horizons and at varying temporal and spatial resolutions. Advection dominates in the tropics, while forcing is most relevant at higher latitudes and in parts of the subtropics, but the balance of dominant processes changes when integrating over greater depths and considering longer time scales. While forcing is shown to increase with coarser resolution, overall the heat budget balance between it and advection is remarkably insensitive to spatial scale. A novel perspective on global ocean heat content variability was made possible by combining unsupervised classification with a measure of temporal variability in heat budget terms to identify coherent dynamical regimes with similar underlying mechanisms, which are consistent with prior research. The vast majority of the ocean includes significant contributions by both forcing and advection. However advection-driven regions were identified that coincide with strong currents, such as western boundary currents, the Antarctic Circumpolar Current, and the tropics, while forcing-driven regions were defined by shallower wintertime mixed layers and weak velocity fields. This identification of comprehensive dynamical regimes and the sensitivity of the ocean heat budget analysis to exact resolution (for different depth horizons and at varying temporal and spatial resolutions) should provide a useful orientation for future studies of ocean heat content variability in specific ocean regions.</t>
  </si>
  <si>
    <t>[Tesdal, Jan-Erik; Abernathey, Ryan P.] Columbia Univ, Lamont Doherty Earth Observ, Palisades, NY 10964 USA</t>
  </si>
  <si>
    <t>Columbia University</t>
  </si>
  <si>
    <t>Tesdal, JE (corresponding author), Columbia Univ, Lamont Doherty Earth Observ, Palisades, NY 10964 USA.</t>
  </si>
  <si>
    <t>tesdal@ldeo.columbia.edu</t>
  </si>
  <si>
    <t>NASA's Goddard Space Flight Center [NNX15AN27H]; NSF Award [OCE-1553593]; Sloan Fellowship in Ocean Sciences; NSF EarthCube award [OCE-1740648]; NASA [NNX15AN27H, 807036] Funding Source: Federal RePORTER</t>
  </si>
  <si>
    <t>NASA's Goddard Space Flight Center; NSF Award(National Science Foundation (NSF)); Sloan Fellowship in Ocean Sciences; NSF EarthCube award; NASA(National Aeronautics &amp; Space Administration (NASA))</t>
  </si>
  <si>
    <t>JET acknowledges funding from NASA's Goddard Space Flight Center (Award NNX15AN27H). RPA acknowledges support from NSF Award OCE-1553593 and a Sloan Fellowship in Ocean Sciences. Computational tools for performing this research were provided by Pangeo, supported by NSF EarthCube award OCE-1740648. The authors thank Spencer Jones for providing helpful comments. We wish to thank Martha Buckley and two anonymous reviewers for their careful assessment of the manuscript and for their helpful suggestions on improving it.</t>
  </si>
  <si>
    <t>10.1175/JCLI-D-20-0058.1</t>
  </si>
  <si>
    <t>WOS:000644147200008</t>
  </si>
  <si>
    <t>Pritchard, HD; Farinotti, D; Colwell, S</t>
  </si>
  <si>
    <t>Pritchard, Hamish D.; Farinotti, Daniel; Colwell, Steven</t>
  </si>
  <si>
    <t>Measuring Changes in Snowpack SWE Continuously on a Landscape Scale Using Lake Water Pressure</t>
  </si>
  <si>
    <t>JOURNAL OF HYDROMETEOROLOGY</t>
  </si>
  <si>
    <t>Snow cover; Water budget; balance; Instrumentation; sensors; Surface observations; Mountain meteorology</t>
  </si>
  <si>
    <t>RIVER-ICE; IN-SITU; EQUIVALENT; PRECIPITATION; CLIMATE; SENSOR; DEPTH; VARIABILITY; REANALYSIS; IMPACTS</t>
  </si>
  <si>
    <t>The seasonal snowpack is a globally important water resource that is notoriously difficult to measure. Existing instruments make measurements of falling or accumulating snow water equivalent (SWE) that are susceptible to bias, and most represent only a point in the landscape. Furthermore, the global array of SWE sensors is too sparse and too poorly distributed adequately to constrain snow in weather and climate models. We present a new approach to monitoring snowpack SWE from time series of lake water pressure. We tested our method in the lowland Finnish Arctic and in an alpine valley and high-mountain cirque in Switzerland and found that we could measure changes in SWE and their uncertainty through snowfalls with little bias and with an uncertainty comparable to or better than that achievable by other instruments. More importantly, our method inherently senses change over the whole lake surface, an area in this study up to 10.95 km(2), or 274 million times larger than the nearest pluviometer. This large scale makes our measurements directly comparable to the grid cells of weather and climate models. We find, for example, snowfall biases of up to 100% in operational forecast models AROME-Arctic and COSMO-1. Seasonally frozen lakes are widely distributed at high latitudes and are particularly common in mountain ranges, hence our new method is particularly well suited to the widespread, autonomous monitoring of snow-water resources in remote areas that are largely unmonitored today. This is potentially transformative in reducing uncertainty in regional precipitation and runoff in seasonally cold climates. SIGNIFICANCE STATEMENT: This work demonstrates a new method for measuring the water supplied by snowfall on the landscape scale. We find that we can measure accurately and precisely the changing water content of a snowpack by monitoring water pressure in lakes. Monitoring water pressure is relatively simple, cheap, and robust, and pressure changes represent the whole lake surface, which can be an area of many square kilometers. This makes our measurements comparable in size to the grid cells used by weather models, removing one of the major sources of uncertainty when calibrating these models to conventional point measurements of snow. Our method could therefore lead to an improved understanding of regional precipitation and runoff in seasonally cold climates.</t>
  </si>
  <si>
    <t>[Pritchard, Hamish D.; Colwell, Steven] British Antarctic Survey, Cambridge, England; [Pritchard, Hamish D.; Farinotti, Daniel] Swiss Fed Inst Forest Snow &amp; Landscape Res WSL, Birmensdorf, Switzerland; [Farinotti, Daniel] Swiss Fed Inst Technol, Lab Hydraul Hydrol &amp; Glaciol VAW, Zurich, Switzerland</t>
  </si>
  <si>
    <t>UK Research &amp; Innovation (UKRI); Natural Environment Research Council (NERC); NERC British Antarctic Survey; Swiss Federal Institutes of Technology Domain; Swiss Federal Institute for Forest, Snow &amp; Landscape Research; Swiss Federal Institutes of Technology Domain; ETH Zurich</t>
  </si>
  <si>
    <t>Pritchard, HD (corresponding author), British Antarctic Survey, Cambridge, England.;Pritchard, HD (corresponding author), Swiss Fed Inst Forest Snow &amp; Landscape Res WSL, Birmensdorf, Switzerland.</t>
  </si>
  <si>
    <t>hprit@bas.ac.uk</t>
  </si>
  <si>
    <t>Pritchard, Hamish Daniel/AAU-4696-2021</t>
  </si>
  <si>
    <t>British Antarctic Survey (Natural Environment Research Council); Swiss Federal Institute for Forest, Snow and Landscape (WSL); NERC [bas0100032, bas0100034] Funding Source: UKRI</t>
  </si>
  <si>
    <t>British Antarctic Survey (Natural Environment Research Council); Swiss Federal Institute for Forest, Snow and Landscape (WSL); NERC(UK Research &amp; Innovation (UKRI)Natural Environment Research Council (NERC))</t>
  </si>
  <si>
    <t>This work was funded by the British Antarctic Survey (Natural Environment Research Council) and the Swiss Federal Institute for Forest, Snow and Landscape (WSL). We would particularly like to acknowledge the considerable support of the late Koni Steffen. We are also very grateful for the help of Timo Ryyppo, Laura Rontu, and Bin Cheng of the FinnishMeteorological Institute; TeresaMaaria Valkonen of the Norwegian Meteorological Institute; Christian Allemann of MeteoSchweiz; andEef van Dongen of ETH Zurich.</t>
  </si>
  <si>
    <t>1525-755X</t>
  </si>
  <si>
    <t>1525-7541</t>
  </si>
  <si>
    <t>J HYDROMETEOROL</t>
  </si>
  <si>
    <t>J. Hydrometeorol.</t>
  </si>
  <si>
    <t>10.1175/JHM-D-20-0206.1</t>
  </si>
  <si>
    <t>RT1GK</t>
  </si>
  <si>
    <t>WOS:000644214500004</t>
  </si>
  <si>
    <t>Kim, S; Park, SJ; Lee, H; Ahn, DH; Jung, YJ; Choi, T; Lee, BY; Kim, SJ; Koo, JH</t>
  </si>
  <si>
    <t>Kim, Songkang; Park, Sang-Jong; Lee, Hana; Ahn, Dha Hyun; Jung, Yeonjin; Choi, Taejin; Lee, Bang Yong; Kim, Seong-Joong; Koo, Ja-Ho</t>
  </si>
  <si>
    <t>Evaluation of Total Ozone Column from Multiple Satellite Measurements in the Antarctic Using the Brewer Spectrophotometer</t>
  </si>
  <si>
    <t>ozone; Antarctica; Brewer spectrophotometer; satellite</t>
  </si>
  <si>
    <t>GROUND-BASED MEASUREMENTS; TROPOSPHERIC OZONE; VALIDATION; DOBSON; OMI; RETRIEVALS; CLIMATE; GOME; EMERGENCE; STATIONS</t>
  </si>
  <si>
    <t>The ground-based ozone observation instrument, Brewer spectrophotometer (Brewer), was used to evaluate the quality of the total ozone column (TOC) produced by multiple polar-orbit satellite measurements at three stations in Antarctica (King Sejong, Jang Bogo, and Zhongshan stations). While all satellite TOCs showed high correlations with Brewer TOCs (R = similar to 0.8 to 0.9), there are some TOC differences among satellite data in austral spring, which is mainly attributed to the bias of Atmospheric Infrared Sounder (AIRS) TOC. The quality of satellite TOCs is consistent between Level 2 and 3 data, implying that which satellite TOC is used can induce larger uncertainty than which spatial resolution is used for the investigation of the Antarctic TOC pattern. Additionally, the quality of satellite TOC is regionally different (e.g., OMI TOC is a little higher at the King Sejong station, but lower at the Zhongshan station than the Brewer TOC). Thus, it seems necessary to consider the difference of multiple satellite data for better assessing the spatiotemporal pattern of Antarctic TOC.</t>
  </si>
  <si>
    <t>[Kim, Songkang; Lee, Hana; Ahn, Dha Hyun; Koo, Ja-Ho] Yonsei Univ, Dept Atmospher Sci, Seoul 03722, South Korea; [Park, Sang-Jong; Choi, Taejin; Lee, Bang Yong; Kim, Seong-Joong] Korea Polar Res Inst, Incheon 21990, South Korea; [Jung, Yeonjin] Harvard Smithsonian Ctr Astrophys, Cambridge, MA 02140 USA</t>
  </si>
  <si>
    <t>Yonsei University; Korea Polar Research Institute (KOPRI); Smithsonian Institution; Harvard University; Smithsonian Astrophysical Observatory</t>
  </si>
  <si>
    <t>Koo, JH (corresponding author), Yonsei Univ, Dept Atmospher Sci, Seoul 03722, South Korea.</t>
  </si>
  <si>
    <t>songsiun2@yonsei.ac.kr; seongjkim@kopri.re.kr; leehn88@yonsei.ac.kr; devorahn711@yonsei.ac.kr; yeonjin.jung@cfa.harvard.edu; ctjin@kopri.re.kr; bylee@kopri.re.kr; seongjkim@kopri.re.kr; zach45@yonsei.ac.kr</t>
  </si>
  <si>
    <t>park, sang-jong/B-7049-2011</t>
  </si>
  <si>
    <t>park, sang-jong/0000-0002-6944-6962; Koo, Ja-Ho/0000-0002-8716-2162; Kim, Songkang/0000-0002-0582-6544</t>
  </si>
  <si>
    <t>Korea Polar Research Institute [PE20070]; Korea Ministry of Environment (MOE) as Public Technology Program based on Environmental Policy [2017000160001]</t>
  </si>
  <si>
    <t>Korea Polar Research Institute(Korea Polar Research Institute of Marine Research Placement (KOPRI)); Korea Ministry of Environment (MOE) as Public Technology Program based on Environmental Policy</t>
  </si>
  <si>
    <t>This study was supported by the Korea Polar Research Institute (grant no. PE20070) and also supported by KoreaMinistry of Environment (MOE) as Public Technology Program based on Environmental Policy (2017000160001). The Brewer spectrophotometer TOC data presented in this study are openly available in the Korea Polar Data Center at doi:10.22663/KOPRI-KPDC00001477.1 (For TOC at the King Sejong Station) [72], and doi:10.22663/KOPRI-KPDC-00001476.1 (For TOC at the Jang Bogo Station) [73]. The Brewer spectrophotometer TOC data at the Zhongshan station data were obtained from the World Ozone and Ultraviolet Radiation Data Center (https://woudc.org, accessed on 20 April 2020). Themultiple satellite observation data were prepared using the data archive of Goddard Earth Sciences Data and Information Services Center (https://disc.gsfc.nasa.gov, accessed on 8 April 2020). Finally, we appreciate the attention of the editor and two anonymous reviewers.</t>
  </si>
  <si>
    <t>10.3390/rs13081594</t>
  </si>
  <si>
    <t>RT8DB</t>
  </si>
  <si>
    <t>WOS:000644685400001</t>
  </si>
  <si>
    <t>Convey, P</t>
  </si>
  <si>
    <t>Convey, Peter</t>
  </si>
  <si>
    <t>Editorial: Keeping Antarctic Science relevant to and representative of the international Antarctic research community</t>
  </si>
  <si>
    <t>Convey, Peter/AAV-5728-2020</t>
  </si>
  <si>
    <t>PII S0954102021000134</t>
  </si>
  <si>
    <t>10.1017/S0954102021000134</t>
  </si>
  <si>
    <t>WOS:000648921000001</t>
  </si>
  <si>
    <t>Bishop, JM; Wasley, J; Waterman, MJ; Kohler, TJ; van de Vijver, B; Robinson, SA; Kopalová, K</t>
  </si>
  <si>
    <t>Bishop, Jordan M.; Wasley, Jane; Waterman, Melinda J.; Kohler, Tyler J.; van de Vijver, Bart; Robinson, Sharon A.; Kopalova, Katerina</t>
  </si>
  <si>
    <t>Diatom communities differ among Antarctic moss and lichen vegetation types</t>
  </si>
  <si>
    <t>algae; Antarctic Region; Bacillariophyceae; bryophyte; climate change; East Antarctica</t>
  </si>
  <si>
    <t>Continental Antarctica is a polar desert containing sparse pockets of vegetation within ice-free areas. Despite the recognized association between lichens, mosses and epiphytic diatoms, the environmental factors controlling diatom community structure are poorly understood. We investigated the association between diatom communities and host vegetation characteristics by experimentally adding nutrients and/or water to two bryophyte (healthy and moribund) and two lichen (crustose and Usnea) vegetation types in the Windmill Islands. Diatom communities were morphologically characterized, diversity indices calculated and differences between treatments, vegetation type and vegetation characteristics tested. We identified 49 diatom taxa, 8 of which occurred with &gt; 1% relative abundance. Bryophyte and lichen vegetation harboured significantly different diatom communities, both in composition and diversity indices. Specifically, Luticola muticopsis was more prevalent in moribund bryophytes and crustose lichens, and Usnea lichens showed lower species richness than other types. While nutrient and water additions did not significantly alter diatom communities, diversity indices and some species showed relationships with vegetation physiological characteristics, notably %N and delta C-13, suggesting the importance of ambient gradients in water and nutrient availability. Collectively, this work suggests that future conditions favouring the dominance of a particular vegetation type may have a homogenizing effect on the terrestrial diatom communities of East Antarctica.</t>
  </si>
  <si>
    <t>[Bishop, Jordan M.; Kopalova, Katerina] Charles Univ Prague, Dept Ecol, Prague, Czech Republic; [Wasley, Jane; Waterman, Melinda J.; Robinson, Sharon A.] Univ Wollongong, Sch Earth Atmospher &amp; Life Sci, Ctr Sustainable Ecosyst Solut, Wollongong, NSW, Australia; [Wasley, Jane] Australian Antarctic Div, Environm Protect Program, Kingston, Tas, Australia; [Kohler, Tyler J.] Ecole Polytech Fed Lausanne, Stream Biofilm &amp; Ecosyst Res Lab, Lausanne, Switzerland; [van de Vijver, Bart] Meise Bot Garden, Res Dept, Meise, Belgium; [van de Vijver, Bart] Univ Antwerp, Dept Biol, Antwerp, Belgium; [Robinson, Sharon A.] Univ Wollongong, Global Challenges Program, Wollongong, NSW, Australia</t>
  </si>
  <si>
    <t>Charles University Prague; University of Wollongong; Australian Antarctic Division; Swiss Federal Institutes of Technology Domain; Ecole Polytechnique Federale de Lausanne; University of Antwerp; University of Wollongong</t>
  </si>
  <si>
    <t>Bishop, JM (corresponding author), Charles Univ Prague, Dept Ecol, Prague, Czech Republic.</t>
  </si>
  <si>
    <t>jordanmbishop87@gmail.com</t>
  </si>
  <si>
    <t>Wasley, Jane/KHX-4880-2024; Robinson, Sharon/B-2683-2008; Kohler, Tyler Joe/IUO-5352-2023; Waterman, Melinda/N-5880-2019; Bishop, Jordan/Q-3298-2017; Kopalova, Katerina/M-6207-2017</t>
  </si>
  <si>
    <t>Robinson, Sharon/0000-0002-7130-9617; Kohler, Tyler Joe/0000-0001-5137-4844; Waterman, Melinda/0000-0001-5907-4512; Bishop, Jordan/0000-0003-2006-9462; Kopalova, Katerina/0000-0002-7905-4268; Van de Vijver, Bart/0000-0002-6244-1886; Wasley, Jane/0000-0001-9379-664X</t>
  </si>
  <si>
    <t>Australian Antarctic Division; Antarctic Science Advisory Committee (ASAC), under ASAC [1087]; Australian Postgraduate Award; Charles University Research Centre [204069]; Charles University Grant Agency (GAUK) [1460218]; Charles University, Faculty of Science STARS Fellowship; Charles University Mobility Fund; Australian Research Council [DP180100113]; Australian Antarctic Science [1087, 1313, 4516]; UOW Global Challenges Program</t>
  </si>
  <si>
    <t>Australian Antarctic Division; Antarctic Science Advisory Committee (ASAC), under ASAC; Australian Postgraduate Award(Australian Government); Charles University Research Centre; Charles University Grant Agency (GAUK); Charles University, Faculty of Science STARS Fellowship; Charles University Mobility Fund; Australian Research Council(Australian Research Council); Australian Antarctic Science; UOW Global Challenges Program</t>
  </si>
  <si>
    <t>Fieldwork in Antarctica was supported by the Australian Antarctic Division, with funding provided by the Antarctic Science Advisory Committee (ASAC), under ASAC grant 1087 awarded to SAR. JW was supported by an Australian Postgraduate Award during fieldwork and subsequent laboratory (nutrient) analyses. This work has been supported by the Charles University Research Centre (programme No. 204069) and the Charles University Grant Agency (GAUK) Project 1460218. JMB also benefitted from the Charles University, Faculty of Science STARS Fellowship. KKwas further supported by the Charles University Mobility Fund. Funding for this research was provided by Australian Research Council Discovery projects DP180100113, Australian Antarctic Science projects 1087, 1313 and 4516 and the UOW Global Challenges Program (JW, SAR, MJW).</t>
  </si>
  <si>
    <t>PII S0954102020000620</t>
  </si>
  <si>
    <t>10.1017/S0954102020000620</t>
  </si>
  <si>
    <t>WOS:000648921000002</t>
  </si>
  <si>
    <t>Kavan, J; Nedbalová, L; Nyvlt, D; Cejka, T; Lirio, JM</t>
  </si>
  <si>
    <t>Kavan, Jan; Nedbalova, Linda; Nyvlt, Daniel; Cejka, Tomas; Lirio, Juan Manuel</t>
  </si>
  <si>
    <t>Status and short-term environmental changes of lakes in the area of Devil's Bay, Vega Island, Antarctic Peninsula</t>
  </si>
  <si>
    <t>bedrock chemistry; deglaciated area; glacier; hydrologic regime; lake origin</t>
  </si>
  <si>
    <t>Climate change affects various components of the polar environment, including lacustrine systems in many regions of the Antarctic Peninsula. However, the recent status of these life-preserving habitats remains poorly known. We performed field geomorphological mapping and limnological characterization of lakes distributed across Devil's Bay in the northern area of Vega Island, James Ross Archipelago, and described some significant changes in their physical and chemical properties during the 2013 summer season. Fifty lakes were described in the area, even though the area is relatively small (similar to 12 km(2)). Six major lake types were distinguished based on their geomorphological settings and their origins, and their hydrochemical properties were compared with the neighbouring lake districts. The geomorphic characteristics of the lakes range from stable lakes on till plains (21 out of 50 lakes), to kettle lakes on fresh moraines with an unstable shoreline, to very dynamic ice-contact lakes with fluctuating water levels and inundated areas. The ice-contact lake dynamics were observed using 'Lake Payer' as an example. At the interface between hydrology and geosciences, this study provides new and original data from a yet largely unexplored region and emphasizes the importance of cross-disciplinary research in polar sciences.</t>
  </si>
  <si>
    <t>[Kavan, Jan; Nyvlt, Daniel; Cejka, Tomas] Masaryk Univ, Fac Sci, Dept Geog, Kotlarska 2, Brno 61137, Czech Republic; [Nedbalova, Linda] Charles Univ Prague, Fac Sci, Dept Ecol, Vinicna 7, Prague 12844 2, Czech Republic; [Cejka, Tomas] Acad Sci Czech Republ, Global Change Res Inst CzechGlobe, Dept Climate Change Impacts Agroecosyst, Belidla 986-4, Brno 60300, Czech Republic; [Lirio, Juan Manuel] Inst Antarctico Argentino, 25 Mayo 1143,B1650HMK, San Martin, Buenos Aires, Argentina</t>
  </si>
  <si>
    <t>Masaryk University Brno; Charles University Prague; Czech Academy of Sciences; Global Change Research Centre of the Czech Academy of Sciences</t>
  </si>
  <si>
    <t>Kavan, J (corresponding author), Masaryk Univ, Fac Sci, Dept Geog, Kotlarska 2, Brno 61137, Czech Republic.</t>
  </si>
  <si>
    <t>jan.kavan.cb@gmail.com</t>
  </si>
  <si>
    <t>Kavan, Jan/ACU-4986-2022; Cejka, Tomas/ABF-6787-2021; Nedbalová, Linda/AAF-1001-2022; Nedbalová, Linda/AFF-8321-2022; Nyvlt, Daniel/D-5708-2011</t>
  </si>
  <si>
    <t>Nedbalová, Linda/0000-0003-1800-714X; Nedbalová, Linda/0000-0003-1800-714X; Kavan, Jan/0000-0003-4524-3009; Nyvlt, Daniel/0000-0002-6876-490X; Cejka, Tomas/0000-0002-9254-8000</t>
  </si>
  <si>
    <t>Czech Science Foundation [GC20-20240S]; Ministry of Education, Youth and Sports of the Czech Republic [LM2015078]; Masaryk University [MUNI/A/1356/2019]; Instituto Antarctico Argentino; PICTO [2010-0096]</t>
  </si>
  <si>
    <t>Czech Science Foundation(Grant Agency of the Czech Republic); Ministry of Education, Youth and Sports of the Czech Republic(Ministry of Education, Youth &amp; Sports - Czech Republic); Masaryk University; Instituto Antarctico Argentino; PICTO</t>
  </si>
  <si>
    <t>This work was supported by the Czech Science Foundation project GC20-20240S, the Ministry of Education, Youth and Sports of the Czech Republic project no. LM2015078, Masaryk University project MUNI/A/1356/2019, Instituto Antarctico Argentino (logistical and financial support for the field campaign) and PICTO project 2010-0096.</t>
  </si>
  <si>
    <t>PII S0954102020000504</t>
  </si>
  <si>
    <t>10.1017/S0954102020000504</t>
  </si>
  <si>
    <t>WOS:000648921000004</t>
  </si>
  <si>
    <t>Newsham, KK; Hall, RJ; Maslen, NR</t>
  </si>
  <si>
    <t>Newsham, Kevin K.; Hall, Richard J.; Maslen, N. Rolf</t>
  </si>
  <si>
    <t>Experimental warming of bryophytes increases the population density of the nematode Plectus belgicae in maritime Antarctica</t>
  </si>
  <si>
    <t>Cephaloziella varians; climate warming; Nematoda; open-top chambers (OTCs); Sanionia uncinata</t>
  </si>
  <si>
    <t>CONSISTENT; PENINSULA; DIVERSITY; LIVERWORT</t>
  </si>
  <si>
    <t>Despite nematodes routinely being the most frequent soil- and bryophyte-associated animals in maritime Antarctica, there is a lack of clarity about the influence of warming on their populations in the region. Here, we report the results of a field experiment on Adelaide Island that tested the effects of warming with open-top chambers (OTCs) for 37 months on nematodes associated with the bryophytes Cephaloziella varians and Sanionia uncinata. Over the experiment's duration, OTCs increased the population density of the nematode Plectus belgicae in mats of both bryophytes by six-fold, with four- to seven-fold increases in the abundances of male, female and juvenile P. belgicae in warmed mats, and with the largest effects on the abundances of juveniles. Despite C. varians, which is black in colour, warming to a greater extent than S. uncinata during summer, no interactive effects of OTCs and bryophyte species were recorded on the population density of P. belgicae. Our results corroborate a previous study showing that warming increases Plectus population densities in maritime Antarctic soils, with implications for the region's terrestrial food webs.</t>
  </si>
  <si>
    <t>[Newsham, Kevin K.; Hall, Richard J.; Maslen, N. Rolf] British Antarctic Survey, Nat Environm Res Council, High Cross,Madingley Rd, Cambridge CB3 0ET, England</t>
  </si>
  <si>
    <t>Newsham, KK (corresponding author), British Antarctic Survey, Nat Environm Res Council, High Cross,Madingley Rd, Cambridge CB3 0ET, England.</t>
  </si>
  <si>
    <t>kne@bas.ac.uk</t>
  </si>
  <si>
    <t>NERC; Natural Environment Research Council (NERC) through the British Antarctic Survey's Long Term Monitoring and Survey Programme; NERC [bas0100036] Funding Source: UKRI</t>
  </si>
  <si>
    <t>NERC(UK Research &amp; Innovation (UKRI)Natural Environment Research Council (NERC)); Natural Environment Research Council (NERC) through the British Antarctic Survey's Long Term Monitoring and Survey Programme; NERC(UK Research &amp; Innovation (UKRI)Natural Environment Research Council (NERC))</t>
  </si>
  <si>
    <t>Funding for the field experimentwas provided by the Natural Environment Research Council (NERC) through the British Antarctic Survey's Long Term Monitoring and Survey Programme. KKN is supported by NERC core funding to BAS's 'Biodiversity, Evolution and Adaptation' team.</t>
  </si>
  <si>
    <t>PII S0954102020000528</t>
  </si>
  <si>
    <t>10.1017/S0954102020000528</t>
  </si>
  <si>
    <t>WOS:000648921000005</t>
  </si>
  <si>
    <t>Verret, M; Dickinson, W; Lacelle, D; Fisher, D; Norton, K; Chorley, H; Levy, R; Naish, T</t>
  </si>
  <si>
    <t>Verret, Marjolaine; Dickinson, Warren; Lacelle, Denis; Fisher, David; Norton, Kevin; Chorley, Hannah; Levy, Richard; Naish, Tim</t>
  </si>
  <si>
    <t>Cryostratigraphy of mid-Miocene permafrost at Friis Hills, McMurdo Dry Valleys of Antarctica</t>
  </si>
  <si>
    <t>ground ice; Miocene Climatic Optimum; soluble ions; stable upland zone; stable water isotopes</t>
  </si>
  <si>
    <t>The origin and stability of ground ice in the stable uplands of the McMurdo Dry Valleys remains poorly understood, with most studies focusing on the near-surface permafrost. The 2016 Friis Hills Drilling Project retrieved five cores reaching 50 m depth in mid-Miocene permafrost, a period when Antarctica transitioned to a hyper-arid environment. This study characterizes the cryostratigraphy of arguably the oldest permafrost on Earth and assesses 15 Myr of ground ice evolution using the REGO model. Four cryostratigraphic units were identified: 1) surficial dry permafrost (0-30 cm), 2) ice-rich to ice-poor permafrost (0.3-5.0 m) with high solute load and delta O-18 values (-16.2 +/- 1.8 parts per thousand) and low D-excess values (-65.6 +/- 4.3 parts per thousand), 3) near-dry permafrost (5-20 m) and 4) ice-poor to ice-rich permafrost (20-50 m) containing ice lenses with low solute load and delta O-18 values (-34.6 +/- 1.2 parts per thousand) and D-excess of 6.9 +/- 2.6 parts per thousand. The near-surface delta O-18 profile of ground ice is comparable to other sites in the stable uplands, suggesting that this ice is actively responding to changing surface environmental conditions and challenging the assumption that the surface has remained frozen for 13.8 Myr. The deep ice lenses probably originate from the freezing of meteoric water during the mid-Miocene, and their delta O-18 composition suggests mean annual air temperatures similar to 7-11 degrees C warmer than today.</t>
  </si>
  <si>
    <t>[Verret, Marjolaine; Dickinson, Warren; Chorley, Hannah; Levy, Richard; Naish, Tim] Victoria Univ Wellington, Antarctic Res Ctr, Wellington, New Zealand; [Lacelle, Denis] Univ Ottawa, Dept Geog Environm &amp; Geomat, Ottawa, ON, Canada; [Fisher, David] Univ Ottawa, Dept Earth Sci, Ottawa, ON, Canada; [Norton, Kevin] Victoria Univ Wellington, Sch Geog Environm &amp; Earth Sci, Wellington, New Zealand; [Levy, Richard] GNS Sci, Lower Hutt, New Zealand</t>
  </si>
  <si>
    <t>Victoria University Wellington; University of Ottawa; University of Ottawa; Victoria University Wellington; GNS Science - New Zealand</t>
  </si>
  <si>
    <t>Verret, M (corresponding author), Victoria Univ Wellington, Antarctic Res Ctr, Wellington, New Zealand.</t>
  </si>
  <si>
    <t>Marjolaine.Verret@vuw.ac.nz</t>
  </si>
  <si>
    <t>Norton, Kevin/CAF-1290-2022</t>
  </si>
  <si>
    <t>Norton, Kevin/0000-0002-7995-6464; Dickinson, Warren/0000-0002-7363-945X; Lacelle, Denis/0000-0002-6691-8717; Verret, Marjolaine/0000-0002-3857-526X; fisher, david/0000-0001-7537-9949</t>
  </si>
  <si>
    <t>Friis Hills Drilling Project - Past Antarctic Climate Programme; New Zealand Ministry of Business, Innovation and Employment [C05X1001, ANTA1801]; New Zealand Ministry of Business, Innovation &amp; Employment (MBIE) [C05X1001, ANTA1801] Funding Source: New Zealand Ministry of Business, Innovation &amp; Employment (MBIE)</t>
  </si>
  <si>
    <t>Friis Hills Drilling Project - Past Antarctic Climate Programme; New Zealand Ministry of Business, Innovation and Employment(New Zealand Ministry of Business, Innovation and Employment (MBIE)); New Zealand Ministry of Business, Innovation &amp; Employment (MBIE)(New Zealand Ministry of Business, Innovation and Employment (MBIE))</t>
  </si>
  <si>
    <t>The Friis Hills Drilling Project (summer 2016-17) was funded by the Past Antarctic Climate Programme. Funding support was provided by the New Zealand Ministry of Business, Innovation and Employment through contracts C05X1001 and ANTA1801. Fieldwork was made possible with the logistical support of Antarctica New Zealand.</t>
  </si>
  <si>
    <t>PII S0954102020000619</t>
  </si>
  <si>
    <t>10.1017/S0954102020000619</t>
  </si>
  <si>
    <t>WOS:000648921000006</t>
  </si>
  <si>
    <t>Verret, M.; Dickinson, W.; Lacelle, D.; Fisher, D.; Norton, K.; Chorley, H.; Levy, R.; Naish, T.</t>
  </si>
  <si>
    <t>Cryostratigraphy of mid-Miocene permafrost at Friis Hills, McMurdo Dry Valleys of Antarctica (vol 33, pg 15, 2020)</t>
  </si>
  <si>
    <t>ground ice; Miocene Climatic Optimum; soluble ions; stable upland zone; stable water Isotopes; Erratum</t>
  </si>
  <si>
    <t>PII S095410202100002X</t>
  </si>
  <si>
    <t>10.1017/S095410202100002X</t>
  </si>
  <si>
    <t>WOS:000648921000007</t>
  </si>
  <si>
    <t>Stott, T; Convey, P</t>
  </si>
  <si>
    <t>Stott, Tim; Convey, Peter</t>
  </si>
  <si>
    <t>Seasonal hydrological and suspended sediment transport dynamics and their future modelling in the Orwell Glacier proglacial stream, Signy Island, Antarctica</t>
  </si>
  <si>
    <t>climate change; glacial hydrology; sediment load</t>
  </si>
  <si>
    <t>DISCHARGE HYSTERESIS PATTERNS; CLIMATE-CHANGE; ACTIVE LAYER; RIVER; PENINSULA; ZONE; TEMPERATURE; VARIABILITY; VEGETATION; CATCHMENT</t>
  </si>
  <si>
    <t>Climate change in the Antarctic over the past 50+ years has caused contraction of ice and snow cover, longer melt seasons and intensified glacier melting. These changes affect erosion and sediment redistribution processes that are vital to our understanding of terrestrial and freshwater ecosystems and sediment input to oceans. This 79 day study of the Orwell Glacier meltwater stream on Signy Island (5 December 2019-21 February 2020) used 5 min recordings of turbidity, stream discharge (Q) and air temperature (AT), supplemented by 454 water samples from which suspended sediment concentration (SSC) was gravimetrically determined, to calculate daily suspended sediment loads (SSLs). Q(mean) was 47.8 +/- 3.5 l s(-1), SSCmean was 71.0 +/- 15.9 mg l(-1) and daily SSLmean was 75 +/- 8 kg day(-1) with a suspended sediment yield of 43.6 t km(-2) yr(-1). A multiple regression model predicted SSLs reliably (multiple r = 0.95, r(2) = 0.91, n = 79) and, when run with AT(mean) + 1 degrees C (expected on Signy Island by 2060) and AT(mean) + 2 degrees C (expected by 2100) scenarios, the model predicted 7% and 13% increases in SSLs, respectively. The SSLs estimated in this study are low when compared with others from around the world.</t>
  </si>
  <si>
    <t>[Stott, Tim] Liverpool John Moores Univ, IM Marsh Campus,Barkhill Rd, Liverpool L17 6BD, Merseyside, England; [Convey, Peter] British Antarctic Survey, NERC, Madingley Rd, Cambridge CB3 0ET, England</t>
  </si>
  <si>
    <t>Liverpool John Moores University; UK Research &amp; Innovation (UKRI); Natural Environment Research Council (NERC); NERC British Antarctic Survey</t>
  </si>
  <si>
    <t>Stott, T (corresponding author), Liverpool John Moores Univ, IM Marsh Campus,Barkhill Rd, Liverpool L17 6BD, Merseyside, England.</t>
  </si>
  <si>
    <t>t.a.stott@ljmu.ac.uk</t>
  </si>
  <si>
    <t>Convey, Peter/0000-0001-8497-9903; Stott, Tim/0000-0002-4101-6688</t>
  </si>
  <si>
    <t>Natural Environment Research Council award through the Collaborative Antarctic Science Scheme (CASS project) [164]; NERC; British Antarctic Survey (BAS); NERC [bas0100036] Funding Source: UKRI</t>
  </si>
  <si>
    <t>Natural Environment Research Council award through the Collaborative Antarctic Science Scheme (CASS project); NERC(UK Research &amp; Innovation (UKRI)Natural Environment Research Council (NERC)); British Antarctic Survey (BAS); NERC(UK Research &amp; Innovation (UKRI)Natural Environment Research Council (NERC))</t>
  </si>
  <si>
    <t>TS was in receipt of a Natural Environment Research Council award through the Collaborative Antarctic Science Scheme (CASS project number 164) with the British Antarctic Survey (BAS). PC is supported by NERC core funding to the BAS 'Biodiversity, Evolution and Adaptation' Team.</t>
  </si>
  <si>
    <t>PII S0954102020000607</t>
  </si>
  <si>
    <t>10.1017/S0954102020000607</t>
  </si>
  <si>
    <t>WOS:000648921000008</t>
  </si>
  <si>
    <t>Rodrigo, C; Varas-Gómez, A; Bustamante-Maino, A; Mena-Hodges, E</t>
  </si>
  <si>
    <t>Rodrigo, Cristian; Varas-Gomez, Andres; Bustamante-Maino, Adrian; Mena-Hodges, Emilio</t>
  </si>
  <si>
    <t>High-concentration sediment plumes, Horseshoe Island, western Antarctic Peninsula</t>
  </si>
  <si>
    <t>climate change; glacimarine environments; oceanographic variables; tidewater glacier; turbidity</t>
  </si>
  <si>
    <t>FJORDS; BAYS</t>
  </si>
  <si>
    <t>The variability in sediment concentration and spatial distribution of meltwater discharges from tidewater glaciers can be used to elucidate climatic evolution and glacier behaviour due to the association between sediment yield and glacier retreat (e.g. Domack &amp; McClennen 1996). In an accelerated deglaciation environment, higher sediment concentrations in the water column can change the glacimarine costal dynamics and affect productivity and sea floor ecosystems (e.g. Marin et al. 2013). In the Antarctic Peninsula Region, meltwater or turbid plumes were previously believed to be rare or without an important role in the sedimentary glacimarine environment (e.g. Griffith &amp; Anderson 1989), but recent studies have shown that this is a common phenomenon in subpolar and transition polar climates (Yoo et al. 2015, Rodrigo et al. 2016). In the current climate change scenario, accelerated glacier retreats and mass losses can produce an increasing input of glacial meltwater into the fjord regions, a situation that is not yet well evaluated in the Antarctic Peninsula. In this short note, after in situ observation of an unusual waterfall from the southern side of the main western tidewater glacier (Shoesmith Glacier) of Horseshoe Island (Lystad Bay), Marguerite Bay (Fig. 1), we report high turbidity values associated with plumes from the glacier, whose values were higher than reported data from subpolar/transition polar Antarctic climates.</t>
  </si>
  <si>
    <t>[Rodrigo, Cristian] Univ Andres Bello, Fac Ingn Geol, Quillota 980, Vina Del Mar, Chile; [Varas-Gomez, Andres; Bustamante-Maino, Adrian] Inst Fomento Pesquero, Dept Oceanog &amp; Medio Ambiente, Manuel Blanco Encalada 839, Valparaiso, Chile; [Mena-Hodges, Emilio] Univ Concepcion, Fac Ciencias Quim, Victor Lamas 1290, Concepcion, Chile</t>
  </si>
  <si>
    <t>Universidad Andres Bello; Instituto de Fomento Pesquero (Valparaiso); Universidad de Concepcion</t>
  </si>
  <si>
    <t>Rodrigo, C (corresponding author), Univ Andres Bello, Fac Ingn Geol, Quillota 980, Vina Del Mar, Chile.</t>
  </si>
  <si>
    <t>cristian.rodrigo@unab.cl</t>
  </si>
  <si>
    <t>Rodrigo, Cristian/0000-0003-3523-9698</t>
  </si>
  <si>
    <t>FONDECYT [11121522]; Chilean Antarctic Institute</t>
  </si>
  <si>
    <t>FONDECYT(Comision Nacional de Investigacion Cientifica y Tecnologica (CONICYT)CONICYT FONDECYT); Chilean Antarctic Institute</t>
  </si>
  <si>
    <t>This study was partially funded by the FONDECYT No11121522 grant to CR and by the Chilean Antarctic Institute.</t>
  </si>
  <si>
    <t>PII S0954102021000055</t>
  </si>
  <si>
    <t>10.1017/S0954102021000055</t>
  </si>
  <si>
    <t>WOS:000648921000009</t>
  </si>
  <si>
    <t>Chamberlain, EJ; Christ, AJ; Fulweiler, RW</t>
  </si>
  <si>
    <t>Chamberlain, E. J.; Christ, A. J.; Fulweiler, R. W.</t>
  </si>
  <si>
    <t>Influence of Late Holocene climate on Lake Eggers hydrology, McMurdo Sound</t>
  </si>
  <si>
    <t>Antarctica; hydroclimate; Little Ice Age; Ross Sea; water-balance</t>
  </si>
  <si>
    <t>DRY VALLEYS; ORGANIC-MATTER; TAYLOR VALLEY; POLAR DESERT; ROSS SEA; ICE-AGE; ANTARCTICA; ECOSYSTEM; NITROGEN; ORIGIN</t>
  </si>
  <si>
    <t>Ice-covered lakes in Antarctica preserve records of regional hydroclimate and harbour extreme ecosystems that may serve as terrestrial analogues for exobiotic environments. Here, we examine the impacts of hydroclimate and landscape on the formation history of Lake Eggers, a small ice-sealed lake, located in the coastal polar desert of McMurdo Sound, Antarctica (78 degrees S). Using ground penetrating radar surveys and three lake ice cores we characterize the ice morphology and chemistry. Lake ice geochemistry indicates that Lake Eggers is fed primarily from local snowmelt that accreted onto the lake surface during runoff events. Radiocarbon ages of ice-encased algae suggest basal ice formed at least 735 +/- 20 calibrated years before present (1215 C.E.). Persisting through the Late Holocene, Lake Eggers alternated between periods of ice accumulation and sublimation driven by regional climate variability in the western Ross Sea. For example, particulate organic matter displayed varying delta N-15 ratios with depth, corresponding to sea ice fluctuations in the western Ross Sea during the Late Holocene. These results suggest a strong climatic control on the hydrologic regime shifts shaping ice formation at Lake Eggers.</t>
  </si>
  <si>
    <t>[Chamberlain, E. J.; Christ, A. J.; Fulweiler, R. W.] Boston Univ, Dept Earth &amp; Environm, Boston, MA 02215 USA; [Christ, A. J.] Univ Vermont, Dept Geol, Burlington, VT 05405 USA; [Fulweiler, R. W.] Boston Univ, Dept Biol, 5 Cummington St, Boston, MA 02215 USA; [Chamberlain, E. J.] Univ Calif San Diego, Scripps Inst Oceanog, La Jolla, CA 92037 USA</t>
  </si>
  <si>
    <t>Boston University; University of Vermont; Boston University; University of California System; University of California San Diego; Scripps Institution of Oceanography</t>
  </si>
  <si>
    <t>Chamberlain, EJ (corresponding author), Boston Univ, Dept Earth &amp; Environm, Boston, MA 02215 USA.;Chamberlain, EJ (corresponding author), Univ Calif San Diego, Scripps Inst Oceanog, La Jolla, CA 92037 USA.</t>
  </si>
  <si>
    <t>echamber@ucsd.edu</t>
  </si>
  <si>
    <t>Christ, Andrew J./AAA-7777-2020; Fulweiler, Robinson W./A-3806-2010</t>
  </si>
  <si>
    <t>Christ, Andrew J./0000-0003-0989-6491; Fulweiler, Robinson W./0000-0003-0871-4246; Chamberlain, Emelia Janthina/0000-0003-2218-3488</t>
  </si>
  <si>
    <t>NSF [NSF-OPP 1246316]; Boston University Undergraduate Research Opportunities Program; Department of Earth &amp; Environment at Boston University; Boston University Research, Education, and Communication of Science Program - Howard Hughes Medical Institute; NSF Graduate Research Fellowship</t>
  </si>
  <si>
    <t>NSF(National Science Foundation (NSF)); Boston University Undergraduate Research Opportunities Program; Department of Earth &amp; Environment at Boston University; Boston University Research, Education, and Communication of Science Program - Howard Hughes Medical Institute; NSF Graduate Research Fellowship(National Science Foundation (NSF))</t>
  </si>
  <si>
    <t>We thank: Douglas Kowalewski and Austin Canty for assisting with ice core collection; Sean Mackay for collecting and processing GPR transects, Robert Michener (Boston University Stable Isotope Laboratory) and the National Ocean Sciences Accelerator Mass Spectrometer Facility for sample analyses; Joel Sparks and Alia Al-Haj for laboratory assistance; Diane Thompson for advice on statistical analyses; and the reviewers whose comments greatly strengthened this manuscript. This work was supported by an NSF grant (NSF-OPP 1246316) to David Marchant. E.J. Chamberlain was supported by the Boston University Undergraduate Research Opportunities Program, Department of Earth &amp; Environment at Boston University, and the Boston University Research, Education, and Communication of Science Program funded by the Howard Hughes Medical Institute. A.J. Christ was supported by an NSF Graduate Research Fellowship and the Department of Earth &amp; Environment at Boston University.</t>
  </si>
  <si>
    <t>PII S0954102021000018</t>
  </si>
  <si>
    <t>10.1017/S0954102021000018</t>
  </si>
  <si>
    <t>WOS:000648921000010</t>
  </si>
  <si>
    <t>Abakumov, EV; Parnikoza, IY; Zhianski, M; Yaneva, R; Lupachev, AV; Andreev, MP; Vlasov, DY; Riano, J; Jaramillo, N</t>
  </si>
  <si>
    <t>Abakumov, E., V; Parnikoza, I. Yu; Zhianski, M.; Yaneva, R.; Lupachev, A., V; Andreev, M. P.; Vlasov, D. Yu; Riano, J.; Jaramillo, N.</t>
  </si>
  <si>
    <t>Ornithogenic Factor of Soil Formation in Antarctica: A Review</t>
  </si>
  <si>
    <t>EURASIAN SOIL SCIENCE</t>
  </si>
  <si>
    <t>ornithogenic and non-ornithogenic; soils; Antarctic soil formation; ornithochory; biogeochemistry</t>
  </si>
  <si>
    <t>KING-GEORGE-ISLAND; VESTFOLD-HILLS; TERRESTRIAL ECOSYSTEMS; PENGUIN ROOKERIES; LARUS-MICHAHELLIS; ATLANTIC ISLANDS; EAST ANTARCTICA; LARSEMANN HILLS; SIGNY ISLAND; VEGETATION</t>
  </si>
  <si>
    <t>The role of ornithogenic factor in the formation of soils and soil cover patterns in continental and maritime Antarctica is considered. The results of long-term soil studies at key sites in coastal oases of East Antarctica (Larsemann Hills, the Haswell Islands) and on the Subantarctic islands (King George Island, Livingston Island, the Argentine Islands) are summarized. The influence of the penguin rookeries on the morphology and physicochemical properties of soils is shown. These rookeries determine the vast spatial zones of biogeochemical influence on the environment around themselves. Special attention is paid to the phenomenon of ornithochory, which is maintained by the flying seabirds (skuas, albatrosses, terns, petrels, etc.) and is manifested in redistribution of vegetation, soil material, and meso- and microbiota to the areas that were previously free of vegetation and soil cover (periglacial areas, fresh moraines, rocky outcrops, etc.).</t>
  </si>
  <si>
    <t>[Abakumov, E., V; Vlasov, D. Yu] St Petersburg State Univ, St Petersburg 199178, Russia; [Parnikoza, I. Yu] Natl Antarctic Sci Ctr Ukraine, UA-01601 Kiev, Ukraine; [Parnikoza, I. Yu] Natl Acad Sci Ukraine, Inst Mol Biol &amp; Genet, UA-03143 Kiev, Ukraine; [Zhianski, M.; Yaneva, R.] Bulgarian Acad Sci, Forest Res Inst, Sofia 1756, Bulgaria; [Lupachev, A., V] Russian Acad Sci, Inst Physicochem &amp; Biol Problems Soil Sci, Pushchino 142290, Moscow Oblast, Russia; [Andreev, M. P.] Russian Acad Sci, Komarov Bot Inst, St Petersburg 197376, Russia; [Riano, J.; Jaramillo, N.] Univ Los Andes, Bogota, Cundinamarca, Colombia</t>
  </si>
  <si>
    <t>Saint Petersburg State University; Ministry of Education &amp; Science of Ukraine; State Institution National Antarctic Scientific Center; National Academy of Sciences Ukraine; Institute of Molecular Biology &amp; Genetics of NASU; Bulgarian Academy of Sciences; Forest Research Institute, Bulgaria; Russian Academy of Sciences; Pushchino Scientific Center for Biological Research (PSCBI) of the Russian Academy of Sciences; Institute of Physicohemical &amp; Biological Problems of Soil Science; Russian Academy of Sciences; Komarov Botanical Institute, Russian Academy of Sciences; Universidad de los Andes (Colombia)</t>
  </si>
  <si>
    <t>Abakumov, EV (corresponding author), St Petersburg State Univ, St Petersburg 199178, Russia.</t>
  </si>
  <si>
    <t>Parnikoza, Ivan/I-2398-2016; Abakumov, Evgeny/AAO-8580-2020; Vlasov, Dmitry Yurievich/J-8866-2013; Andreev, Mikhail P./JAC-9420-2023; Abakumov, e_abakumov@mail.ru/ADJ-1297-2022</t>
  </si>
  <si>
    <t>Abakumov, Evgeny/0000-0002-5248-9018; Abakumov, e_abakumov@mail.ru/0000-0002-5248-9018; Jaramillo Machuca, Natalia/0009-0004-6662-3531; Andreev, Mikhail/0000-0002-5688-0751</t>
  </si>
  <si>
    <t>This work was supported by the Russian Foundation for Basic Research (project nos. 18-04-00900, 19-54-18003, and 19-05-50107). The logistic support for the research was provided by the Russian Antarctic Expedition and the Bulgarian Antarctic Expedition, as well as by the University of Sofia St. Kliment Ohridski.</t>
  </si>
  <si>
    <t>1064-2293</t>
  </si>
  <si>
    <t>1556-195X</t>
  </si>
  <si>
    <t>EURASIAN SOIL SCI+</t>
  </si>
  <si>
    <t>Eurasian Soil Sci.</t>
  </si>
  <si>
    <t>10.1134/S1064229321040025</t>
  </si>
  <si>
    <t>Soil Science</t>
  </si>
  <si>
    <t>Agriculture</t>
  </si>
  <si>
    <t>RV2DO</t>
  </si>
  <si>
    <t>WOS:000645649400007</t>
  </si>
  <si>
    <t>Costa, MDP; Wilson, KA; Dyer, PJ; Pitcher, R; Muelbert, JH; Richardson, AJ</t>
  </si>
  <si>
    <t>Costa, Micheli D. P.; Wilson, Kerrie A.; Dyer, Philip J.; Pitcher, Roland; Muelbert, Jose H.; Richardson, Anthony J.</t>
  </si>
  <si>
    <t>Potential future climate-induced shifts in marine fish larvae and harvested fish communities in the subtropical southwestern Atlantic Ocean</t>
  </si>
  <si>
    <t>Climate change; Fish larvae; Fisheries; Subtropical southwestern Atlantic Ocean; South America; Thresholds</t>
  </si>
  <si>
    <t>CROSS-SHELF EXCHANGES; SALINITY SIGNATURE; GRADIENT FORESTS; THRESHOLDS; MANAGEMENT; IDENTIFICATION; TEMPERATURE; ADAPTATION; CURRENTS; RELEVANT</t>
  </si>
  <si>
    <t>The continental shelf in the southwestern Atlantic Ocean is among the six richest marine regions for biodiversity in the Southern Hemisphere, and its subtropical region is one of the fastest-warming hotspots. Thus, climate change could profoundly affect future species distributions. We investigated future climate-induced changes in fish larvae and harvested fish taxa in the subtropical southwestern Atlantic Ocean using a community-based modelling technique (gradient forest). This approach integrates information on multiple species rather than treating each species individually, as is typical in many species distribution approaches. We addressed two primary questions: how might climate change affect fish larval communities, and will communities of harvested fish (juveniles and adults) taxa respond similarly. Using two climate change scenarios (moderate RCP 4.5 and 'business as usual' 8.5), we found that fish larvae and harvested taxa are influenced differently by environmental variables, with differences in both the level and shape of the response to environmental drivers. Chlorophyll a and sea surface temperature were the most important predictors for fish larvae communities, while depth and sea surface salinity best predicted the harvested community. However, both communities are expected to move southwards in response to climate change, with greater changes in community composition predicted in the southern portion of the study area for both fish larvae and harvested taxa. To our knowledge, this is the first study to investigate the effect of future climate change on a suite of taxa of fish larvae and adults. We also suggest that modelling the integrated response of a suite of species to environmental predictors using community-modelling approaches such as gradient forest could provide robust projections and novel insights into community changes.</t>
  </si>
  <si>
    <t>[Costa, Micheli D. P.] Deakin Univ, Sch Life &amp; Environm Sci, Ctr Integrat Ecol, Geelong, Vic 3216, Australia; [Wilson, Kerrie A.] Univ Technol, Brisbane, Qld 4000, Australia; [Dyer, Philip J.; Richardson, Anthony J.] Univ Queensland, Sch Math &amp; Phys, St Lucia, Qld 4072, Australia; [Pitcher, Roland; Richardson, Anthony J.] Commonwealth Sci &amp; Ind Res Org CSIRO Oceans &amp; Atm, Queensland Biosci Precinct, Brisbane, Qld 4067, Australia; [Muelbert, Jose H.] Univ Fed Rio Grande, Lab Ecol Ictioplancton, Inst Oceanog, Campus Carreiros,Ave Italia Km 8, BR-96203900 Rio Grande, RS, Brazil; [Muelbert, Jose H.] Univ Tasmania UTAS, Inst Marine &amp; Antarctic Sci IMAS, Private Bag 129, Hobart, Tas 7001, Australia</t>
  </si>
  <si>
    <t>Deakin University; University of Technology Sydney; Queensland University of Technology (QUT); University of Queensland; Commonwealth Scientific &amp; Industrial Research Organisation (CSIRO); Universidade Federal do Rio Grande; University of Tasmania</t>
  </si>
  <si>
    <t>Costa, MDP (corresponding author), Deakin Univ, Sch Life &amp; Environm Sci, Ctr Integrat Ecol, Geelong, Vic 3216, Australia.</t>
  </si>
  <si>
    <t>micheli.costa@deakin.edu.au; kerrie.wilson@qut.edu.au; uqpdyer@uq.edu.au; roland.pitcher@csiro.au; docjhm@furg.br; anthony.richardson@csiro.au</t>
  </si>
  <si>
    <t>Dyer, Philip James/ITV-0574-2023; Richardson, Anthony J/B-3649-2010; Wilson, Kerrie/W-4181-2019; Muelbert, Jose H/J-5110-2014</t>
  </si>
  <si>
    <t>Dyer, Philip James/0000-0001-5299-1895; Richardson, Anthony J/0000-0002-9289-7366; Wilson, Kerrie/0000-0002-0092-935X; Duarte de Paula Costa, Micheli/0000-0002-4849-2628; Muelbert, Jose H/0000-0002-2319-2469; Pitcher, Clifford/0000-0003-2075-4347</t>
  </si>
  <si>
    <t>Brazilian National Council for Scientific and Technological Development (CNPq); ARC Centre of Excellence for Environmental Decisions (Australia); CNPq Fellowship [382158/2016-4, 310047/20161]</t>
  </si>
  <si>
    <t>Brazilian National Council for Scientific and Technological Development (CNPq)(Conselho Nacional de Desenvolvimento Cientifico e Tecnologico (CNPQ)); ARC Centre of Excellence for Environmental Decisions (Australia)(Australian Research Council); CNPq Fellowship(Conselho Nacional de Desenvolvimento Cientifico e Tecnologico (CNPQ))</t>
  </si>
  <si>
    <t>This research was funded by the Brazilian National Council for Scientific and Technological Development (CNPq) and supported by the ARC Centre of Excellence for Environmental Decisions (Australia). MDPC was supported by a CNPq Fellowship (382158/2016-4) and JHMby a CNPq Fellowship (310047/20161).</t>
  </si>
  <si>
    <t>3-4</t>
  </si>
  <si>
    <t>10.1007/s10584-021-03097-x</t>
  </si>
  <si>
    <t>RU3QN</t>
  </si>
  <si>
    <t>WOS:000645063900001</t>
  </si>
  <si>
    <t>Jakovlev, AR; Smyshlyaev, SP; Galin, VY</t>
  </si>
  <si>
    <t>Jakovlev, Andrew R.; Smyshlyaev, Sergei P.; Galin, Vener Y.</t>
  </si>
  <si>
    <t>Interannual Variability and Trends in Sea Surface Temperature, Lower and Middle Atmosphere Temperature at Different Latitudes for 1980-2019</t>
  </si>
  <si>
    <t>ATMOSPHERE</t>
  </si>
  <si>
    <t>reanalysis data; chemistry-climate model; southern oscillation; El-Nino; La-Nina; sea surface temperature; temperature of air; CO2; low troposphere; low stratosphere</t>
  </si>
  <si>
    <t>STRATOSPHERIC TEMPERATURE; EL-NINO; SOUTHERN-OSCILLATION; OCEAN; MODEL; OZONE; CLIMATE; IMPACT; SIMULATION; CHEMISTRY</t>
  </si>
  <si>
    <t>The influence of sea-surface temperature (SST) on the lower troposphere and lower stratosphere temperature in the tropical, middle, and polar latitudes is studied for 1980-2019 based on the MERRA2, ERA5, and Met Office reanalysis data, and numerical modeling with a chemistry-climate model (CCM) of the lower and middle atmosphere. The variability of SST is analyzed according to Met Office and ERA5 data, while the variability of atmospheric temperature is investigated according to MERRA2 and ERA5 data. Analysis of sea surface temperature trends based on reanalysis data revealed that a significant positive SST trend of about 0.1 degrees per decade is observed over the globe. In the middle latitudes of the Northern Hemisphere, the trend (about 0.2 degrees per decade) is 2 times higher than the global average, and 5 times higher than in the Southern Hemisphere (about 0.04 degrees per decade). At polar latitudes, opposite SST trends are observed in the Arctic (positive) and Antarctic (negative). The impact of the El Nino Southern Oscillation phenomenon on the temperature of the lower and middle atmosphere in the middle and polar latitudes of the Northern and Southern Hemispheres is discussed. To assess the relative influence of SST, CO2, and other greenhouse gases' variability on the temperature of the lower troposphere and lower stratosphere, numerical calculations with a CCM were performed for several scenarios of accounting for the SST and carbon dioxide variability. The results of numerical experiments with a CCM demonstrated that the influence of SST prevails in the troposphere, while for the stratosphere, an increase in the CO2 content plays the most important role.</t>
  </si>
  <si>
    <t>[Jakovlev, Andrew R.; Smyshlyaev, Sergei P.] Russian State Hydrometeorol Univ, Dept Meteorol Forecasting Voronezhskaya, Str 79, St Petersburg 192007, Russia; [Galin, Vener Y.] RAS, Inst Numer Math, Gubkina Str 8, Moscow 119991, Russia</t>
  </si>
  <si>
    <t>Russian State Hydrometeorological University; Russian Academy of Sciences</t>
  </si>
  <si>
    <t>Smyshlyaev, SP (corresponding author), Russian State Hydrometeorol Univ, Dept Meteorol Forecasting Voronezhskaya, Str 79, St Petersburg 192007, Russia.</t>
  </si>
  <si>
    <t>endrusj@rambler.ru; smyshl@rshu.ru; venergalin@yandex.ru</t>
  </si>
  <si>
    <t>Jakovlev, Andrei/AAB-9038-2020; Smyshlyaev, Sergei/F-1198-2014</t>
  </si>
  <si>
    <t>Smyshlyaev, Sergei/0000-0002-8291-6738; Jakovlev, Andrei/0000-0002-6993-3111</t>
  </si>
  <si>
    <t>Ministry of higher education and a science of the Russian Federation [FSZU-2020-0009]; Russian Scientific Foundation [19-17-00198]; Russian Foundation for Basic Research [20-55-53039]; Ministry of Science and Higher Education of the Russian Federation; Russian Science Foundation [19-17-00198] Funding Source: Russian Science Foundation</t>
  </si>
  <si>
    <t>Ministry of higher education and a science of the Russian Federation; Russian Scientific Foundation(Russian Science Foundation (RSF)); Russian Foundation for Basic Research(Russian Foundation for Basic Research (RFBR)Spanish Government); Ministry of Science and Higher Education of the Russian Federation; Russian Science Foundation(Russian Science Foundation (RSF))</t>
  </si>
  <si>
    <t>This research workis executed at the Russian State Hydrometeorology University within the limits of the state task of the Ministry of higher education and a science of the Russian Federation (project no. FSZU-2020-0009). Change of gas structure of an atmosphere of Arctic regions and Subarctic region was simulated with a support of the Russian Scientific Foundation (project 19-1700198). Interaction between stratosphere and troposphere was studied under Russian Foundation for Basic Research (project 20-55-53039). Part of this study was performed in the SPbSU Ozone Layer and Upper Atmosphere Research Laboratory, which is supported by the Ministry of Science and Higher Education of the Russian Federation.</t>
  </si>
  <si>
    <t>2073-4433</t>
  </si>
  <si>
    <t>ATMOSPHERE-BASEL</t>
  </si>
  <si>
    <t>Atmosphere</t>
  </si>
  <si>
    <t>10.3390/atmos12040454</t>
  </si>
  <si>
    <t>RQ9PT</t>
  </si>
  <si>
    <t>WOS:000642744200001</t>
  </si>
  <si>
    <t>Murray-Wallace, CV; Cann, JH; Yokoyama, Y; Nicholas, WA; Lachlan, TJ; Pan, TY; Dosseto, A; Belperio, AP; Gostin, VA</t>
  </si>
  <si>
    <t>Murray-Wallace, Colin, V; Cann, John H.; Yokoyama, Yusuke; Nicholas, William A.; Lachlan, Terry J.; Pan, Tsun-You; Dosseto, Anthony; Belperio, Antonio P.; Gostin, Victor A.</t>
  </si>
  <si>
    <t>Late Pleistocene interstadial sea-levels (MIS 5a) in Gulf St Vincent, southern Australia, constrained by amino acid racemization dating of the benthic foraminifer Elphidium macelliforme</t>
  </si>
  <si>
    <t>Late Pleistocene sea levels; Interstadial; Amino acid racemization; Foraminifers; Southern Australia</t>
  </si>
  <si>
    <t>NORTHERN SPENCER GULF; QUATERNARY TECTONIC MOVEMENTS; LAST INTERGLACIAL SHORELINE; HUON-PENINSULA; CORAL TERRACES; ICE VOLUME; BRIDGEWATER FORMATION; MARINE-SEDIMENTS; OXYGEN ISOTOPES; CLIMATE</t>
  </si>
  <si>
    <t>In contrast to the detection and resolution of Late Pleistocene interstadials (Marine Isotope Stages; MIS 5c, 5a and 3) in marine and ice core-based oxygen isotope records, accurately defining palaeosea-levels for these events from sea level indicators remains a challenge. Commonly, such investigations have been undertaken in tectonically active, subduction-related settings, on emergent marginal marine-coastal successions above present sea level, given that the higher ice volumes during these Marine Isotope Stages resulted in ice-equivalent sea levels significantly below present, particularly in far -field settings. Delineation of palaeosea-levels for this period, has accordingly involved an assumption about the longterm rate of coastal uplift. Core SV#23 collected from the tectonically highly stable, remote far -field setting of southern Gulf St Vincent, southern Australia, in a present water depth of 40 m obtained a 3.89 m undisturbed sedimentary record of Late Pleistocene to Holocene age. The basal 2.39 m of the sediment record is of Late Pleistocene interstadial age, as it overlies the Last Interglacial Glanville Formation (128e118 ka; MIS 5e) and occurs beneath the Holocene St Kilda Formation. The extent of aspartic acid and glutamic acid racemization in the benthic foraminifer Elphidium macelliforme sampled at 2 cm intervals continuously from the interstadial succession in Core SV#23, confirms the relative age interpreted from lithostratigraphy. A mean amino acid racemization (AAR) age of 75 +/- 13 ka indicates a correlation with MIS 5a, and highlights the utility of E. macelliforme as a species for AAR geochronology. As the foraminifers more closely define the timing of sedimentation, the interstadial succession is regarded as beyond the range of radiocarbon dating (&gt;50 kyr), as revealed in a comparison of radiocarbon ages of fossil molluscs with AAR ages for E. macelliforme from the same depth intervals within the interstadial succession. All of the radiocarbon ages for fossil marine molluscs from the interstadial succession represent minimum ages, resulting from contamination by trace levels of modern radiocarbon. The foraminiferal faunal assemblages within the interstadial succession reveal changes of water depth at the time of deposition, pointing to millennial-scale sea level variability. In particular, the ratio of Elphidium crispum to E. macelliforme indicates several oscillations in relative sea level within a bandwidth of 26 to 24 +/- 4.6 m below present sea level (BPSL). Notwithstanding the large uncertainty associated with palaeosea-level estimation based on the Elphidium ratio, the inferred relative sea level record is in accord with the sea level records of Barbados and the Red Sea, and points to Sub-Milankovitch interstadial sea level variability as noted in Greenland and Antarctic ice cores. (c) 2021 Elsevier Ltd. All rights reserved.</t>
  </si>
  <si>
    <t>[Murray-Wallace, Colin, V; Nicholas, William A.; Lachlan, Terry J.; Pan, Tsun-You; Dosseto, Anthony] Univ Wollongong, Sch Earth Atmospher &amp; Life Sci, Wollongong, NSW 2522, Australia; [Cann, John H.] Univ South Australia, Sch Nat &amp; Built Environm, Mawson Lakes, SA 5095, Australia; [Yokoyama, Yusuke] Univ Tokyo, Grad Sch Sci, Atmospher &amp; Ocean Res Inst, Tokyo, Japan; [Yokoyama, Yusuke] Univ Tokyo, Grad Sch Sci, Dept Earth &amp; Planetary Sci, Tokyo, Japan; [Belperio, Antonio P.] Minotaur Explorat, 8 Beulah Rd, Norwood, SA 5067, Australia; [Gostin, Victor A.] Univ Adelaide, Dept Earth Sci, Adelaide, SA 5001, Australia</t>
  </si>
  <si>
    <t>University of Wollongong; University of South Australia; University of Tokyo; University of Tokyo; University of Adelaide</t>
  </si>
  <si>
    <t>Murray-Wallace, CV (corresponding author), Univ Wollongong, Sch Earth Atmospher &amp; Life Sci, Wollongong, NSW 2522, Australia.</t>
  </si>
  <si>
    <t>cwallace@uow.edu.au</t>
  </si>
  <si>
    <t>Dosseto, Anthony/A-2543-2008; Murray-Wallace, Colin V/U-5338-2017</t>
  </si>
  <si>
    <t>Murray-Wallace, Colin/0000-0002-3029-9141; Pan, Tsun-You/0000-0003-3405-2645; Nicholas, William Anthony/0000-0003-2187-6629</t>
  </si>
  <si>
    <t>Marine Sciences and Technologies Grant Scheme [84/1924, 84/1925]; AINSE grant [06/134]; ARC Large Grant [A10012002]; Grants-in-Aid for Scientific Research [20H00193] Funding Source: KAKEN</t>
  </si>
  <si>
    <t>Marine Sciences and Technologies Grant Scheme; AINSE grant; ARC Large Grant(Australian Research Council); Grants-in-Aid for Scientific Research(Ministry of Education, Culture, Sports, Science and Technology, Japan (MEXT)Japan Society for the Promotion of ScienceGrants-in-Aid for Scientific Research (KAKENHI))</t>
  </si>
  <si>
    <t>This paper has had a very long gestation and has in part resulted from technological developments in chromatography, permitting the analysis of samples of considerably smaller mass than possible at the time of core collection in 1986. We wish to thank numerous individuals and organisations that have made this research possible. Funding for the collection of Cores SV#23 and SV#25, was provided by the Marine Sciences and Technologies Grant Scheme (Grants 84/1924 and 84/1925) awarded to Victor Gostin and Antonio Belperio. Mr Francis Gorostiaga assisted in the core collection. Mr Brian Logan, formerly of the Geological Survey of South Australia, provided assistance with core curation and retrieval. An AINSE grant (06/134) covered the costs of some of the radiocarbon analyses and the analytical component of the research was covered by a ARC Large Grant (A10012002) awarded to Murray-Wallace. We thank Gillian Taylor for assistance with radiocarbon dating and insightful discussions with the former Centre's Director, Dr Mike Barbetti (The N.W.G. Macintosh Centre for Quaternary Dating, University of Sydney). Peter Johnson and John Cann skilfully prepared the line drawings. We thank the three anonymous reviewers and the handling editor Professor Ingrid Hendy for their thoughtful and constructive comments, which have enhanced the work. We dedicate this work to the memory of the Late Emeritus Professor David Q. Bowen, a stratigraphical mentor and Founding Editor of this journal.</t>
  </si>
  <si>
    <t>10.1016/j.quascirev.2021.106899</t>
  </si>
  <si>
    <t>RT4II</t>
  </si>
  <si>
    <t>WOS:000644423800002</t>
  </si>
  <si>
    <t>Hodel, F; Grespan, R; de Rafélis, M; Dera, G; Lezin, C; Nardin, E; Rouby, D; Aretz, M; Steinnman, M; Buatier, M; Lacan, F; Jeandel, C; Chavagnac, V</t>
  </si>
  <si>
    <t>Hodel, F.; Grespan, R.; de Rafelis, M.; Dera, G.; Lezin, C.; Nardin, E.; Rouby, D.; Aretz, M.; Steinnman, M.; Buatier, M.; Lacan, F.; Jeandel, C.; Chavagnac, V.</t>
  </si>
  <si>
    <t>Drake Passage gateway opening and Antarctic Circumpolar Current onset 31 Ma ago: The message of foraminifera and reconsideration of the Neodymium isotope record</t>
  </si>
  <si>
    <t>CHEMICAL GEOLOGY</t>
  </si>
  <si>
    <t>Drake Passage gateway; Oligocene glaciation; Antarctic Circumpolar Current; Climate; Paleoceanography; Foraminifera</t>
  </si>
  <si>
    <t>EOCENE-OLIGOCENE TRANSITION; SOUTHERN-OCEAN CIRCULATION; DEEP-WATER CIRCULATION; RARE-EARTH-ELEMENTS; ICE-SHEET; CENOZOIC GLACIATION; CARBON-DIOXIDE; MIDDLE EOCENE; PACIFIC-OCEAN; SEAWATER</t>
  </si>
  <si>
    <t>The establishment of the Antarctic Circumpolar Current (ACC) is one of the most important events of the Cenozoic for both global oceanic circulation and climate. The onset of this major current hinges on the opening of two major oceanic passages, the Drake Passage and the Tasmanian gateways that connect Pacific, Atlantic and Indian oceans, allowing a modern-like thermohaline circulation. For decades, the ACC onset has been considered as the trigger of the Oligocene glaciation at 33.7 Ma, which marks the beginning of the modern icehouse climate. Today, this scenario is debated. The main obstacle to evaluate the ACC influence on the Oligocene glaciation remains the ill-constrained timing of the Drake Passage gateway opening. Here, we analyse the geochemical composition and Sr isotope ratio of dated planktonic and benthic foraminifera from two IODP and ODP legs in the Southern Atlantic and Pacific oceans (SAO and PO, respectively) to assess the variability of seawater masses? chemical composition through time and to better constrain the timing of the Drake Passage gateway opening along the Eocene-Oligocene interval. These results, based on seawater paleo temperature (Mg/Ca molar ratios), redox (Ce/Ce* anomaly) and provenance (Sr-87/Sr-86) proxies, highlight a gradual seawater mass mixing between the SAO and PO from 31 Ma to 26 Ma. Combined with a reconsideration of the fossil fish teeth Neodymium isotope records, these geochemical tracers evidencing the SAO-PO interconnection depicts the Drake Passage gateway opening and deepening during this 31-26 Ma interval and thus, the timing of the ACC onset. Hence, antecedence of the Oligocene glaciation onset (at 33.7 Ma) relative to the ACC onset (31-26 Ma) implies that the ACC did not trigger the Oligocene glaciation and that the role of atmospheric pCO(2) should be further considered.</t>
  </si>
  <si>
    <t>[Hodel, F.; Steinnman, M.; Buatier, M.] UFC, CNRS, UMR6249, Lab Chronoenvironm, F-25000 Besancon, France; [Hodel, F.; Grespan, R.; de Rafelis, M.; Dera, G.; Lezin, C.; Nardin, E.; Rouby, D.; Aretz, M.; Chavagnac, V.] Univ Toulouse, Geosci Environm Toulouse GET, Observ Midi Pyrenees, UMR5563,Univ Paul Sabatier,CNRS,IRD, F-31400 Toulouse, France; [Lacan, F.; Jeandel, C.] Univ Toulouse, Lab Etud Geophys &amp; Oceanog Spatiale LEGOS, Univ Paul Sabatier, CNRS,CNES,IRD,Observ Midi Pyrenees, F-31400 Toulouse, France</t>
  </si>
  <si>
    <t>Centre National de la Recherche Scientifique (CNRS); Universite de Franche-Comte; Centre National de la Recherche Scientifique (CNRS); CNRS - National Institute for Earth Sciences &amp; Astronomy (INSU); Universite de Toulouse; Universite Toulouse III - Paul Sabatier; Institut de Recherche pour le Developpement (IRD); Universite de Toulouse; Universite Toulouse III - Paul Sabatier; Institut de Recherche pour le Developpement (IRD); Centre National de la Recherche Scientifique (CNRS)</t>
  </si>
  <si>
    <t>Hodel, F (corresponding author), UFC, CNRS, UMR6249, Lab Chronoenvironm, F-25000 Besancon, France.</t>
  </si>
  <si>
    <t>florent.hodel.geo@gmail.com</t>
  </si>
  <si>
    <t>Rouby, Delphine/HGD-3798-2022; Lacan, Francois/B-8032-2009; Nardin, Elise/GOJ-9931-2022; GRESPAN, REGINA M Z/X-3927-2018; Aretz, Markus/D-3481-2009</t>
  </si>
  <si>
    <t>Lacan, Francois/0000-0001-6794-2279; Nardin, Elise/0000-0002-5396-9996; Aretz, Markus/0000-0002-7260-7640; Rouby, Delphine/0000-0003-2827-0566; Hodel, Florent/0000-0001-6689-7736; Dera, Guillaume/0000-0002-8915-9258</t>
  </si>
  <si>
    <t>0009-2541</t>
  </si>
  <si>
    <t>1872-6836</t>
  </si>
  <si>
    <t>CHEM GEOL</t>
  </si>
  <si>
    <t>Chem. Geol.</t>
  </si>
  <si>
    <t>JUN 5</t>
  </si>
  <si>
    <t>10.1016/j.chemgeo.2021.120171</t>
  </si>
  <si>
    <t>RN7YE</t>
  </si>
  <si>
    <t>hybrid, Green Submitted</t>
  </si>
  <si>
    <t>WOS:000640567900003</t>
  </si>
  <si>
    <t>Ciriani, YA; Juáres, MA; Santos, MM; Emslie, SD</t>
  </si>
  <si>
    <t>Ciriani, Yanina A.; Juares, Mariana A.; Santos, M. Mercedes; Emslie, Steven D.</t>
  </si>
  <si>
    <t>STABLE ISOTOPE ANALYSIS OF MULTIPLE TISSUES FROM CHICK CARCASSES OF THREE PYGOSCELID PENGUINS IN ANTARCTICA</t>
  </si>
  <si>
    <t>MARINE ORNITHOLOGY</t>
  </si>
  <si>
    <t>25 de Mayo/King George Island; delta N-15; delta C-13; Pygoscelis penguins; dietary shifts; opportunistic sampling</t>
  </si>
  <si>
    <t>SOUTH SHETLAND ISLANDS; CHINSTRAP PENGUINS; TEMPORAL VARIATION; GEORGE-ISLAND; ADELIE; GENTOO; CARBON; DIET; DELTA-N-15; TURNOVER</t>
  </si>
  <si>
    <t>Many types of animal tissues are increasingly being used for stable isotope analysis, with their application dependent on the time frame they reflect and their availability for collection. Here, we investigated the isotopic values (delta C-13 and delta N-15) of four tissues (feather, skin, toenail, and bone) collected from fledgling-period chick carcasses of three species of pygoscelid penguins to compare the variability and accuracy of the data among tissues. Samples were collected at 25 de Mayo/King George Island during the 2017/18 austral summer. Chick carcasses are commonly found at active penguin colonies, and opportunistic sampling can easily be performed without disturbing nesting penguins. A total of 25-36 carcasses per species were sampled at active colonies of Adelie Pygoscelis adeliae, Gentoo P. papua, and Chinstrap P. antarcticus penguins. A linear mixed model showed that delta C-13 values varied significantly between tissues, presumably due to tissue-specific isotopic discrimination. In contrast, the only tissue with significantly different delta N-15 values was toenail. Stable isotope data revealed dietary differences among species, with Gentoo Penguins having higher average isotopic values in tissues compared to Adelie and Chinstrap penguins. In addition, Chinstrap Penguins showed a consistent, but not statistically significant, trend in having higher delta C-13 values compared to Adelie Penguins. Gentoo Penguins displayed the highest isotopic variability of any species for all tissues. Isotopic composition was most variable in skin in all three species, making skin the least reliable tissue for isotope analysis, whereas isotopic values were least variable in toenails. Comparison of isotopic values between two bones (tibiotarsus and coracoid) showed no significant differences in isotopic values, indicating that when the same bone is not available for sampling from carcasses, sampling of any major skeletal element is likely to provide a meaningful comparison. These results allow for more informed opportunistic sampling to accurately estimate and compare penguin diet among species and between ancient and active colonies.</t>
  </si>
  <si>
    <t>[Ciriani, Yanina A.; Emslie, Steven D.] Univ North Carolina Wilmington, Dept Biol &amp; Marine Biol, 601 S Coll Rd, Wilmington, NC 28403 USA; [Juares, Mariana A.; Santos, M. Mercedes] Inst Antartico Argentino, Coordinac Ciencias Vida, Dept Biol Predadores Tope, 25 Mayo 1143,B1650CSP, San Martin, Buenos Aires, Argentina; [Juares, Mariana A.] Consejo Nacl Invest Cient &amp; Tecn CONICET, Av Rivadavia 1917,C1033AAJ, Buenos Aires, DF, Argentina; [Juares, Mariana A.; Santos, M. Mercedes] Univ Nacl La Plata, Fac Ciencias Nat &amp; Museo, Labs Anexos, Calle 64 N8 3,B1904AMA, La Plata, Buenos Aires, Argentina</t>
  </si>
  <si>
    <t>University of North Carolina; University of North Carolina Wilmington; Instituto Antartico Argentino; Consejo Nacional de Investigaciones Cientificas y Tecnicas (CONICET); National University of La Plata; Museo La Plata</t>
  </si>
  <si>
    <t>Emslie, SD (corresponding author), Univ North Carolina Wilmington, Dept Biol &amp; Marine Biol, 601 S Coll Rd, Wilmington, NC 28403 USA.</t>
  </si>
  <si>
    <t>emslies@uncw.edu</t>
  </si>
  <si>
    <t>NSF [ANT-1443386]</t>
  </si>
  <si>
    <t>This research was funded by NSF Grant ANT-1443386. We thank A. Rios for assistance in the field and the station crew at Carlini Station (austral summer 2017/18) for their support. C. Lane and R. Danner provided valuable comments on the manuscript and study design. K. Rosov-Duernberger assisted with the isotope analysis. All tissue samples were collected under Antarctic Conservation Act Permit 2016-013 and in agreement with the Argentine Antarctic Institute.</t>
  </si>
  <si>
    <t>AFRICAN SEABIRD GROUP</t>
  </si>
  <si>
    <t>RHODES GIFT</t>
  </si>
  <si>
    <t>P. O. BOX 34113, RHODES GIFT, SOUTH AFRICA</t>
  </si>
  <si>
    <t>1018-3337</t>
  </si>
  <si>
    <t>2074-1235</t>
  </si>
  <si>
    <t>MAR ORNITHOL</t>
  </si>
  <si>
    <t>Mar. Ornithol.</t>
  </si>
  <si>
    <t>Marine &amp; Freshwater Biology; Ornithology</t>
  </si>
  <si>
    <t>RO1GR</t>
  </si>
  <si>
    <t>WOS:000640797400002</t>
  </si>
  <si>
    <t>Yap, VHS; Stewart, LG; Stuckenbrock, S; Fidler, AL; Lavers, JL</t>
  </si>
  <si>
    <t>Yap, Vincent H. S.; Stewart, Lillian G.; Stuckenbrock, Silke; Fidler, Andrew L.; Lavers, Jennifer L.</t>
  </si>
  <si>
    <t>LONGEVITY RECORDS FOR THE BROWN BOOBY SULA LEUCOGASTER AND FLESH-FOOTED SHEARWATER ARDENNA CARNEIPES</t>
  </si>
  <si>
    <t>Ardenna carneipes; banding; capture-mark-recapture; lifespan; seabirds; Sula leucogaster</t>
  </si>
  <si>
    <t>PUFFINUS-CARNEIPES; POPULATION; SURVIVAL; DECLINE</t>
  </si>
  <si>
    <t>Longevity records for seabirds are vital to understanding population demography but are often limited due to the relatively short duration of many monitoring programs. Here, we present new longevity records for two seabird species: 32.2 years (Queensland, Australia) for the Brown Booby Sula leucogaster and 33.9 years (New Zealand) for the Flesh-footed Shearwater Ardenna carneipes, alongside existing longevity data. While these new records represent the oldest known birds to date, we suggest that they reflect typical adult lifespans of these species, i.e., 25-30 years, and reinforce the need for ongoing monitoring efforts.</t>
  </si>
  <si>
    <t>[Yap, Vincent H. S.; Stewart, Lillian G.; Lavers, Jennifer L.] Univ Tasmania, Inst Marine &amp; Antarctic Studies, 20 Castray Esplanade, Battery Point, Tas 7004, Australia; [Stuckenbrock, Silke] Two Hands Project Inc, Headland Rd, North Curl Curl, NSW 2099, Australia; [Fidler, Andrew L.] Adrift Lab, Parliament St, Sandy Bay, Tas 7005, Australia</t>
  </si>
  <si>
    <t>University of Tasmania</t>
  </si>
  <si>
    <t>Yap, VHS (corresponding author), Univ Tasmania, Inst Marine &amp; Antarctic Studies, 20 Castray Esplanade, Battery Point, Tas 7004, Australia.</t>
  </si>
  <si>
    <t>hyap@utas.edu.au</t>
  </si>
  <si>
    <t>Lavers, Jennifer/IWM-5417-2023; Lavers, Jennifer/O-4831-2017; Yap, Vincent/GXV-4340-2022</t>
  </si>
  <si>
    <t>Lavers, Jennifer/0000-0001-7596-6588; Yap, Vincent/0000-0003-2381-1896</t>
  </si>
  <si>
    <t>WOS:000640797400021</t>
  </si>
  <si>
    <t>Zhang, SK; Xuan, Y; Li, JX; Geng, T; Li, X; Xiao, F</t>
  </si>
  <si>
    <t>Zhang, Shengkai; Xuan, Yue; Li, Jiaxing; Geng, Tong; Li, Xiao; Xiao, Feng</t>
  </si>
  <si>
    <t>Arctic Sea Ice Freeboard Retrieval from Envisat Altimetry Data</t>
  </si>
  <si>
    <t>Arctic; sea ice; freeboard; Envisat</t>
  </si>
  <si>
    <t>THICKNESS; RADAR; VARIABILITY</t>
  </si>
  <si>
    <t>Arctic sea ice variations are sensitive to Arctic environmental changes and global changes. Freeboard and thickness are two important parameters in sea ice change research. Satellite altimetry can provide long-time and large-scale sea ice monitoring. We estimated the Arctic sea ice freeboard and its variations for the period from 2002 to 2012 from Envisat satellite altimetry data. To remove geoid undulations, we reprocessed the Envisat data using a newly developed mean sea surface (MSS) model, named DTU18. Residuals in the static geoid were removed by using the moving average technique. We then determined the local sea surface height and sea ice freeboard from the Envisat elevation profiles. We validated our freeboard estimates using two radar freeboard products from the European Space Agency (ESA) Climate Change Initiative (CCI) and the Alfred Wegener Institute (AWI), as well as the Operation IceBridge (OIB) sea ice freeboard product. The overall differences between our estimates and the CCI and AWI data were 0.11 +/- 0.14 m and 0.12 +/- 0.14 m, respectively. Our estimates show good agreement with the three products for areas of freeboard larger than 0.2 m and smaller than 0.3 m. For areas of freeboard larger than 0.3 m, our estimates correlate better with OIB freeboard than with CCI and AWI. The variations in the Arctic sea ice thickness are discussed. The ice freeboard reached its minimum in 2008 during the research period. Sharp decreases were found in the winters of 2005 and 2007.</t>
  </si>
  <si>
    <t>[Zhang, Shengkai; Xuan, Yue; Li, Jiaxing; Geng, Tong; Li, Xiao; Xiao, Feng] Wuhan Univ, Chinese Antarctic Ctr Surveying &amp; Mapping, Wuhan 430079, Peoples R China</t>
  </si>
  <si>
    <t>Wuhan University</t>
  </si>
  <si>
    <t>Xiao, F (corresponding author), Wuhan Univ, Chinese Antarctic Ctr Surveying &amp; Mapping, Wuhan 430079, Peoples R China.</t>
  </si>
  <si>
    <t>zskai@whu.edu.cn; xuanyue@whu.edu.cn; listening@whu.edu.cn; t.geng@whu.edu.cn; lx850569127@whu.edu.cn; shaw89@whu.edu.cn</t>
  </si>
  <si>
    <t>Feng, Xiao/0000-0003-3742-9380; Zhang, Shengkai/0000-0001-7436-2504</t>
  </si>
  <si>
    <t>Natural Science Foundation of China [41706216]; National Key Research and Development Program of China [2017YFA0603104, 2016YFC1402704]</t>
  </si>
  <si>
    <t>Natural Science Foundation of China(National Natural Science Foundation of China (NSFC)); National Key Research and Development Program of China</t>
  </si>
  <si>
    <t>This research was funded by the Natural Science Foundation of China, grant number 41730102; the National Key Research and Development Program of China, grant numbers 2017YFA0603104, 2016YFC1402704; and the Natural Science Foundation of China, grant number 41706216.</t>
  </si>
  <si>
    <t>10.3390/rs13081414</t>
  </si>
  <si>
    <t>RT7WX</t>
  </si>
  <si>
    <t>WOS:000644669300001</t>
  </si>
  <si>
    <t>Núñez-Montero, K; Salazar, R; Santos, A; Gómez-Espinoza, O; Farah, S; Troncoso, C; Hoffmann, C; Melivilu, D; Scott, F; Díaz, LB</t>
  </si>
  <si>
    <t>Nunez-Montero, Kattia; Salazar, Rodrigo; Santos, Andres; Gomez-Espinoza, Olman; Farah, Scandar; Troncoso, Claudia; Hoffmann, Catalina; Melivilu, Damaris; Scott, Felipe; Barrientos Diaz, Leticia</t>
  </si>
  <si>
    <t>Antarctic Rahnella inusitata: A Producer of Cold-Stable β-Galactosidase Enzymes</t>
  </si>
  <si>
    <t>INTERNATIONAL JOURNAL OF MOLECULAR SCIENCES</t>
  </si>
  <si>
    <t>β -galactosidase; Antarctica; lactose; cold-adapted bacteria; extremozymes</t>
  </si>
  <si>
    <t>ESCHERICHIA-COLI; EXPRESSION; CLONING; STRAIN; PURIFICATION; BACTERIUM; GENE; MICROORGANISMS; IDENTIFICATION; COMMUNITIES</t>
  </si>
  <si>
    <t>There has been a recent increase in the exploration of cold-active beta-galactosidases, as it offers new alternatives for the dairy industry, mainly in response to the current needs of lactose-intolerant consumers. Since extremophilic microbial compounds might have unique physical and chemical properties, this research aimed to study the capacity of Antarctic bacterial strains to produce cold-active beta-galactosidases. A screening revealed 81 out of 304 strains with beta-galactosidase activity. The strain Se8.10.12 showed the highest enzymatic activity. Morphological, biochemical, and molecular characterization based on whole-genome sequencing confirmed it as the first Rahnella inusitata isolate from the Antarctic, which retained 41-62% of its beta-galactosidase activity in the cold (4 degrees C-15 degrees C). Three beta-galactosidases genes were found in the R. inusitata genome, which belong to the glycoside hydrolase families GH2 (LacZ and EbgA) and GH42 (BglY). Based on molecular docking, some of these enzymes exhibited higher lactose predicted affinity than the commercial control enzyme from Aspergillus oryzae. Hence, this work reports a new Rahnella inusitata strain from the Antarctic continent as a prominent cold-active beta-galactosidase producer.</t>
  </si>
  <si>
    <t>[Nunez-Montero, Kattia; Salazar, Rodrigo; Santos, Andres; Farah, Scandar; Troncoso, Claudia; Hoffmann, Catalina; Melivilu, Damaris; Barrientos Diaz, Leticia] Univ La Frontera, Ctr Excellence Translat Med, Lab Mol Appl Biol, Ave Alemania 0458, Temuco 4810296, Chile; [Nunez-Montero, Kattia; Gomez-Espinoza, Olman] Inst Tecnol Costa Rica, Dept Biol, Biotechnol Invest Ctr, Cartago 1597050, Costa Rica; [Salazar, Rodrigo; Santos, Andres; Troncoso, Claudia] Univ La Frontera, Sci &amp; Technol Bioresource Nucleus BIOREN, Temuco 4811230, Chile; [Gomez-Espinoza, Olman] Univ La Frontera, Fac Agr &amp; Forestry Sci, Dept Agron Sci &amp; Nat Resources, Inst Agroind,Lab Plant Physiol &amp; Mol Biol, Temuco 4811230, Chile; [Scott, Felipe] Univ Los Andes, Fac Ingn &amp; Ciencias Aplicadas, Green Technol Res Grp, Santiago 7620001, Chile</t>
  </si>
  <si>
    <t>Universidad de La Frontera; Instituto Tecnologico de Costa Rica; Universidad de La Frontera; Universidad de La Frontera; Universidad de los Andes - Chile</t>
  </si>
  <si>
    <t>Díaz, LB (corresponding author), Univ La Frontera, Ctr Excellence Translat Med, Lab Mol Appl Biol, Ave Alemania 0458, Temuco 4810296, Chile.</t>
  </si>
  <si>
    <t>k.nunez03@ufromail.cl; r.salazar04@ufromail.cl; a.santos01@ufromail.cl; oespinoza@itcr.ac.cr; scandarfarahz@gmail.com; troncosomunozc@gmail.com; c.hoffmann02@ufromail.cl; d.melivilu01@ufromail.cl; fscott@uandes.cl; leticia.barrientos@ufrontera.cl</t>
  </si>
  <si>
    <t>Scott, Felipe/K-4193-2016; Barrientos, Leticia/R-6205-2017; Santos, Andres/AAB-2096-2022; Gómez-Espinoza, Olman/AAM-6780-2021</t>
  </si>
  <si>
    <t>Scott, Felipe/0000-0003-2041-4641; Barrientos, Leticia/0000-0002-5344-054X; Gómez-Espinoza, Olman/0000-0002-8878-078X; Nunez-Montero, Kattia/0000-0002-8629-5107</t>
  </si>
  <si>
    <t>INSTITUTO ANTARTICO CHILENO (INACH) [INACH RT_14-12, INACH DG_01-19]; UFRO/UANDES [INI4]; UNIVERSIDAD DE LA FRONTERA [DI19-0079, DI20-2018]; NETWORK FOR EXTREME ENVIRONMENTS RESEARCH (NEXER) [NXR17-0003]; CONICYT [CONICYT-PFCHA/Doctorado Nacional/2017-21170263, CONICYT-PFCHA/Doctorado Nacional/2017-21171392, CONICYT-PFCHA/Doctorado Nacional/2017-21170265]; National Agency for Research and Development (ANID Chile) (Fondecyt Iniciacion) [11170081]</t>
  </si>
  <si>
    <t>INSTITUTO ANTARTICO CHILENO (INACH); UFRO/UANDES; UNIVERSIDAD DE LA FRONTERA; NETWORK FOR EXTREME ENVIRONMENTS RESEARCH (NEXER); CONICYT(Comision Nacional de Investigacion Cientifica y Tecnologica (CONICYT)); National Agency for Research and Development (ANID Chile) (Fondecyt Iniciacion)</t>
  </si>
  <si>
    <t>This research was funded by the INSTITUTO ANTARTICO CHILENO (INACH), grant INACH RT_14-12, and INACH DG_01-19; UFRO/UANDES, grant INI4 from; UNIVERSIDAD DE LA FRONTERA, grant DI19-0079 and grant DI20-2018, NETWORK FOR EXTREME ENVIRONMENTS RESEARCH (NEXER), grant NXR17-0003; and CONICYT, grants CONICYT-PFCHA/Doctorado Nacional/2017-21170263 for K.N.-M., CONICYT-PFCHA/Doctorado Nacional/2017-21171392 to A.S., and CONICYT-PFCHA/Doctorado Nacional/2017-21170265 to O.G.-E. F. Scott gratefully acknowledges financial support by the National Agency for Research and Development (ANID Chile) (Fondecyt Iniciacion 11170081).</t>
  </si>
  <si>
    <t>1661-6596</t>
  </si>
  <si>
    <t>1422-0067</t>
  </si>
  <si>
    <t>INT J MOL SCI</t>
  </si>
  <si>
    <t>Int. J. Mol. Sci.</t>
  </si>
  <si>
    <t>10.3390/ijms22084144</t>
  </si>
  <si>
    <t>Biochemistry &amp; Molecular Biology; Chemistry, Multidisciplinary</t>
  </si>
  <si>
    <t>Biochemistry &amp; Molecular Biology; Chemistry</t>
  </si>
  <si>
    <t>RT2ZO</t>
  </si>
  <si>
    <t>WOS:000644332600001</t>
  </si>
  <si>
    <t>Hudson, J; Nowak, BF</t>
  </si>
  <si>
    <t>Hudson, Jemma; Nowak, Barbara F.</t>
  </si>
  <si>
    <t>Experimental Challenge Models and In Vitro Models to Investigate Efficacy of Treatments and Vaccines against Amoebic Gill Disease</t>
  </si>
  <si>
    <t>MICROORGANISMS</t>
  </si>
  <si>
    <t>Amoebic Gill Disease; experimental infection; in vivo; in vitro; efficacy; Neoparamoeba perurans; vaccine testing; treatment testing</t>
  </si>
  <si>
    <t>SALMO-SALAR L.; FARMED ATLANTIC SALMON; REAL-TIME PCR; NEOPARAMOEBA-PERURANS; PARAMOEBA-PEMAQUIDENSIS; HYDROGEN-PEROXIDE; IMMUNE-RESPONSE; BATH TREATMENT; N. SP.; AGD</t>
  </si>
  <si>
    <t>Amoebic Gill Disease (AGD) severely affects salmonid mariculture due to fish losses and costs associated with management of the disease. Continued research into management solutions, including new treatments and vaccine development, is highly important for the future of salmonid production worldwide. This requires both in vitro (both pathogen only and host-pathogen models) and in vivo (disease challenge) testing. Challenge models are still widely varied, in particular with regard to: infection methods (cohabitation or immersion), source of the pathogen (isolated from infected fish or cultured), infectious dose, environmental conditions (in particular temperature) and the endpoints across experimental treatment and vaccine studies which makes comparisons between studies difficult. This review summarises in vitro assays, the challenge methods and endpoints used in studies of experimental treatments and vaccines for AGD.</t>
  </si>
  <si>
    <t>[Hudson, Jemma; Nowak, Barbara F.] Univ Tasmania, Inst Marine &amp; Antarctic Studies, Launceston, Tas 7250, Australia</t>
  </si>
  <si>
    <t>Nowak, BF (corresponding author), Univ Tasmania, Inst Marine &amp; Antarctic Studies, Launceston, Tas 7250, Australia.</t>
  </si>
  <si>
    <t>jhudson6@utas.edu.au; B.Nowak@utas.edu.au</t>
  </si>
  <si>
    <t>Nowak, Barbara/J-7261-2014</t>
  </si>
  <si>
    <t>Nowak, Barbara/0000-0002-0347-643X</t>
  </si>
  <si>
    <t>2076-2607</t>
  </si>
  <si>
    <t>Microorganisms</t>
  </si>
  <si>
    <t>10.3390/microorganisms9040710</t>
  </si>
  <si>
    <t>RR8CI</t>
  </si>
  <si>
    <t>Green Published, gold, Green Accepted</t>
  </si>
  <si>
    <t>WOS:000643318900001</t>
  </si>
  <si>
    <t>Lombardi, C; Kuklinski, P; Bordone, A; Spirandelli, E; Raiteri, G</t>
  </si>
  <si>
    <t>Lombardi, Chiara; Kuklinski, Piotr; Bordone, Andrea; Spirandelli, Edoardo; Raiteri, Giancarlo</t>
  </si>
  <si>
    <t>Assessment of Annual Physico-Chemical Variability via High-Temporal Resolution Monitoring in an Antarctic Shallow Coastal Site (Terra Nova Bay, Ross Sea)</t>
  </si>
  <si>
    <t>MINERALS</t>
  </si>
  <si>
    <t>Antarctica; environmental variability; pH measurement; underwater observatory; conductivity– temperature– depth (CTD) probe; autonomous; illuminance measurement; climate change</t>
  </si>
  <si>
    <t>SOUTHERN-OCEAN; CARBONATE SYSTEM; DEEP-WATER; ICE LOSSES; SHELF; TEMPERATURE; DYNAMICS; COMMUNITIES; SEAWATER; PH</t>
  </si>
  <si>
    <t>The Southern Ocean is an important atmospheric carbon sink, and potential changes in the carbon flux in this region will affect the ocean as a whole. Thus, to monitor the variability of its physico-chemical parameters is becoming a priority. This study provides the first high-resolution all-year-round record of observed and computed physico-chemical data from a shallow coastal site in Terra Nova Bay (Ross Sea). From November 2018 to November 2019, an underwater observatory deployed at a 25 m depth under an ice pack recorded pressure (p), temperature (t), electrical conductivity (C), dissolved oxygen (DO), pH in total scale (pH(T)), and illuminance (E-v). Practical salinity (S-P), density (rho), tidal constituents, carbonate system parameters (total alkalinity (TA), carbon dioxide partial pressure (pCO(2)), calcite, and aragonite (omega(Ca), omega(Ar))), together with sea ice concentration (SIC) and chlorophyll-a (Chl-a), were derived from measured and satellite data. t, DO, and pH(T) displayed the lowest values between July and November (-1.95 degrees C, 6.61 mL L-1, 7.97) whereas the highest in January (+1.08 degrees C, 10.61 mL L-1, 8.35). S-P had the lowest values (33.72 PSU) in February and the highest (34.87 PSU) in September. E-v peaked in March (201 lux), with the highest values (&gt;50 lux) in correspondence to the lowest values of SIC and a delayed trend, between December and March, with respect to Chl-a values (0.2-1.1 mg m(-3)). omega(Ca) and omega(Ar) showed their highest average monthly values (+/- s.d.) in January (omega(Ca): 3.41 +/- 0.27; omega(Ar): 2.14 +/- 0.17), when DO had maximum values. The lowest omega occurred in September (omega(Ca): 2.11 +/- 0.02; omega(Ar): 1.32 +/- 0.02), at the end of phytoplankton activity. No undersaturation for both calcite and aragonite was recorded during the study period. This study highlights that biological activities and physico-chemical variables of the investigated shallow coastal site are coupled and, in many cases, influence each other.</t>
  </si>
  <si>
    <t>[Lombardi, Chiara; Bordone, Andrea; Raiteri, Giancarlo] ENEA Italian Natl Agcy New Technol Energy &amp; Susta, Marine Environm Res Ctr S Teresa, I-19032 Lerici, Italy; [Kuklinski, Piotr] Polish Acad Sci, Inst Oceanol, Dept Marine Ecol, PL-81712 Sopot, Poland; [Spirandelli, Edoardo] CNR Italian Natl Res Council, Inst Marine Engn, I-16149 Genoa, Italy</t>
  </si>
  <si>
    <t>Italian National Agency New Technical Energy &amp; Sustainable Economics Development; Polish Academy of Sciences; Institute of Oceanology of the Polish Academy of Sciences; Consiglio Nazionale delle Ricerche (CNR); Istituto di Ingegneria del Mare (INM-CNR)</t>
  </si>
  <si>
    <t>Kuklinski, P (corresponding author), Polish Acad Sci, Inst Oceanol, Dept Marine Ecol, PL-81712 Sopot, Poland.</t>
  </si>
  <si>
    <t>chiara.lombardi@enea.it; kuki@iopan.pl; andrea.bordone@enea.it; edoardo.spirandelli@cnr.it; giancarlo.raiteri@enea.it</t>
  </si>
  <si>
    <t>Lombardi, Chiara/AFR-7031-2022</t>
  </si>
  <si>
    <t>Kuklinski, Piotr/0000-0002-1507-215X; Raiteri, Giancarlo/0000-0001-9619-7327; Lombardi, Chiara/0000-0002-4165-3660</t>
  </si>
  <si>
    <t>National Antarctic Research Program (PNRA, Italy) [PNRA 2016/AZ1.09]; National Science Centre (NCS, Poland) [2020/37/B/ST10/02905]</t>
  </si>
  <si>
    <t>National Antarctic Research Program (PNRA, Italy); National Science Centre (NCS, Poland)</t>
  </si>
  <si>
    <t>This research was funded by the National Antarctic Research Program (PNRA, Italy), grant number PNRA 2016/AZ1.09 to C.L., and by the National Science Centre (NCS, Poland), grant number 2020/37/B/ST10/02905 to P.K.</t>
  </si>
  <si>
    <t>2075-163X</t>
  </si>
  <si>
    <t>MINERALS-BASEL</t>
  </si>
  <si>
    <t>Minerals</t>
  </si>
  <si>
    <t>10.3390/min11040374</t>
  </si>
  <si>
    <t>Geochemistry &amp; Geophysics; Mineralogy; Mining &amp; Mineral Processing</t>
  </si>
  <si>
    <t>RR8GI</t>
  </si>
  <si>
    <t>WOS:000643329300001</t>
  </si>
  <si>
    <t>Mora, D</t>
  </si>
  <si>
    <t>Mora, Demetrio</t>
  </si>
  <si>
    <t>Diatom taxonomy and ecology. From France to the sub-Antarctic islands. Celebrating the work and life of Prof. Dr. Rene Le Cohu on the occasion of his 80th birthday</t>
  </si>
  <si>
    <t>WILLDENOWIA</t>
  </si>
  <si>
    <t>Book Review</t>
  </si>
  <si>
    <t>[Mora, Demetrio] Free Univ Berlin, Bot Garten, Konigin Luise Str 6-8, D-14195 Berlin, Germany; [Mora, Demetrio] Free Univ Berlin, Bot Museum Berlin, Konigin Luise Str 6-8, D-14195 Berlin, Germany; [Mora, Demetrio] Bundesanstalt Gewasserkunde, Referat U2 Mikrobielle Okol, Mainzer Tor 1, D-56068 Koblenz, Germany</t>
  </si>
  <si>
    <t>Free University of Berlin; Free University of Berlin</t>
  </si>
  <si>
    <t>Mora, D (corresponding author), Free Univ Berlin, Bot Garten, Konigin Luise Str 6-8, D-14195 Berlin, Germany.;Mora, D (corresponding author), Free Univ Berlin, Bot Museum Berlin, Konigin Luise Str 6-8, D-14195 Berlin, Germany.;Mora, D (corresponding author), Bundesanstalt Gewasserkunde, Referat U2 Mikrobielle Okol, Mainzer Tor 1, D-56068 Koblenz, Germany.</t>
  </si>
  <si>
    <t>mora@bafg.de</t>
  </si>
  <si>
    <t>Mora, Demetrio/ABD-6280-2021</t>
  </si>
  <si>
    <t>Mora, Demetrio/0000-0003-3866-0488</t>
  </si>
  <si>
    <t>BOTANISCHER GARTEN &amp; BOTANISCHE MUSEUM BERLIN-DAHLEM</t>
  </si>
  <si>
    <t>FREIE UNIV BERLIN, KOENIGIN-LUISE-STRASSE 6-8, BERLIN, D-14191, GERMANY</t>
  </si>
  <si>
    <t>0511-9618</t>
  </si>
  <si>
    <t>Willdenowia</t>
  </si>
  <si>
    <t>RW6SU</t>
  </si>
  <si>
    <t>WOS:000646653400002</t>
  </si>
  <si>
    <t>de Vos, M; Vichi, M; Rautenbach, C</t>
  </si>
  <si>
    <t>de Vos, Marc; Vichi, Marcello; Rautenbach, Christo</t>
  </si>
  <si>
    <t>Simulating the Coastal Ocean Circulation Near the Cape Peninsula Using a Coupled Numerical Model</t>
  </si>
  <si>
    <t>JOURNAL OF MARINE SCIENCE AND ENGINEERING</t>
  </si>
  <si>
    <t>Cape Peninsula; Table Bay; False Bay; hydrodynamic modelling; coastal currents; waves</t>
  </si>
  <si>
    <t>3RD-GENERATION WAVE MODEL; FALSE BAY; SOUTH-AFRICA; TOWN; CURRENTS; INFORMATION; VALIDATION; MANAGEMENT; MESOSCALE; FORECAST</t>
  </si>
  <si>
    <t>A coupled numerical hydrodynamic model is presented for the Cape Peninsula region of South Africa. The model is intended to support a range of interdisciplinary coastal management and research applications, given the multifaceted socio-economic and ecological value of the study area. Calibration and validation are presented, with the model reproducing the mean circulation well. Maximum differences between modelled and measured mean surface current speeds and directions of 3.9 x 10(-2) m s(-1) and 20.7 degrees, respectively, were produced near Cape Town, where current velocities are moderate. At other measurement sites, the model closely reproduces mean surface and near-bed current speeds and directions and outperforms a global model. In simulating sub-daily velocity variability, the model's skill is moderate, and similar to that of a global model, where comparison is possible. It offers the distinct advantage of producing information where the global model cannot, however. Validation for temperature and salinity is provided, indicating promising performance. The model produces a range of expected dynamical features for the domain including upwelling and vertical current shear. Nuances in circulation patterns are revealed; specifically, the development of rotational flow patterns within False Bay is qualified and an eddy in Table Bay is identified.</t>
  </si>
  <si>
    <t>[de Vos, Marc] South African Weather Serv, Marine Res Unit, ZA-7525 Cape Town, South Africa; [de Vos, Marc; Vichi, Marcello; Rautenbach, Christo] Univ Cape Town, Dept Oceanog, ZA-7701 Rondebosch, South Africa; [de Vos, Marc] Natl Sea Rescue Inst, ZA-8005 Cape Town, South Africa; [Vichi, Marcello] Univ Cape Town, Marine &amp; Antarctic Res Ctr Innovat &amp; Sustainabil, ZA-7701 Rondebosch, South Africa; [Rautenbach, Christo] Natl Inst Water &amp; Atmospher Res, Coastal &amp; Estuarine Proc, Hamilton 3216, New Zealand; [Rautenbach, Christo] Nelson Mandela Univ, Inst Coastal &amp; Marine Res, ZA-6031 Port Elizabeth, South Africa</t>
  </si>
  <si>
    <t>South African Weather Service (SAWS); University of Cape Town; University of Cape Town; National Institute of Water &amp; Atmospheric Research (NIWA) - New Zealand; Nelson Mandela University</t>
  </si>
  <si>
    <t>de Vos, M (corresponding author), South African Weather Serv, Marine Res Unit, ZA-7525 Cape Town, South Africa.;de Vos, M (corresponding author), Univ Cape Town, Dept Oceanog, ZA-7701 Rondebosch, South Africa.;de Vos, M (corresponding author), Natl Sea Rescue Inst, ZA-8005 Cape Town, South Africa.</t>
  </si>
  <si>
    <t>marc.devos@weathersa.co.za; marcello.vichi@uct.ac.za; christo.rautenbach@niwa.co.nz</t>
  </si>
  <si>
    <t>Vichi, Marcello/GLR-9823-2022</t>
  </si>
  <si>
    <t>Vichi, Marcello/0000-0002-0686-9634; Rautenbach, Christo/0000-0001-6703-8386; De Vos, Marc/0000-0001-8996-5500</t>
  </si>
  <si>
    <t>National Research Foundation of South Africa [118754]</t>
  </si>
  <si>
    <t>National Research Foundation of South Africa(National Research Foundation - South Africa)</t>
  </si>
  <si>
    <t>This work was partially supported by the National Research Foundation of South Africa (grant number 118754)-South Africa-Norway cooperation on ocean research including blue economy, climate change, the environment and sustainable energy (SANOCEAN).</t>
  </si>
  <si>
    <t>2077-1312</t>
  </si>
  <si>
    <t>J MAR SCI ENG</t>
  </si>
  <si>
    <t>J. Mar. Sci. Eng.</t>
  </si>
  <si>
    <t>10.3390/jmse9040359</t>
  </si>
  <si>
    <t>Engineering, Marine; Engineering, Ocean; Oceanography</t>
  </si>
  <si>
    <t>Engineering; Oceanography</t>
  </si>
  <si>
    <t>RR5ER</t>
  </si>
  <si>
    <t>WOS:000643121700001</t>
  </si>
  <si>
    <t>Lin, YC; Hibbert, FD; Whitehouse, PL; Woodroffe, SA; Purcell, A; Shennan, I; Bradley, SL</t>
  </si>
  <si>
    <t>Lin, Yucheng; Hibbert, Fiona D.; Whitehouse, Pippa L.; Woodroffe, Sarah A.; Purcell, Anthony; Shennan, Ian; Bradley, Sarah L.</t>
  </si>
  <si>
    <t>A reconciled solution of Meltwater Pulse 1A sources using sea-level fingerprinting</t>
  </si>
  <si>
    <t>The most rapid global sea-level rise event of the last deglaciation, Meltwater Pulse 1A (MWP-1A), occurred similar to 14,650 years ago. Considerable uncertainty regarding the sources of meltwater limits understanding of the relationship between MWP-1A and the concurrent fast-changing climate. Here we present a data-driven inversion approach, using a glacio-isostatic adjustment model to invert for the sources of MWP-1A via sea-level constraints from six geographically distributed sites. The results suggest contributions from Antarctica, 1.3 m (0-5.9 m; 95% probability), Scandinavia, 4.6 m (3.2-6.4 m) and North America, 12.0 m (5.6-15.4 m), giving a global mean sea-level rise of 17.9 m (15.7-20.2 m) in 500 years. Only a North American dominant scenario successfully predicts the observed sea-level change across our six sites and an Antarctic dominant scenario is firmly refuted by Scottish isolation basin records. Our sea-level based results therefore reconcile with field-based ice-sheet reconstructions. Meltwater Pulse 1A was the most rapid global sea-level rise event during the last deglaciation, but the source of the freshwater causing this rise is debated. Here, the authors use a data-driven inversion approach to show that the North American and Eurasian Ice Sheets were the dominant contributors.</t>
  </si>
  <si>
    <t>[Lin, Yucheng; Whitehouse, Pippa L.; Woodroffe, Sarah A.; Shennan, Ian] Univ Durham, Dept Geog, Durham, England; [Lin, Yucheng; Hibbert, Fiona D.; Purcell, Anthony] Australian Natl Univ, Res Sch Earth Sci, Canberra, ACT, Australia; [Bradley, Sarah L.] Univ Sheffield, Dept Geog, Sheffield, S Yorkshire, England; [Hibbert, Fiona D.] Univ York, Dept Environm &amp; Geog, York, N Yorkshire, England</t>
  </si>
  <si>
    <t>Durham University; Australian National University; University of Sheffield; University of York - UK</t>
  </si>
  <si>
    <t>Lin, YC (corresponding author), Univ Durham, Dept Geog, Durham, England.;Lin, YC (corresponding author), Australian Natl Univ, Res Sch Earth Sci, Canberra, ACT, Australia.</t>
  </si>
  <si>
    <t>yucheng.lin@durham.ac.uk</t>
  </si>
  <si>
    <t>Shennan, Ian/A-4612-2011; IPO, PAGES/JXY-7546-2024; Hibbert, Fiona/ABA-8606-2021</t>
  </si>
  <si>
    <t>Hibbert, Fiona/0000-0002-3686-6514; Lin, Yucheng/0000-0002-5556-4490; Woodroffe, Sarah/0000-0002-4003-3435; Bradley, Sarah Louise/0000-0003-3740-5696; Shennan, Ian/0000-0003-3598-0224; Whitehouse, Pippa/0000-0002-9092-3444; Purcell, Anthony/0000-0001-5289-3902</t>
  </si>
  <si>
    <t>China Scholarship Council-Durham University; European Union's Horizon 2020 research and innovation programme under the Marie Sklodowska-Curie grant [838841-ExTaSea]; Natural Environment Research Council consortium grant BRITICE-CHRONO [NE/J009768/1]; European Research Council (ERC) under the European Union's Horizon 2020 research and innovation programme [787263]; NERC [GST/02/0760, GST/02/0761]; Swiss Academy of Sciences; Chinese Academy of Sciences</t>
  </si>
  <si>
    <t>China Scholarship Council-Durham University; European Union's Horizon 2020 research and innovation programme under the Marie Sklodowska-Curie grant(Marie Curie Actions); Natural Environment Research Council consortium grant BRITICE-CHRONO; European Research Council (ERC) under the European Union's Horizon 2020 research and innovation programme(European Research Council (ERC)); NERC(UK Research &amp; Innovation (UKRI)Natural Environment Research Council (NERC)); Swiss Academy of Sciences; Chinese Academy of Sciences(Chinese Academy of Sciences)</t>
  </si>
  <si>
    <t>The authors thank Chris D. Clark, Jeremy C. Ely and Henry Patton for providing their ice models, and W.R Peltier and Lev Tarasov for making their ice models publicly available. Y.L. was supported by China Scholarship Council-Durham University joint scholarship. F.D.H. received funding from the European Union's Horizon 2020 research and innovation programme under the Marie Sklodowska-Curie grant agreement (No. 838841-ExTaSea). S.L.B. was supported by the Natural Environment Research Council consortium grant BRITICE-CHRONO NE/J009768/1 and has benefited from the PalGlac team of researchers and received funding from the European Research Council (ERC) to Chris Clark under the European Union's Horizon 2020 research and innovation programme (Grant agreement No. 787263). The collection of the Scottish isolation basin data was supported by NERC Grants GST/02/0760 and GST/02/0761. The authors acknowledge PALSEA, a working group of the International Union for Quaternary Sciences (INQUA) and Past Global Changes (PAGES), which in turn received support from the Swiss Academy of Sciences and the Chinese Academy of Sciences. GIA calculations in this study were performed on the Terrawulf cluster, a computational facility supported through the AuScope Australian Geophysical Observing System (AGOS) and the Australian National Collaborative Research Infrastructure Strategy (NCRIS).</t>
  </si>
  <si>
    <t>APR 1</t>
  </si>
  <si>
    <t>10.1038/s41467-021-21990-y</t>
  </si>
  <si>
    <t>RI2XP</t>
  </si>
  <si>
    <t>WOS:000636772600002</t>
  </si>
  <si>
    <t>Bartak, M; Hajek, J; Orekhova, A; Villagra, J; Marin, C; Palfner, G; Casanova-Katny, A</t>
  </si>
  <si>
    <t>Bartak, Milos; Hajek, Josef; Orekhova, Alla; Villagra, Johana; Marin, Catalina; Palfner, Gotz; Casanova-Katny, Angelica</t>
  </si>
  <si>
    <t>Inhibition of Primary Photosynthesis in Desiccating Antarctic Lichens Differing in Their Photobionts, Thallus Morphology, and Spectral Properties</t>
  </si>
  <si>
    <t>maritime antarctica; King George Island; lichen dehydration; chlorophyll fluorescence; stress tolerance</t>
  </si>
  <si>
    <t>CHLOROPHYLL FLUORESCENCE</t>
  </si>
  <si>
    <t>Five macrolichens of different thallus morphology from Antarctica (King George Island) were used for this ecophysiological study. The effect of thallus desiccation on primary photosynthetic processes was examined. We investigated the lichens' responses to the relative water content (RWC) in their thalli during the transition from a wet (RWC of 100%) to a dry state (RWC of 0%). The slow Kautsky kinetics of chlorophyll fluorescence (ChlF) that was recorded during controlled dehydration (RWC decreased from 100 to 0%) and supplemented with a quenching analysis revealed a polyphasic species-specific response of variable fluorescence. The changes in ChlF at a steady state (Fs), potential and effective quantum yields of photosystem II (F-V/F-M, phi(PSII)), and nonphotochemical quenching (NPQ) reflected a desiccation-induced inhibition of the photosynthetic processes. The dehydration-dependent fall in F-V/F-M and phi(PSII) was species-specific, starting at an RWC range of 22-32%. The critical RWC for phi(PSII) was below 5%. The changes indicated the involvement of protective mechanisms in the chloroplastic apparatus of lichen photobionts at RWCs of below 20%. In both the wet and dry states, the spectral reflectance curves (SRC) (wavelength 400-800 nm) and indices (NDVI, PRI) of the studied lichen species were measured. Black Himantormia lugubris showed no difference in the SRCs between wet and dry state. Other lichens showed a higher reflectance in the dry state compared to the wet state. The lichen morphology and anatomy data, together with the ChlF and spectral reflectance data, are discussed in relation to its potential for ecophysiological studies in Antarctic lichens.</t>
  </si>
  <si>
    <t>[Bartak, Milos; Hajek, Josef; Orekhova, Alla] Masaryk Univ, Fac Sci, Dept Expt Biol, Kamenice 5,Bldg A13-119, Brno 62500, Czech Republic; [Villagra, Johana; Casanova-Katny, Angelica] Catholic Univ Temuco, Fac Nat Resources, Lab Plant Ecophysiol, Campus Luis Rivas del Canto, Temuco 4780000, Chile; [Marin, Catalina; Palfner, Gotz] Univ Concepcion, Fac Nat Sci &amp; Oceanog, Lab Mycol &amp; Mycorrhiza, Campus Concepcion, Concepcion 4030000, Chile</t>
  </si>
  <si>
    <t>Masaryk University Brno; Universidad Catolica de Temuco; Universidad de Concepcion</t>
  </si>
  <si>
    <t>Casanova-Katny, A (corresponding author), Catholic Univ Temuco, Fac Nat Resources, Lab Plant Ecophysiol, Campus Luis Rivas del Canto, Temuco 4780000, Chile.</t>
  </si>
  <si>
    <t>mbartak@sci.muni.cz; jhajek@sci.muni.cz; a.orechova@seznam.cz; jovyvillagra@gmail.com; catmarin@udec.cl; gpalfner@udec.cl; mcasanova@uct.cl</t>
  </si>
  <si>
    <t>Hájek, Josef/F-4694-2019; Barták, Miloš/F-4714-2019; Casanova-Katny, Angelica/M-3994-2014</t>
  </si>
  <si>
    <t>Hájek, Josef/0000-0002-2679-1707; Marin Cruz, Catalina/0000-0002-3313-916X; Casanova-Katny, Angelica/0000-0003-3860-1445</t>
  </si>
  <si>
    <t>Chilean Antarctic Institute (Chile) [INACHRT2716]; National Fund for Scientific and Technological Development (Chile) [ANID-FONDECYT 1181745]; CzechMinistry of Education, Youth, and Sports [CZ.02.1.01/0.0/0.0/16_013/0001708, LM2015078]; Masaryk University Brno, Czech Republic [MUNI/G/1540/2019]</t>
  </si>
  <si>
    <t>Chilean Antarctic Institute (Chile); National Fund for Scientific and Technological Development (Chile); CzechMinistry of Education, Youth, and Sports(Ministry of Education, Youth &amp; Sports - Czech Republic); Masaryk University Brno, Czech Republic(Czech Republic Government)</t>
  </si>
  <si>
    <t>This researchwas funded by Chilean Antarctic Institute, grant number INACHRT2716 (Chile), National Fund for Scientific and Technological Development, grant number ANID-FONDECYT 1181745 (Chile), CzechMinistry of Education, Youth, and Sports, grant numbers CZ.02.1.01/0.0/0.0/16_013/0001708 and LM2015078, andMasaryk University Brno, Czech Republic grant numberMUNI/G/1540/2019.</t>
  </si>
  <si>
    <t>10.3390/microorganisms9040818</t>
  </si>
  <si>
    <t>RR7ZC</t>
  </si>
  <si>
    <t>WOS:000643310500001</t>
  </si>
  <si>
    <t>Znój, A; Grzesiak, J; Gawor, J; Gromadka, R; Chwedorzewska, KJ</t>
  </si>
  <si>
    <t>Znoj, Anna; Grzesiak, Jakub; Gawor, Jan; Gromadka, Robert; Chwedorzewska, Katarzyna J.</t>
  </si>
  <si>
    <t>Bacterial Communities Associated with Poa annua Roots in Central European (Poland) and Antarctic Settings (King George Island)</t>
  </si>
  <si>
    <t>rhizosphere; microbiome; endosphere; roots; invasive species</t>
  </si>
  <si>
    <t>RNA GENE-SEQUENCES; RHIZOSPHERE MICROBIOME; ECOLOGY GLACIER; SOUTH-SHETLAND; SOIL; DIVERSITY; CLIMATE; PATTERNS; RHIZOBIA; REVEALS</t>
  </si>
  <si>
    <t>Poa annua (annual bluegrass) is one of the most ubiquitous grass species in the world. In isolated regions of maritime Antarctica, it has become an invasive organism threatening native tundra communities. In this study, we have explored and compared the rhizosphere and root-endosphere dwelling microbial community of P. annua specimens of maritime Antarctic and Central European origin in terms of bacterial phylogenetic diversity and microbial metabolic activity with a geochemical soil background. Our results show that the rhizospheric bacterial community was unique for each sampling site, yet the endosphere communities were similar to each other. However, key plant-associated bacterial taxa such as the Rhizobiaceae family were poorly represented in Antarctic samples, probably due to high salinity and heavy metal concentrations in the soil. Metabolic activity in the Antarctic material was considerably lower than in Central European samples. Antarctic root endosphere showed unusually high numbers of certain opportunistic bacterial groups, which proliferated due to low competition conditions. Thirteen bacterial families were recognized in this study to form a core microbiome of the P. annua root endosphere. The most numerous were the Flavobacteriaceae, suspected to be major contributors to the ecological success of annual bluegrass, especially in harsh, Antarctic conditions.</t>
  </si>
  <si>
    <t>[Znoj, Anna; Grzesiak, Jakub] Polish Acad Sci, Inst Biochem &amp; Biophys, Dept Antarctic Biol, Pawinskiego 5A, PL-02106 Warsaw, Poland; [Znoj, Anna] Polish Acad Sci, Ctr Biol Divers Conservat, Bot Garden, Prawdziwka 2, PL-02973 Warsaw, Poland; [Gawor, Jan; Gromadka, Robert] Polish Acad Sci, Inst Biochem &amp; Biophys, Environm Lab DNA Sequencing &amp; Synth, Pawinskiego 5A, PL-02106 Warsaw, Poland; [Chwedorzewska, Katarzyna J.] Warsaw Univ Life Sci SGGW, Dept Agron, Nowoursynowska 166, PL-02787 Warsaw, Poland</t>
  </si>
  <si>
    <t>Polish Academy of Sciences; Institute of Biochemistry &amp; Biophysics - Polish Academy of Sciences; Polish Academy of Sciences; Polish Academy of Sciences; Institute of Biochemistry &amp; Biophysics - Polish Academy of Sciences; Warsaw University of Life Sciences</t>
  </si>
  <si>
    <t>Grzesiak, J (corresponding author), Polish Acad Sci, Inst Biochem &amp; Biophys, Dept Antarctic Biol, Pawinskiego 5A, PL-02106 Warsaw, Poland.</t>
  </si>
  <si>
    <t>aznoj@ibb.waw.pl; jgrzesiak@ibb.waw.pl; gaworj@wp.pl; robert@ibb.waw.pl; kchwedorzewska@o2.pl</t>
  </si>
  <si>
    <t>Chwedorzewska, Katarzyna/M-9721-2019; Znój, Anna/AAX-3819-2021; Chwedorzewska, Katarzyna J/A-9480-2008</t>
  </si>
  <si>
    <t>Chwedorzewska, Katarzyna/0000-0001-6860-3666; Znój, Anna/0000-0002-8424-6707; Grzesiak, Jakub/0000-0001-5972-2356; Gawor, Jan/0000-0003-3800-2557; Gromadka, Robert/0000-0002-9941-6692</t>
  </si>
  <si>
    <t>National Science Center, Poland [2016/21/N/NZ9/01536]</t>
  </si>
  <si>
    <t>National Science Center, Poland(National Science Centre, Poland)</t>
  </si>
  <si>
    <t>This work was supported by the National Science Center, Poland (Grant 2016/21/N/NZ9/01536).</t>
  </si>
  <si>
    <t>10.3390/microorganisms9040811</t>
  </si>
  <si>
    <t>RR7WS</t>
  </si>
  <si>
    <t>WOS:000643304300001</t>
  </si>
  <si>
    <t>Ottaviani, A; Iacovelli, F; Fiorani, P; Desideri, A</t>
  </si>
  <si>
    <t>Ottaviani, Alessio; Iacovelli, Federico; Fiorani, Paola; Desideri, Alessandro</t>
  </si>
  <si>
    <t>Natural Compounds as Therapeutic Agents: The Case of Human Topoisomerase IB</t>
  </si>
  <si>
    <t>topoisomerase; cancer; natural products</t>
  </si>
  <si>
    <t>DNA-SEQUENCE SPECIFICITY; CYTOSPOROLIDES A-C; N-TERMINAL DOMAIN; CELL LUNG-CANCER; IN-VITRO; CAMPTOTHECIN RESISTANCE; LINKER DOMAIN; BIS(2,3-DIBROMO-4,5-DIHYDROXYBENZYL) ETHER; ANTIOXIDANT ACTIVITIES; MARINE-INVERTEBRATES</t>
  </si>
  <si>
    <t>Natural products are widely used as source for drugs development. An interesting example is represented by natural drugs developed against human topoisomerase IB, a ubiquitous enzyme involved in many cellular processes where several topological problems occur due the formation of supercoiled DNA. Human topoisomerase IB, involved in the solution of such problems relaxing the DNA cleaving and religating a single DNA strand, represents an important target in anticancer therapy. Several natural compounds inhibiting or poisoning this enzyme are under investigation as possible new drugs. This review summarizes the natural products that target human topoisomerase IB that may be used as the lead compounds to develop new anticancer drugs. Moreover, the natural compounds and their derivatives that are in clinical trial are also commented on.</t>
  </si>
  <si>
    <t>[Ottaviani, Alessio; Iacovelli, Federico; Fiorani, Paola; Desideri, Alessandro] Univ Roma Tor Vergata, Dept Biol, Via Ric Sci, I-00133 Rome, Italy; [Fiorani, Paola] CNR, Inst Translat Pharmacol, Natl Res Council, Via Fosso Cavaliere 100, I-00133 Rome, Italy</t>
  </si>
  <si>
    <t>University of Rome Tor Vergata; Consiglio Nazionale delle Ricerche (CNR); Istituto di Farmacologia Traslazionale (IFT-CNR)</t>
  </si>
  <si>
    <t>Ottaviani, A (corresponding author), Univ Roma Tor Vergata, Dept Biol, Via Ric Sci, I-00133 Rome, Italy.</t>
  </si>
  <si>
    <t>alessio.ottaviani@uniroma2.it; federico.iacovelli@uniroma2.it; paola.fiorani@uniroma2.it; desideri@uniroma2.it</t>
  </si>
  <si>
    <t>Iacovelli, Federico/AAT-7423-2021; Ottaviani, Alessio/K-7240-2018</t>
  </si>
  <si>
    <t>FIORANI, Paola/0000-0001-5409-2789; Ottaviani, Alessio/0000-0002-4796-3184; desideri, alessandro/0000-0003-1541-4217; Iacovelli, Federico/0000-0001-7511-6575</t>
  </si>
  <si>
    <t>PNRA (the Italian National Antarctic Research Program) - Ministry for the Education, University and Scientific Research (MIUR) [PNRA18_00005-D]</t>
  </si>
  <si>
    <t>PNRA (the Italian National Antarctic Research Program) - Ministry for the Education, University and Scientific Research (MIUR)</t>
  </si>
  <si>
    <t>This research was funded by PNRA (the Italian National Antarctic Research Program) and approved and funded by the Ministry for the Education, University and Scientific Research (MIUR), grant number PNRA18_00005-D.</t>
  </si>
  <si>
    <t>10.3390/ijms22084138</t>
  </si>
  <si>
    <t>RT3AW</t>
  </si>
  <si>
    <t>WOS:000644336000001</t>
  </si>
  <si>
    <t>Massini, JLG; Guido, DM; Campbell, KC; Sagasti, AJ; Krings, M</t>
  </si>
  <si>
    <t>Massini, J. L. Garcia; Guido, D. M.; Campbell, K. C.; Sagasti, A. J.; Krings, M.</t>
  </si>
  <si>
    <t>Filamentous cyanobacteria and associated microorganisms, structurally preserved in a Late Jurassic chert from Patagonia, Argentina</t>
  </si>
  <si>
    <t>Geothermal wetland; Heteropolar filament; La matilde fm; Nostocales; Organismal interaction; Oscillatoriales; Patagonifilum jurassicum; Synechococcales</t>
  </si>
  <si>
    <t>DESEADO MASSIF; MICROBIAL MATS; SP.-NOV.; ANTARCTIC PENINSULA; SPRING DEPOSITS; FOSSIL RECORD; CELL-DIVISION; RHYNIE CHERT; SAN AGUSTIN; ALGAE</t>
  </si>
  <si>
    <t>A new cyanobacterium, Patagonifilum jurassicum nov. gen. et sp., is structurally preserved in Late Jurassic hydrothermally influenced siliceous chert from the Deseado Massif, Patagonia, Argentina. The cyanobacterium occurs in the form of loosely to densely spaced, heteropolar filaments (up to 4.5 ?m wide) that form turf-like stands, or spherical to hemispherical colonies on different substrates, usually degraded plant stems. Filaments consist of barrel-shaped cells enveloped in a non-stratified sheath, and basal cells that are distinct. The fossil is similar to certain present-day members of the Oscillatoriales (e.g., Homoeothrix), Synechococcales (e.g., Tapinothrix), and Nostocales (e.g., Rivularia, Gloeotrichia). Associated with the cyanobacteria are spheroidal to ovoid vesicles, up to 45 ?m in diameter, which occur singly or clustered, mostly near the base of the filaments. They resemble certain present-day zoosporic fungi, and algae, coccoid cyanobacteria, and possibly certain arthropod eggs; however, their systematic affinities remain unresolved. This discovery is nevertheless important because it suggests that the cyanobacterial overgrowths from the Patagonian Jurassic cherts were not monospecific, but rather comprised different organisms that perhaps even interacted with each other.</t>
  </si>
  <si>
    <t>[Massini, J. L. Garcia] Consejo Nacl Invest Cient &amp; Tecn, Ctr Reg Invest Cient &amp; Transferencia Tecnol CRILA, UNLaR, SEGEMAR,UNCa, Entre Rios &amp; Mendoza S-N, RA-5301 Anillaco, La Rioja, Argentina; [Guido, D. M.; Sagasti, A. J.] CONICET UNLP, Inst Recursos Miner, Calle 64,Esquina 120, RA-1900 La Plata, Buenos Aires, Argentina; [Campbell, K. C.] Univ Auckland, Sch Environm, Private Bag 92019, Auckland 1142, New Zealand; [Krings, M.] SNSB Bayer Staatssammlung Palaontol &amp; Geol, Richard Wagner Str 10, D-80333 Munich, Germany; [Krings, M.] Ludwig Maximilians Univ Munchen, Dept Earth &amp; Environm Sci, Paleontol &amp; Geobiol, Richard Wagner Str 10, D-80333 Munich, Germany; [Krings, M.] Univ Kansas, Dept Ecol &amp; Evolutionary Biol, Lawrence, KS 66045 USA; [Krings, M.] Univ Kansas, Nat Hist Museum, Lawrence, KS 66045 USA; [Krings, M.] Univ Kansas, Biodivers Inst, Lawrence, KS 66045 USA</t>
  </si>
  <si>
    <t>Consejo Nacional de Investigaciones Cientificas y Tecnicas (CONICET); Consejo Nacional de Investigaciones Cientificas y Tecnicas (CONICET); University of Auckland; University of Munich; University of Kansas; University of Kansas; University of Kansas</t>
  </si>
  <si>
    <t>Massini, JLG (corresponding author), Consejo Nacl Invest Cient &amp; Tecn, Ctr Reg Invest Cient &amp; Transferencia Tecnol CRILA, UNLaR, SEGEMAR,UNCa, Entre Rios &amp; Mendoza S-N, RA-5301 Anillaco, La Rioja, Argentina.</t>
  </si>
  <si>
    <t>massini112@yahoo.com.ar</t>
  </si>
  <si>
    <t>Guido, Diego/0000-0003-4696-5644; garcia massini, juan/0000-0002-9480-2164; Sagasti, Ana Julia/0000-0003-3565-0591</t>
  </si>
  <si>
    <t>Culture Bureau of Santa Cruz Province; Consejo Nacional de Investigaciones Cientificas y Tecnicas (CONICET) [173, P. 202]; Ministerio de Ciencia, Tecnologia e Innovacion Productiva (MINCyT) [PICT 2104-3496]; National Geographic Society</t>
  </si>
  <si>
    <t>Culture Bureau of Santa Cruz Province; Consejo Nacional de Investigaciones Cientificas y Tecnicas (CONICET)(Consejo Nacional de Investigaciones Cientificas y Tecnicas (CONICET)); Ministerio de Ciencia, Tecnologia e Innovacion Productiva (MINCyT); National Geographic Society(National Geographic Society)</t>
  </si>
  <si>
    <t>We thank the Culture Bureau of Santa Cruz Province for supporting our Research and issuing research permits to study the geothermal deposits in the Deseado Massif. We also thank Patagonia Gold inc. for facilitating field work. Funding for this project came from the Consejo Nacional de Investigaciones Cientificas y Tecnicas (CONICET, P. 202 &amp; 173 to JLGM), the Ministerio de Ciencia, Tecnologia e Innovacion Productiva (MINCyT, PICT 2104-3496 to JLGM &amp; DG), and the National Geographic Society (to DMG and KAC). The paper benefited greatly from the constructive comments and suggestions of Dr. M. Tomescu, an anonymous referee and JSAES Editorial Board.</t>
  </si>
  <si>
    <t>10.1016/j.jsames.2020.103111</t>
  </si>
  <si>
    <t>RK3LA</t>
  </si>
  <si>
    <t>WOS:000638199900003</t>
  </si>
  <si>
    <t>Illuminati, S; Annibaldi, A; Truzzi, C; Mantini, C; Conca, E; Malandrino, M; Giglione, G; Fanelli, M; Scarponi, G</t>
  </si>
  <si>
    <t>Illuminati, Silvia; Annibaldi, Anna; Truzzi, Cristina; Mantini, Caterina; Conca, Eleonora; Malandrino, Mery; Giglione, Giada; Fanelli, Matteo; Scarponi, Giuseppe</t>
  </si>
  <si>
    <t>Determination of Cd, Pb, and Cu in the Atmospheric Aerosol of Central East Antarctica at Dome C (Concordia Station)</t>
  </si>
  <si>
    <t>MOLECULES</t>
  </si>
  <si>
    <t>cadmium; lead; copper; atmospheric aerosol; Central East Antarctica; Dome C; Concordia Station; background contents; local contamination</t>
  </si>
  <si>
    <t>TERRA-NOVA BAY; ANODIC-STRIPPING VOLTAMMETRY; LONG-RANGE TRANSPORT; TRACE-ELEMENTS; CHEMICAL-COMPOSITION; HEAVY-METALS; SOUTH-POLE; ATLANTIC-OCEAN; SEQUENTIAL EXTRACTION; SOURCE IDENTIFICATION</t>
  </si>
  <si>
    <t>Trace heavy metals Cd, Pb, and Cu were determined (by square wave anodic stripping voltammetry) in aerosol samples collected at Dome C (the Italo-French Station Concordia), a remote site of the Central East Antarctic plateau, for which no data are available until now. During the Austral Summer 2005-2006, three PM10 high-volume impactors were installed in two locations nearby of Concordia station: the first one very close and downwind of the station (about 50 m north), the other two (very close to each other) in a 'distant' site, upwind of the station and close to the astrophysics tent (not used in that expedition) at similar to 800 m south of Station Concordia. For each sample, the availability of the mass of the aerosol collected (obtained by differential weighing carried out on site), in addition to the volume of the filtered air, allowed us to express results both in terms of metal mass fractions in the aerosol and in the usual way of metal atmospheric concentrations. Metal contents increased in the order Cd &lt; Pb &lt; Cu with the following ranges of values: Cd 1.0-8.4 mu g g(-1) (0.09-3.1 pg m(-3)), Pb 96-470 mu g g(-1) (12-62 pg m(-3)), and Cu 0.17-20 mg g(-1) (0.027-2.4 ng m(-3)). From the metal temporal profiles obtained we estimated the following background values for the area of Dome C, expressed both in mass fractions and in atmospheric concentrations: Cd 1.2 +/- 0.2 mu g g(-1) (0.24 +/- 0.13 pg m(-3)), Pb (here fixed as upper limit) 113 +/- 13 mu g g(-1) (21 +/- 8 pg m(-3)), and Cu 0.91 +/- 0.48 mg g(-1) (0.12 +/- 0.07 ng m(-3)). The highest values were observed in the first part of the season, and particularly for the site close to the station, possibly related to sample contamination linked to intense activity at the Concordia station connected with the beginning of the expedition, including aircraft arrivals/departures. Increments of up to 10 times (and even 20 times for Cu) were recorded with respect to the background values. The metal excesses of the contaminated over background samples were found approximately, except for Cu, in the same proportion of the metal contents of the special Antarctic blend (SAB) diesel fuel, which is used almost exclusively at Concordia Station. The effect of the wind direction was also observed. Thus in the intermediate period of the campaign, when the wind direction reversed for several days with respect to the prevailing one, Cd and Pb metal contents decreased at the sampling point installed close to the station, now upwind of Concordia station, and increased at the `clean' site astrophysics tent, turned downwind at the main station. No simple and easily interpretable effect of the wind direction was observed for Cu, which suggests that some other extemporaneous and not clearly identified factor may have intervened in this case. These results suggest that the human impact at Dome C influences mainly the zone very close to the station, but also the area in the neighborhood, including the supposed clean site of the astrophysics tent (about 800 m far from the station), when the wind direction reverses with respect to the prevailing one, leaving the site downwind of the station Concordia. Since no other data are reported for the Dome C area, our results are compared with literature data referred to the South Pole Station (the only other plateau site for which data are available) and several other coastal Antarctic sites, observing that our results (excluding Cu) are the lowest ever observed for Antarctic aerosol.</t>
  </si>
  <si>
    <t>[Illuminati, Silvia; Annibaldi, Anna; Truzzi, Cristina; Mantini, Caterina; Giglione, Giada; Fanelli, Matteo; Scarponi, Giuseppe] Univ Politecn Marche, Dipartimento Sci Vita &amp; Ambiente, Via Brecce Bianche, I-60131 Ancona, Italy; [Conca, Eleonora; Malandrino, Mery] Univ Torino, Dept Analyt Chem, Via Giuria 5, I-10125 Turin, Italy</t>
  </si>
  <si>
    <t>Marche Polytechnic University; University of Turin</t>
  </si>
  <si>
    <t>Annibaldi, A; Truzzi, C (corresponding author), Univ Politecn Marche, Dipartimento Sci Vita &amp; Ambiente, Via Brecce Bianche, I-60131 Ancona, Italy.</t>
  </si>
  <si>
    <t>s.illuminati@univpm.it; a.annibaldi@univpm.it; c.truzzi@univpm.it; caterina.mantini@libero.it; eleonora.conca@unito.it; mery.malandrino@unito.it; g.giglione@pm.univpm.it; matteo.fanelli@virgilio.it; g.scarponi@univpm.it</t>
  </si>
  <si>
    <t>Illuminati, Silvia/GXZ-5038-2022; Illuminati, Silvia/T-7873-2019; Conca, Eleonora/IUP-4564-2023; Scarponi, Giuseppe/AAQ-6394-2021</t>
  </si>
  <si>
    <t>Illuminati, Silvia/0000-0001-6465-5477; Scarponi, Giuseppe/0000-0003-2932-0596; FANELLI, MATTEO/0000-0002-2567-7873; Malandrino, Mery/0000-0002-8352-0487; TRUZZI, Cristina/0000-0002-7429-9880; Giglione, Giada/0000-0002-4035-2671; Conca, Eleonora/0000-0002-9303-9427; ANNIBALDI, ANNA/0000-0002-7628-093X</t>
  </si>
  <si>
    <t>Italian Programma Nazionale di Ricerche in Antartide (PNRA) [PdR 2004/6.4, 2004/9.01, 2009/A2.11, 2013/AZ3.04]</t>
  </si>
  <si>
    <t>Italian Programma Nazionale di Ricerche in Antartide (PNRA)</t>
  </si>
  <si>
    <t>This work was funded by the Italian Programma Nazionale di Ricerche in Antartide (PNRA, Grants PdR 2004/6.4, 2004/9.01, 2009/A2.11, 2013/AZ3.04) under the projects on Physics and Chemistry of the Atmosphere-Climatic Effects of Aerosol Particles and Thin Clouds over the East Antarctic Plateau, Chemical Contamination, Study of Sources and Transfer Processes of the Antarctic Aerosol, and Air-Snow Exchanges and Relationships for Trace Elements and Organic Compounds of Climatic Interest.</t>
  </si>
  <si>
    <t>1420-3049</t>
  </si>
  <si>
    <t>Molecules</t>
  </si>
  <si>
    <t>10.3390/molecules26071997</t>
  </si>
  <si>
    <t>RL1KC</t>
  </si>
  <si>
    <t>WOS:000638739900001</t>
  </si>
  <si>
    <t>Herbert, C; Munoz-Martin, JF; Llaveria, D; Pablos, M; Camps, A</t>
  </si>
  <si>
    <t>Herbert, Christoph; Munoz-Martin, Joan Francesc; Llaveria, David; Pablos, Miriam; Camps, Adriano</t>
  </si>
  <si>
    <t>Sea Ice Thickness Estimation Based on Regression Neural Networks Using L-Band Microwave Radiometry Data from the FSSCat Mission</t>
  </si>
  <si>
    <t>predictive regression neural networks; sea ice thickness; microwave radiometry; CubeSats</t>
  </si>
  <si>
    <t>SNOW DEPTH; RETRIEVAL; CRYOSAT-2; FREEBOARD</t>
  </si>
  <si>
    <t>Several methods have been developed to provide polar maps of sea ice thickness (SIT) from L-band brightness temperature (TB) and altimetry data. Current process-based inversion methods to yield SIT fail to address the complex surface characteristics because sea ice is subject to strong seasonal dynamics and ice-physical properties are often non-linearly related. Neural networks can be trained to find hidden links among large datasets and often perform better on convoluted problems for which traditional approaches miss out important relationships between the observations. The FSSCat mission launched on 3 September 2020, carries the Flexible Microwave Payload-2 (FMPL-2), which contains the first Reflected Global Navigation Satellite System (GNSS-R) and L-band radiometer on board a CubeSat-designed to provide TB data on global coverage for soil moisture retrieval, and sea ice applications. This work investigates a predictive regression neural network approach with the goal to infer SIT using FMPL-2 TB and ancillary data (sea ice concentration, surface temperature, and sea ice freeboard). Two models-covering thin ice up to 0.6 m and full-range thickness-were separately trained on Arctic data in a two-month period from mid-October to the beginning of December 2020, while using ground truth data derived from the Soil Moisture and Ocean Salinity (SMOS) and Cryosat-2 missions. The thin ice and the full-range models resulted in a mean absolute error of 6.5 cm and 23 cm, respectively. Both of the models allowed for one to produce weekly composites of Arctic maps, and monthly composites of Antarctic SIT were predicted based on the Arctic full-range model. This work presents the first results of the FSSCat mission over the polar regions. It reveals the benefits of neural networks for sea ice retrievals and demonstrates that moderate-cost CubeSat missions can provide valuable data for applications in Earth observation.</t>
  </si>
  <si>
    <t>[Herbert, Christoph; Munoz-Martin, Joan Francesc; Llaveria, David; Camps, Adriano] Univ Politecn Catalunya UPC, CommSensLab, Jordi Girona 1-3, Barcelona 08034, Spain; [Herbert, Christoph; Munoz-Martin, Joan Francesc; Llaveria, David; Camps, Adriano] Inst Estudis Espacials Catalunya IEEC CTE UPC, Jordi Girona 1-3, Barcelona 08034, Spain; [Herbert, Christoph; Pablos, Miriam; Camps, Adriano] Barcelona Expert Ctr BEC, Passeig Maritim Barceloneta 37-49, Barcelona 08003, Spain; [Pablos, Miriam] CSIC, Inst Ciencies Mar ICM, Passeig Maritim Barceloneta 37-49, Barcelona 08003, Spain; [Herbert, Christoph] Dept Signal Theory &amp; Commun TSC, Bldg D3,1st Floor,Room 114,Jordi Girona 1-3, Barcelona 08034, Spain</t>
  </si>
  <si>
    <t>Universitat Politecnica de Catalunya; Institut d'Estudis Espacials de Catalunya (IEEC); Consejo Superior de Investigaciones Cientificas (CSIC); CSIC - Centro Mediterraneo de Investigaciones Marinas y Ambientales (CMIMA); CSIC - Instituto de Ciencias del Mar (ICM)</t>
  </si>
  <si>
    <t>Herbert, C (corresponding author), Univ Politecn Catalunya UPC, CommSensLab, Jordi Girona 1-3, Barcelona 08034, Spain.;Herbert, C (corresponding author), Inst Estudis Espacials Catalunya IEEC CTE UPC, Jordi Girona 1-3, Barcelona 08034, Spain.;Herbert, C (corresponding author), Barcelona Expert Ctr BEC, Passeig Maritim Barceloneta 37-49, Barcelona 08003, Spain.;Herbert, C (corresponding author), Dept Signal Theory &amp; Commun TSC, Bldg D3,1st Floor,Room 114,Jordi Girona 1-3, Barcelona 08034, Spain.</t>
  </si>
  <si>
    <t>herbert@tsc.upc.edu; david.llaveria@upc.edu; mpablos@icm.csic.es; camps@tsc.upc.edu</t>
  </si>
  <si>
    <t>Munoz-Martin, Joan F./AAA-2214-2019; Pablos Hernández, Miriam/G-2845-2013; Camps, Adriano/D-2592-2011</t>
  </si>
  <si>
    <t>Munoz-Martin, Joan F./0000-0002-6441-6676; Pablos Hernández, Miriam/0000-0003-2694-7107; Camps, Adriano/0000-0002-9514-4992; Herbert, Christoph/0000-0002-2578-8522; Llaveria, David/0000-0002-4917-5798</t>
  </si>
  <si>
    <t>2017 ESA S3 challenge and Copernicus Masters overall winner award (FSSCat project); project SPOT: Sensing with Pioneering Opportunistic Techniques [RTI2018-099008-B-C21/AEI]; Unidad de Excelencia Maria de Maeztu [MDM-2016-0600]; Spanish Ministry of Science and Innovation [ESP2017-89463-C3]; Centro de Excelencia Severo Ochoa [CEX2019-000928-S]; CSIC Plataforma Tematica Interdisciplinar de Teledeteccion (PTI-Teledetect); la Caixa Foundation [100010434, LCF/BQ/DI18/11660050]; European Union [713673]; FPU fellowship from the Spanish Ministry of Education [FPU18/06107]; AGAUR-Generalitat de Catalunya (FEDER), Spain</t>
  </si>
  <si>
    <t>2017 ESA S3 challenge and Copernicus Masters overall winner award (FSSCat project); project SPOT: Sensing with Pioneering Opportunistic Techniques; Unidad de Excelencia Maria de Maeztu(Spanish Government); Spanish Ministry of Science and Innovation(Spanish Government); Centro de Excelencia Severo Ochoa; CSIC Plataforma Tematica Interdisciplinar de Teledeteccion (PTI-Teledetect); la Caixa Foundation(La Caixa Foundation); European Union(European Union (EU)); FPU fellowship from the Spanish Ministry of Education(German Research Foundation (DFG)); AGAUR-Generalitat de Catalunya (FEDER), Spain</t>
  </si>
  <si>
    <t>This work was supported by 2017 ESA S3 challenge and Copernicus Masters overall winner award (FSSCat project), and has been (partially) sponsored by the project SPOT: Sensing with Pioneering Opportunistic Techniques grant RTI2018-099008-B-C21/AEI/10.13039/501100011033, and by the Unidad de Excelencia Maria de Maeztu MDM-2016-0600. This work has also been (partially) sponsored by the Spanish Ministry of Science and Innovation through the project ESP2017-89463-C3, and by the Centro de Excelencia Severo Ochoa (CEX2019-000928-S), and by the CSIC Plataforma Tematica Interdisciplinar de Teledeteccion (PTI-Teledetect). Christoph Herbert receives support from la Caixa Foundation (ID 100010434) with the fellowship code LCF/BQ/DI18/11660050, and funding from the European Union's Horizon 2020 research and innovation programme under the Marie Sklodowska-Curie grant agreement No. 713673; Joan Francesc Munoz-Martin receives support from the grant for recruitment of early-stage research staff FI-DGR 2018 of the AGAUR-Generalitat de Catalunya (FEDER), Spain; David Llaveria receives support from a FPU fellowship from the Spanish Ministry of Education FPU18/06107.</t>
  </si>
  <si>
    <t>10.3390/rs13071366</t>
  </si>
  <si>
    <t>RL2FV</t>
  </si>
  <si>
    <t>WOS:000638796400001</t>
  </si>
  <si>
    <t>Souza, R; Pezzi, L; Swart, S; Oliveira, F; Santini, M</t>
  </si>
  <si>
    <t>Souza, Ronald; Pezzi, Luciano; Swart, Sebastiaan; Oliveira, Fabricio; Santini, Marcelo</t>
  </si>
  <si>
    <t>Air-Sea Interactions over Eddies in the Brazil-Malvinas Confluence</t>
  </si>
  <si>
    <t>Brazil-Malvinas Confluence; mesoscale eddies; air-sea interaction; marine atmospheric boundary layer; heat fluxes</t>
  </si>
  <si>
    <t>The Brazil-Malvinas Confluence (BMC) is one of the most dynamical regions of the global ocean. Its variability is dominated by the mesoscale, mainly expressed by the presence of meanders and eddies, which are understood to be local regulators of air-sea interaction processes. The objective of this work is to study the local modulation of air-sea interaction variables by the presence of either a warm (ED1) and a cold core (ED2) eddy, present in the BMC, during September to November 2013. The translation and lifespans of both eddies were determined using satellite-derived sea level anomaly (SLA) data. Time series of satellite-derived surface wind data, as well as these and other meteorological variables, retrieved from ERA5 reanalysis at the eddies' successive positions in time, allowed us to investigate the temporal modulation of the lower atmosphere by the eddies' presence along their translation and lifespan. The reanalysis data indicate a mean increase of 78% in sensible and 55% in latent heat fluxes along the warm eddy trajectory in comparison to the surrounding ocean of the study region. Over the cold core eddy, on the other hand, we noticed a mean reduction of 49% and 25% in sensible and latent heat fluxes, respectively, compared to the adjacent ocean. Additionally, a field campaign observed both eddies and the lower atmosphere from ship-borne observations before, during and after crossing both eddies in the study region during October 2013. The presence of the eddies was imprinted on several surface meteorological variables depending on the sea surface temperature (SST) in the eddy cores. In situ oceanographic and meteorological data, together with high frequency micrometeorological data, were also used here to demonstrate that the local, rather than the large scale forcing of the eddies on the atmosphere above, is, as expected, the principal driver of air-sea interaction when transient atmospheric systems are stable (not actively varying) in the study region. We also make use of the in situ data to show the differences (biases) between bulk heat flux estimates (used on atmospheric reanalysis products) and eddy covariance measurements (taken as sea truth) of both sensible and latent heat fluxes. The findings demonstrate the importance of short-term changes (minutes to hours) in both the atmosphere and the ocean in contributing to these biases. We conclude by emphasizing the importance of the mesoscale oceanographic structures in the BMC on impacting local air-sea heat fluxes and the marine atmospheric boundary layer stability, especially under large scale, high-pressure atmospheric conditions.</t>
  </si>
  <si>
    <t>[Souza, Ronald] Natl Inst Space Res INPE, Earth Syst Numer Modeling Div, BR-12630000 Cachoeira Paulista, Brazil; [Pezzi, Luciano; Santini, Marcelo] Natl Inst Space Res INPE, Earth Observat &amp; Geoinformat Div, Lab Ocean &amp; Atmosphere Studies LOA, BR-12227010 Sao Jose Dos Campos, Brazil; [Swart, Sebastiaan] Univ Gothenburg, Dept Marine Sci, S-40530 Gothenburg, Sweden; [Swart, Sebastiaan] Univ Cape Town, Dept Oceanog, ZA-7701 Rondebosch, South Africa; [Oliveira, Fabricio] Fed Univ Rio Grande FURG, Inst Oceanog, BR-96203900 Rio Grande, Brazil</t>
  </si>
  <si>
    <t>University of Gothenburg; University of Cape Town</t>
  </si>
  <si>
    <t>Souza, R (corresponding author), Natl Inst Space Res INPE, Earth Syst Numer Modeling Div, BR-12630000 Cachoeira Paulista, Brazil.</t>
  </si>
  <si>
    <t>ronald.buss@inpe.br; luciano.pezzi@inpe.br; sebastiaan.swart@marine.gu.se; fsoliveira@furg.br; marcelo.santini@inpe.br</t>
  </si>
  <si>
    <t>Souza, Ronald Buss de/R-5867-2016; de Souza, Ronald Buss/AAP-7586-2021; Pezzi, Luciano Ponzi/N-7271-2017; Oliveira, Fabricio/C-4054-2012; Swart, Sebastiaan/U-5498-2017</t>
  </si>
  <si>
    <t>Souza, Ronald Buss de/0000-0003-3346-3370; de Souza, Ronald Buss/0000-0003-3346-3370; Pezzi, Luciano Ponzi/0000-0001-6016-4320; Santini, Marcelo/0000-0002-6760-2247; Oliveira, Fabricio/0000-0002-9997-4926; Swart, Sebastiaan/0000-0002-2251-8826</t>
  </si>
  <si>
    <t>Brazilian agency CNPq [CNPq 704222/2009 + FAPERGS 17/2551-0000518-0, CAPES 88887-145668/2017-00, CNPq/PROANTAR 443013/2018-7, CNPq/PROANTAR 442695/2018-7]; Brazilian agency CAPES [CNPq 704222/2009 + FAPERGS 17/2551-0000518-0, CAPES 88887-145668/2017-00, CNPq/PROANTAR 443013/2018-7, CNPq/PROANTAR 442695/2018-7]; Brazilian agency FAPERGS [CNPq 704222/2009 + FAPERGS 17/2551-0000518-0, CAPES 88887-145668/2017-00, CNPq/PROANTAR 443013/2018-7, CNPq/PROANTAR 442695/2018-7]; Swedish Research Council [VR 2019-04400]; Wallenberg Academy Fellowship [WAF 2015.0186]; CNPq [CNPq/304858/2019-6]</t>
  </si>
  <si>
    <t>Brazilian agency CNPq(Conselho Nacional de Desenvolvimento Cientifico e Tecnologico (CNPQ)); Brazilian agency CAPES(Coordenacao de Aperfeicoamento de Pessoal de Nivel Superior (CAPES)); Brazilian agency FAPERGS(Fundacao de Amparo a Ciencia e Tecnologia do Estado do Rio Grande do Sul (FAPERGS)); Swedish Research Council(Swedish Research Council); Wallenberg Academy Fellowship; CNPq(Conselho Nacional de Desenvolvimento Cientifico e Tecnologico (CNPQ))</t>
  </si>
  <si>
    <t>This research was funded by the Brazilian agencies CNPq, CAPES and FAPERGS to the following projects: (i) National Institute for Science and Technology of the Cryosphere (CNPq 704222/2009 + FAPERGS 17/2551-0000518-0); (ii) Use and Development of the BESM Model for Studying the Ocean-Atmosphere-Cryosphere in high and medium latitudes (CAPES 88887-145668/2017-00); (iii) Antarctic Modeling and Observation System (CNPq/PROANTAR 443013/2018-7) and (iv) Bio-complexity and Physical-Chemical-Biological Interactions in Multiple Scales in the Southwest Atlantic (CNPq/PROANTAR 442695/2018-7). L.P. is partly funded through a CNPq Scientific Productivity Fellow (CNPq/304858/2019-6). S.S. acknowledges support from the Swedish Research Council (VR 2019-04400) and aWallenberg Academy Fellowship grant (WAF 2015.0186).</t>
  </si>
  <si>
    <t>10.3390/rs13071335</t>
  </si>
  <si>
    <t>RL2DX</t>
  </si>
  <si>
    <t>WOS:000638791400001</t>
  </si>
  <si>
    <t>van Westen, RM; Dijkstra, HA</t>
  </si>
  <si>
    <t>van Westen, Rene M.; Dijkstra, Henk A.</t>
  </si>
  <si>
    <t>Ocean eddies strongly affect global mean sea-level projections</t>
  </si>
  <si>
    <t>Current sea-level projections are based on climate models in which the effects of ocean eddies are parameterized. Here, we investigate the effect of ocean eddies on global mean sea-level rise (GMSLR) projections, using climate model simulations. Explicitly resolving ocean eddies leads to a more realistic Southern Ocean temperature distribution and volume transport. These quantities control the rate of basal melt, which eventually results in Antarctic mass loss. In a model with resolved ocean eddies, the Southern Ocean temperature changes lead to a smaller Antarctic GMSLR contribution compared to the same model in which eddies are parameterized. As a result, the projected GMSLR is about 25% lower at the end of this century in the eddying model. Relatively small-scale ocean eddies can hence have profound large-scale effects and consequently affect GMSLR projections.</t>
  </si>
  <si>
    <t>[van Westen, Rene M.; Dijkstra, Henk A.] Univ Utrecht, Inst Marine &amp; Atmospher Res, Princetonpl 5, NL-3584 CC Utrecht, Netherlands</t>
  </si>
  <si>
    <t>Utrecht University</t>
  </si>
  <si>
    <t>van Westen, RM (corresponding author), Univ Utrecht, Inst Marine &amp; Atmospher Res, Princetonpl 5, NL-3584 CC Utrecht, Netherlands.</t>
  </si>
  <si>
    <t>r.m.vanwesten@uu.nl</t>
  </si>
  <si>
    <t>Dijkstra, Henk A./H-2559-2016</t>
  </si>
  <si>
    <t>van Westen, Rene/0000-0002-8807-7269</t>
  </si>
  <si>
    <t>eabf1674</t>
  </si>
  <si>
    <t>10.1126/sciadv.abf1674</t>
  </si>
  <si>
    <t>RQ5GN</t>
  </si>
  <si>
    <t>WOS:000642446300014</t>
  </si>
  <si>
    <t>Wåhlin, AK; Graham, AGC; Hogan, KA; Queste, BY; Boehme, L; Larter, RD; Pettit, EC; Wellner, J; Heywood, KJ</t>
  </si>
  <si>
    <t>Wahlin, A. K.; Graham, A. G. C.; Hogan, K. A.; Queste, B. Y.; Boehme, L.; Larter, R. D.; Pettit, E. C.; Wellner, J.; Heywood, K. J.</t>
  </si>
  <si>
    <t>Pathways and modification of warm water flowing beneath Thwaites Ice Shelf, West Antarctica</t>
  </si>
  <si>
    <t>PINE ISLAND; DEEP-WATER; GLACIAL MELTWATER; AMUNDSEN; OCEAN; SEA; CIRCULATION; RETREAT; BATHYMETRY; GRAVITY</t>
  </si>
  <si>
    <t>Thwaites Glacier is the most rapidly changing outlet of the West Antarctic Ice Sheet and adds large uncertainty to 21st century sea-level rise predictions. Here, we present the first direct observations of ocean temperature, salinity, and oxygen beneath Thwaites Ice Shelf front, collected by an autonomous underwater vehicle. On the basis of these data, pathways and modification of water flowing into the cavity are identified. Deep water underneath the central ice shelf derives from a previously underestimated eastern branch of warm water entering the cavity from Pine Island Bay. Inflow of warm and outflow of melt-enriched waters are identified in two seafloor troughs to the north. Spatial property gradients highlight a previously unknown convergence zone in one trough, where different water masses meet and mix. Our observations show warm water impinging from all sides on pinning points critical to ice-shelf stability, a scenario that may lead to unpinning and retreat.</t>
  </si>
  <si>
    <t>[Wahlin, A. K.; Queste, B. Y.] Univ Gothenburg, Dept Marine Sci, Box 461, S-40530 Gothenburg, Sweden; [Graham, A. G. C.] Univ S Florida, Coll Marine Sci, St Petersburg, FL 33701 USA; [Hogan, K. A.; Larter, R. D.] British Antarctic Survey, Madingley Rd, Cambridge CB3 0ET, England; [Boehme, L.] Univ St Andrews, Scottish Oceans Inst, St Andrews, Fife, Scotland; [Pettit, E. C.] Oregon State Univ, Coll Earth Ocean &amp; Atmospher Sci, Weniger Hall 533,103 SW Mem Pl, Corvallis, OR 97331 USA; [Wellner, J.] Univ Houston, Dept Earth &amp; Atmospher Sci, Houston, TX 77204 USA; [Heywood, K. J.] Univ East Anglia, Ctr Ocean &amp; Atmospher Sci, Sch Environm Sci, Norwich, Norfolk, England</t>
  </si>
  <si>
    <t>University of Gothenburg; State University System of Florida; University of South Florida; UK Research &amp; Innovation (UKRI); Natural Environment Research Council (NERC); NERC British Antarctic Survey; University of St Andrews; Oregon State University; University of Houston System; University of Houston; University of East Anglia</t>
  </si>
  <si>
    <t>Wåhlin, AK (corresponding author), Univ Gothenburg, Dept Marine Sci, Box 461, S-40530 Gothenburg, Sweden.</t>
  </si>
  <si>
    <t>awahlin@gu.se</t>
  </si>
  <si>
    <t>; Boehme, Lars/B-6567-2009; Heywood, Karen/L-1757-2016; Wahlin, Anna/U-3790-2017</t>
  </si>
  <si>
    <t>Wellner, Julia/0000-0002-6807-8635; Boehme, Lars/0000-0003-3513-6816; Heywood, Karen/0000-0001-9859-0026; Pettit, Erin Christine/0000-0002-6765-9841; Queste, Bastien/0000-0002-3786-2275; Larter, Robert/0000-0002-8414-7389; Wahlin, Anna/0000-0003-1799-6476</t>
  </si>
  <si>
    <t>Natural Environment Research Council [NE/S006419/1, NE/S006664/1]; NSF, Office of Polar Programs as part of the ITGC [1929991, 1738942]; Vetenskapsradet [2017-04257]; SSF project SMARC; Office of Polar Programs (OPP); Directorate For Geosciences [1738942, 1929991] Funding Source: National Science Foundation; Swedish Research Council [2017-04257] Funding Source: Swedish Research Council; NERC [NE/S006664/1, NE/S006419/1] Funding Source: UKRI; Vinnova [2017-04257] Funding Source: Vinnova</t>
  </si>
  <si>
    <t>Natural Environment Research Council(UK Research &amp; Innovation (UKRI)Natural Environment Research Council (NERC)); NSF, Office of Polar Programs as part of the ITGC; Vetenskapsradet(Swedish Research Council); SSF project SMARC; Office of Polar Programs (OPP); Directorate For Geosciences(National Science Foundation (NSF)NSF - Directorate for Geosciences (GEO)); Swedish Research Council(Swedish Research Council); NERC(UK Research &amp; Innovation (UKRI)Natural Environment Research Council (NERC)); Vinnova(Vinnova)</t>
  </si>
  <si>
    <t>Funding for this study has been received from the Natural Environment Research Council (grant numbers NE/S006419/1 and NE/S006664/1) and NSF, Office of Polar Programs (grant numbers 1929991 and 1738942) as part of the ITGC, from Vetenskapsradet (2017-04257) and from the SSF project SMARC.</t>
  </si>
  <si>
    <t>eabd7254</t>
  </si>
  <si>
    <t>10.1126/sciadv.abd7254</t>
  </si>
  <si>
    <t>WOS:000642446300004</t>
  </si>
  <si>
    <t>Wu, Y; Wang, ZM; Liu, CY</t>
  </si>
  <si>
    <t>Wu, Yang; Wang, Zhaomin; Liu, Chengyan</t>
  </si>
  <si>
    <t>Impacts of Changed Ice-Ocean Stress on the North Atlantic Ocean: Role of Ocean Surface Currents</t>
  </si>
  <si>
    <t>ice-ocean stress; sea ice extent; Ekman pumping; Atlantic meridional overturning circulation; Labrador Sea; Nordic Seas; eddy kinetic energy; MITgcm-ECCO2</t>
  </si>
  <si>
    <t>ANTARCTIC SEA-ICE; EDDY KINETIC-ENERGY; SOUTHERN-OCEAN; MIXED-LAYER; ARCTIC-OCEAN; GLOBAL OCEAN; GEOSTROPHIC CURRENTS; BULK FORMULAS; WIND STRESS; CIRCULATION</t>
  </si>
  <si>
    <t>The importance of considering ocean surface currents in ice-ocean stress calculation in the North Atlantic Ocean and Arctic sea ice is investigated for the first time using a global coupled ocean-sea ice model. Considering ocean surface currents in ice-ocean stress calculation weakens the ocean surface stress and Ekman pumping by about 7.7 and 15% over the North Atlantic Ocean, respectively. It also significantly reduces the mechanical energy input to ageostrophic and geostrophic currents, and weakens the mean and eddy kinetic energy by reducing the energy conversion rates of baroclinic and barotropic pathways. Furthermore, the strength of the Atlantic Meridional Overturning Circulation (AMOC), the Nordic Seas MOC, and the North Atlantic subpolar gyre are found to be reduced considerably (by 14.3, 31.0, and 18.1%, respectively). The weakened AMOC leads to a 0.12 PW reduction in maximum northward ocean heat transport, resulting in a reduced surface heat loss and lower sea surface temperature over the North Atlantic Ocean. This reduction also leads to a shrink in sea ice extent and an attenuation of sea ice thickness. These findings highlight the importance of properly considering both the geostrophic and ageostrophic components of ocean surface currents in ice-ocean stress calculation on ocean circulation and climate studies.</t>
  </si>
  <si>
    <t>[Wu, Yang] Nanjing Xiaozhuang Univ, Sch Informat Engn, Nanjing, Peoples R China; [Wu, Yang; Wang, Zhaomin; Liu, Chengyan] Southern Marine Sci &amp; Engn Guangdong Lab Zhuhai, Zhuhai, Peoples R China; [Wang, Zhaomin] Hohai Univ, Coll Oceanog, Nanjing, Peoples R China</t>
  </si>
  <si>
    <t>Nanjing Xiaozhuang University; Southern Marine Science &amp; Engineering Guangdong Laboratory; Southern Marine Science &amp; Engineering Guangdong Laboratory (Zhuhai); Hohai University</t>
  </si>
  <si>
    <t>Wu, Y (corresponding author), Nanjing Xiaozhuang Univ, Sch Informat Engn, Nanjing, Peoples R China.;Wu, Y; Wang, ZM (corresponding author), Southern Marine Sci &amp; Engn Guangdong Lab Zhuhai, Zhuhai, Peoples R China.;Wang, ZM (corresponding author), Hohai Univ, Coll Oceanog, Nanjing, Peoples R China.</t>
  </si>
  <si>
    <t>yang.wu@njxzc.edu.cn; zhaomin.wang@hhu.edu.cn</t>
  </si>
  <si>
    <t>Wu, Yang/0000-0001-7842-9796</t>
  </si>
  <si>
    <t>National Natural Science Foundation of China [41806216, 41941007, 41876220]; China Postdoctoral Science Foundation [2019T120379, 2018M630499]; Talent start-up fund of Nanjing Xiaozhuang University [4172111]</t>
  </si>
  <si>
    <t>National Natural Science Foundation of China(National Natural Science Foundation of China (NSFC)); China Postdoctoral Science Foundation(China Postdoctoral Science Foundation); Talent start-up fund of Nanjing Xiaozhuang University</t>
  </si>
  <si>
    <t>This study was supported by the National Natural Science Foundation of China (Grant Nos. 41806216, 41941007, and 41876220), by the China Postdoctoral Science Foundation (Grant Nos. 2019T120379 and 2018M630499), and by the Talent start-up fund of Nanjing Xiaozhuang University (Grant No. 4172111).</t>
  </si>
  <si>
    <t>10.3389/fmars.2021.628892</t>
  </si>
  <si>
    <t>RI6ZQ</t>
  </si>
  <si>
    <t>WOS:000637058000001</t>
  </si>
  <si>
    <t>Gomez-Martin, L; Toledo, D; Prados-Roman, C; Adame, JA; Ochoa, H; Yela, M</t>
  </si>
  <si>
    <t>Gomez-Martin, Laura; Toledo, Daniel; Prados-Roman, Cristina; Adame, Jose Antonio; Ochoa, Hector; Yela, Margarita</t>
  </si>
  <si>
    <t>Polar Stratospheric Clouds Detection at Belgrano II Antarctic Station with Visible Ground-Based Spectroscopic Measurements</t>
  </si>
  <si>
    <t>polar stratospheric clouds; color index; radiative transfer model; visible spectroscopy</t>
  </si>
  <si>
    <t>ABSORPTION CROSS-SECTIONS; VOLCANIC AEROSOL; DUMONT DURVILLE; OPTICAL DEPTH; LIDAR; OZONE; VORTEX; MCMURDO; CALIPSO; MIPAS</t>
  </si>
  <si>
    <t>By studying the evolution of the color index (CI) during twilight at high latitudes, polar stratospheric clouds (PSCs) can be detected and characterized. In this work, this method has been applied to the measurements obtained by a visible ground-based spectrometer and PSCs have been studied over the Belgrano II Antarctic station for years 2018 and 2019. The methodology applied has been validated by full spherical radiative transfer simulations, which confirm that PSCs can be detected and their altitude estimated with this instrumentation. Moreover, our investigation shows that this method is useful even in presence of optically thin tropospheric clouds or aerosols. PSCs observed in this work have been classified by altitude. Our results are in good agreement with the stratospheric temperature evolution obtained by the global meteorological model ECMWF (European Centre for Medium Range Weather Forecasts) and with satellite PSCs observations from CALIPSO (Cloud-Aerosol-Lidar and Infrared Pathfinder Satellite Observations). To investigate the presence and long-term evolution of PSCs, the methodology used in this work could also be applied to foreseen and/or historical observations obtained with ground-based spectrometers such e. g. those dedicated to Differential Optical Absorption Spectroscopy (DOAS) for trace gas observation in Arctic and Antarctic sites.</t>
  </si>
  <si>
    <t>[Gomez-Martin, Laura; Toledo, Daniel; Prados-Roman, Cristina; Adame, Jose Antonio; Yela, Margarita] Inst Nacl Tecn Aerosp INTA, Atmospher Res &amp; Instrumentat Branch, Carretera Ajalvir Km4, Torrejon De Ardoz 28850, Spain; [Ochoa, Hector] Argentinian Antarctic Inst IAA, Natl Antarctic Direct DNA, 25 Mayo 1143,B1650HMK, Buenos Aires, DF, Argentina</t>
  </si>
  <si>
    <t>Gomez-Martin, L (corresponding author), Inst Nacl Tecn Aerosp INTA, Atmospher Res &amp; Instrumentat Branch, Carretera Ajalvir Km4, Torrejon De Ardoz 28850, Spain.</t>
  </si>
  <si>
    <t>gomezml@inta.es; toledocd@inta.es; pradosrc@inta.es; adamecj@inta.es; haochoa@dna.gov.ar; yelam@inta.es</t>
  </si>
  <si>
    <t>Prados-Roman, Cristina/FCT-7862-2022; Prados-Roman, Cristina/F-4125-2012; Toledo, Daniel/AAA-8070-2020; Prados-Roman, Cristina/FBM-1610-2022; Gomez, Laura/I-9272-2014; Jose, Adame/K-3951-2014; Yela Gonzalez, Margarita/J-7346-2016</t>
  </si>
  <si>
    <t>Prados-Roman, Cristina/0000-0001-8332-0226; Toledo, Daniel/0000-0002-0103-1891; Gomez, Laura/0000-0002-6655-7659; Jose, Adame/0000-0002-6302-7193; Yela Gonzalez, Margarita/0000-0003-3775-3156</t>
  </si>
  <si>
    <t>Spanish Ministry of Science and Innovation [CTM2017-83199P]</t>
  </si>
  <si>
    <t>Spanish Ministry of Science and Innovation(Spanish Government)</t>
  </si>
  <si>
    <t>This work was funded by the Spanish Ministry of Science and Innovation under the projects VHODCA (CTM2017-83199P).</t>
  </si>
  <si>
    <t>10.3390/rs13081412</t>
  </si>
  <si>
    <t>RT7VS</t>
  </si>
  <si>
    <t>WOS:000644666200001</t>
  </si>
  <si>
    <t>Heinemann, G; Drüe, C; Schwarz, P; Makshtas, A</t>
  </si>
  <si>
    <t>Heinemann, Gunther; Druee, Clemens; Schwarz, Pascal; Makshtas, Alexander</t>
  </si>
  <si>
    <t>Observations of Wintertime Low-Level Jets in the Coastal Region of the Laptev Sea in the Siberian Arctic Using SODAR/RASS</t>
  </si>
  <si>
    <t>low-level jets; SODAR; RASS; atmospheric boundary layer; Laptev Sea</t>
  </si>
  <si>
    <t>In 2014/2015 a one-year field campaign at the Tiksi observatory in the Laptev Sea area was carried out using Sound Detection and Ranging/Radio Acoustic Sounding System (SODAR/RASS) measurements to investigate the atmospheric boundary layer (ABL) with a focus on low-level jets (LLJ) during the winter season. In addition to SODAR/RASS-derived vertical profiles of temperature, wind speed and direction, a suite of complementary measurements at the Tiksi observatory was available. Data of a regional atmospheric model were used to put the local data into the synoptic context. Two case studies of LLJ events are presented. The statistics of LLJs for six months show that in about 23% of all profiles LLJs were present with a mean jet speed and height of about 7 m/s and 240 m, respectively. In 3.4% of all profiles LLJs exceeding 10 m/s occurred. The main driving mechanism for LLJs seems to be the baroclinicity, since no inertial oscillations were found. LLJs with heights below 200 m are likely influenced by local topography.</t>
  </si>
  <si>
    <t>[Heinemann, Gunther; Druee, Clemens] Univ Trier, Dept Environm Meteorol, D-54286 Trier, Germany; [Schwarz, Pascal] MENTZ GmbH, D-81675 Munich, Germany; [Makshtas, Alexander] Arctic &amp; Antarctic Res Inst AARI, Air Sea Interact Dept, St Petersburg 199397, Russia</t>
  </si>
  <si>
    <t>Universitat Trier; Arctic &amp; Antarctic Research Institute</t>
  </si>
  <si>
    <t>Heinemann, G (corresponding author), Univ Trier, Dept Environm Meteorol, D-54286 Trier, Germany.</t>
  </si>
  <si>
    <t>heinemann@uni-trier.de; druee@uni-trier.de; schwarz@mentz.net; maksh@aari.ru</t>
  </si>
  <si>
    <t>; Makshtas, Alexander/K-7538-2016</t>
  </si>
  <si>
    <t>Drue, Clemens/0000-0002-8240-9031; Makshtas, Alexander/0000-0002-9690-9133; Heinemann, Gunther/0000-0002-4831-9016</t>
  </si>
  <si>
    <t>Federal Ministry of Education and Research (BMBF) [03F0831C]; Russian Ministry of Education and Science [RFMEFI61619X0108]; Open Access Fund of the University of Trier; German Research Foundation (DFG) within the Open Access Publishing funding program</t>
  </si>
  <si>
    <t>Federal Ministry of Education and Research (BMBF)(Federal Ministry of Education &amp; Research (BMBF)); Russian Ministry of Education and Science(Ministry of Education and Science, Russian Federation); Open Access Fund of the University of Trier; German Research Foundation (DFG) within the Open Access Publishing funding program(German Research Foundation (DFG))</t>
  </si>
  <si>
    <t>This research was funded by the Federal Ministry of Education and Research (BMBF) under grant 03F0831C in the frame of German-Russian cooperation WTZ RUS: Changing Arctic Transpolar System (CATS) and the Russian Ministry of Education and Science (project RFMEFI61619X0108). The publication was funded by the Open Access Fund of the University of Trier and the German Research Foundation (DFG) within the Open Access Publishing funding program.</t>
  </si>
  <si>
    <t>10.3390/rs13081421</t>
  </si>
  <si>
    <t>RT7XJ</t>
  </si>
  <si>
    <t>WOS:000644670500001</t>
  </si>
  <si>
    <t>Rule, JP; Adams, JW; Fitzgerald, EMG</t>
  </si>
  <si>
    <t>Rule, James P.; Adams, Justin W.; Fitzgerald, Erich M. G.</t>
  </si>
  <si>
    <t>Colonization of the ancient southern oceans by small-sized Phocidae: new evidence from Australia</t>
  </si>
  <si>
    <t>ZOOLOGICAL JOURNAL OF THE LINNEAN SOCIETY</t>
  </si>
  <si>
    <t>Beaumaris; Monachinae; Neogene; phocids; Pinnipedia; Sandringham Sandstone; seals</t>
  </si>
  <si>
    <t>LATE NEOGENE; SEA LIONS; PHYLOGENETIC AFFINITIES; ELEPHANT SEALS; LATE MIOCENE; BODY-SIZE; EVOLUTION; CARNIVORA; VICTORIA; BIOGEOGRAPHY</t>
  </si>
  <si>
    <t>Most of the diversity of extant southern true seals (Phocidae: Monachinae) is present in the Southern Ocean, but a poor fossil record means that the origin of this fauna remains unknown. Australia represents a large gap in the record bordering the Southern Ocean that could possibly inform on the origins of the extant Antarctic monachines, with most known fossils remaining undescribed. Here we describe the oldest Australian fossil pinniped assemblage, from the Late Miocene to the Early Pliocene of Beaumaris. Two fossils are referrable to Pinnipedia, five (possibly six) to Phocidae and a humerus is referrable to Monachinae. The humerus is not referrable to any extant tribe, potentially representing an archaic monachine. The description of this assemblage is consistent with the Neogene pinniped fauna of Australia being exclusively monachine before the arrival of otariids (fur seals and sea lions). The Beaumaris humerus, along with other Neogene phocids from the Southern Ocean margins, were smaller than their extant Antarctic relatives, possibly driven by longer food chains with less energy efficiency between trophic levels. This suggests that small archaic phocids potentially used the Southern Ocean as a means of dispersal before the arrival of extant Antarctic monachines.</t>
  </si>
  <si>
    <t>[Rule, James P.; Adams, Justin W.] Monash Univ, Biomed Discovery Inst, Dept Anat &amp; Dev Biol, Melbourne, Vic 3800, Australia; [Rule, James P.; Fitzgerald, Erich M. G.] Museums Victoria, Vertebrate Palaeontol, Melbourne, Vic 3001, Australia; [Fitzgerald, Erich M. G.] Monash Univ, Sch Biol Sci, Melbourne, Vic 3800, Australia; [Fitzgerald, Erich M. G.] Smithsonian Inst, Natl Museum Nat Hist, Washington, DC 20560 USA; [Fitzgerald, Erich M. G.] Nat Hist Museum, Dept Life Sci, London SW7 5BD, England</t>
  </si>
  <si>
    <t>Melbourne Genomics Health Alliance; Monash University; Melbourne Genomics Health Alliance; Monash University; Smithsonian Institution; Smithsonian National Museum of Natural History; Natural History Museum London</t>
  </si>
  <si>
    <t>Rule, JP (corresponding author), Monash Univ, Biomed Discovery Inst, Dept Anat &amp; Dev Biol, Melbourne, Vic 3800, Australia.;Rule, JP (corresponding author), Museums Victoria, Vertebrate Palaeontol, Melbourne, Vic 3001, Australia.</t>
  </si>
  <si>
    <t>jrule.palaeo@gmail.com</t>
  </si>
  <si>
    <t>Rule, James/AAX-1860-2021</t>
  </si>
  <si>
    <t>Rule, James/0000-0001-7256-2393; Adams, Justin/0000-0002-6214-9850</t>
  </si>
  <si>
    <t>Australian Government RTP Stipend scholarship; Monash UniversityMuseums Victoria Robert Blackwood Partnership PhD scholarship; Monash Biomedical Discovery Institute; Monash University Graduate Research Travel Grant; Bayside City Council</t>
  </si>
  <si>
    <t>Australian Government RTP Stipend scholarship(Australian Government); Monash UniversityMuseums Victoria Robert Blackwood Partnership PhD scholarship; Monash Biomedical Discovery Institute; Monash University Graduate Research Travel Grant; Bayside City Council</t>
  </si>
  <si>
    <t>The authors acknowledge J. Dixon, T. Flannery, B. S. J. Francischelli, E. P. Jones, C. Macrae, D. Rawlings, R. Wilkie and J. M. Wilson for discovering and donating fossils described herein to Museums Victoria. Thanks are given to the following institutions and staff for collections access: Museums Victoria (T. Ziegler, K. Rowe, K. Roberts, K. Date and R-L. Erickson); Museum national d'Histoire naturelle (C. Muizon and G. Billet); Museo Paleontologico `Egidio Feruglio' (Eduardo Ruigomez); Natural History Museum London (R. Miquez and P. Jenkins);Smithsonian Institution, National Museum of Natural History (J. Mead, M. McGowen, D. Lunde, J. Ososky, N. Pyenson and D. Bohaska). Thanks to D. S. Rovinsky, for assisting JPR with Adobe Photoshop and Illustrator. Astrid Werner is thanked for her skilful preparation of NMV P232849. JPR is funded by an Australian Government RTP Stipend scholarship and a Monash UniversityMuseums Victoria Robert Blackwood Partnership PhD scholarship. Travel undertaken for this project was funded by the Monash Biomedical Discovery Institute and a Monash University Graduate Research Travel Grant. D. P. Hocking and A. R. Evans are thanked for useful discussions about specimens in this manuscript. The authors thank the anonymous reviewers and Associate Editor, whose comments improved this manuscript. Research on Beaumaris fossils is generously supported by Bayside City Council, M. Schwartz, M. Orr, V. Karalis, and community donations to the Lost World of Bayside.</t>
  </si>
  <si>
    <t>0024-4082</t>
  </si>
  <si>
    <t>1096-3642</t>
  </si>
  <si>
    <t>ZOOL J LINN SOC-LOND</t>
  </si>
  <si>
    <t>Zool. J. Linn. Soc.</t>
  </si>
  <si>
    <t>10.1093/zoolinnean/zlaa075</t>
  </si>
  <si>
    <t>RJ0YZ</t>
  </si>
  <si>
    <t>WOS:000637330900010</t>
  </si>
  <si>
    <t>Gambelli, AM; Tinivella, U; Giovannetti, R; Castellani, B; Giustiniani, M; Rossi, A; Zannotti, M; Rossi, F</t>
  </si>
  <si>
    <t>Gambelli, Alberto Maria; Tinivella, Umberta; Giovannetti, Rita; Castellani, Beatrice; Giustiniani, Michela; Rossi, Andrea; Zannotti, Marco; Rossi, Federico</t>
  </si>
  <si>
    <t>Observation of the Main Natural Parameters Influencing the Formation of Gas Hydrates</t>
  </si>
  <si>
    <t>ENERGIES</t>
  </si>
  <si>
    <t>water chemistry; Antarctic sediment samples; salinity; gas hydrate</t>
  </si>
  <si>
    <t>Chemical composition in seawater of marine sediments, as well as the physical properties and chemical composition of soils, influence the phase behavior of natural gas hydrate by disturbing the hydrogen bond network in the water-rich phase before hydrate formation. In this article, some marine sediments samples, collected in National Antarctic Museum in Trieste, were analyzed and properties such as pH, conductivity, salinity, and concentration of main elements of water present in the sediments are reported. The results, obtained by inductively coupled plasma-mass spectrometry (ICP-MS) and ion chromatography (IC) analysis, show that the more abundant cation is sodium and, present in smaller quantities, but not negligible, are calcium, potassium, and magnesium, while the more abundant anion is chloride and sulfate is also appreciable. These results were successively used to determine the thermodynamic parameters and the effect on salinity of water on hydrates' formation. Then, hydrate formation was experimentally tested using a small-scale apparatus, in the presence of two different porous media: a pure silica sand and a silica-based natural sand, coming from the Mediterranean seafloor. The results proved how the presence of further compounds, rather than silicon, as well as the heterogeneous grainsize and porosity, made this sand a weak thermodynamic and a strong kinetic inhibitor for the hydrate formation process.</t>
  </si>
  <si>
    <t>[Gambelli, Alberto Maria; Castellani, Beatrice; Rossi, Federico] Univ Perugia, Dept Engn, Via G Duranti 93, I-06125 Perugia, Italy; [Tinivella, Umberta; Giustiniani, Michela] Ist Nazl Oceanog &amp; Geofis Sperimentale OGS, Borgo Grotta Gigante 42C, I-34010 Trieste, Italy; [Giovannetti, Rita; Rossi, Andrea; Zannotti, Marco] Univ Camerino, Sch Sci &amp; Technol, Div Chem, Via S Agostino 1, I-62032 Camerino, Italy</t>
  </si>
  <si>
    <t>University of Perugia; Istituto Nazionale di Oceanografia e di Geofisica Sperimentale; University of Camerino</t>
  </si>
  <si>
    <t>Gambelli, AM (corresponding author), Univ Perugia, Dept Engn, Via G Duranti 93, I-06125 Perugia, Italy.;Tinivella, U (corresponding author), Ist Nazl Oceanog &amp; Geofis Sperimentale OGS, Borgo Grotta Gigante 42C, I-34010 Trieste, Italy.;Giovannetti, R (corresponding author), Univ Camerino, Sch Sci &amp; Technol, Div Chem, Via S Agostino 1, I-62032 Camerino, Italy.</t>
  </si>
  <si>
    <t>albertomaria.gambelli@studenti.unipg.it; utinivella@inogs.it; rita.giovannetti@unicam.it; beatrice.castellani@unipg.it; mgiustiniani@inogs.it; andrea.rossi@unicam.it; marco.zannotti@unicam.it; federico.rossi@unipg.it</t>
  </si>
  <si>
    <t>; Giovannetti, Rita/C-8941-2018; Castellani, Beatrice/K-7409-2015</t>
  </si>
  <si>
    <t>Tinivella, Umberta/0000-0002-1588-6452; Giovannetti, Rita/0000-0001-8099-6028; Giustiniani, Michela/0000-0002-1620-4599; Castellani, Beatrice/0000-0001-5546-656X; Rossi, Federico/0000-0001-8293-9457; Rossi, Andrea/0000-0002-6772-9811; Zannotti, Marco/0000-0003-2527-9856</t>
  </si>
  <si>
    <t>PRIN Project entitled: Methane recovery and carbon dioxide disposal in natural gas hydrate reservoirs</t>
  </si>
  <si>
    <t>The present experimental research was funded by the PRIN Project entitled: Methane recovery and carbon dioxide disposal in natural gas hydrate reservoirs.</t>
  </si>
  <si>
    <t>1996-1073</t>
  </si>
  <si>
    <t>Energies</t>
  </si>
  <si>
    <t>10.3390/en14071803</t>
  </si>
  <si>
    <t>Energy &amp; Fuels</t>
  </si>
  <si>
    <t>RK6NY</t>
  </si>
  <si>
    <t>WOS:000638411700001</t>
  </si>
  <si>
    <t>Nguyen, H; Bell, JD; Patil, JG</t>
  </si>
  <si>
    <t>Nguyen, Hoang; Bell, Justin D.; Patil, Jawahar G.</t>
  </si>
  <si>
    <t>Daily ageing to delineate population dynamics of the invasive fish Gambusia holbrooki: implications for management and control</t>
  </si>
  <si>
    <t>BIOLOGICAL INVASIONS</t>
  </si>
  <si>
    <t>Pest fish; Otolith; Birth date; Mortality; Senescence</t>
  </si>
  <si>
    <t>Despite the high global invasion profile of Gambusia holbrooki, there is limited knowledge of its population dynamics, especially biological parameters for fine-scale delineation of recruitment events that can provide a basis for controlling this short-lived invasive species. Key to this is daily ageing of otoliths, and in this study 193 (similar to 50%) of 394 wild fish sampled from an invaded wetland were successfully aged. Increment counts of growth rings in otoliths from aquaria-reared G. holbrooki did not correspond 1:1 to their known ages but were significantly correlated (P &lt; 0.05, R-2 = 0.92), suggesting the use of linear relationships could nevertheless be used to estimate the age of wild-caught fish. Mean daily growth rate estimated for spring-summer cohorts (0.28 mm/day) was much greater than that of winter cohorts (0.12 mm/day). A natural mortality rate of 0.01 day(- 1) for females was estimated by catch-curve analysis via length to age conversion based on the growth relationship. Birth rate closely correlated with changes in water temperature with a peak reproduction in January (Austral summer) at the study site. This study, for the first time, used daily age estimates of G. holbrooki to quantitatively examine population dynamics, which can be used to investigate invasive dynamics and choice of pest control strategies, including their scheduling and assessment.</t>
  </si>
  <si>
    <t>[Nguyen, Hoang; Bell, Justin D.; Patil, Jawahar G.] Univ Tasmania, Fisheries &amp; Aquaculture Ctr, Inst Marine &amp; Antarctic Studies, Hobart, Tas, Australia; [Patil, Jawahar G.] Inland Fisheries Serv Tasmania, New Norfolk, Tas, Australia</t>
  </si>
  <si>
    <t>Patil, JG (corresponding author), Univ Tasmania, Fisheries &amp; Aquaculture Ctr, Inst Marine &amp; Antarctic Studies, Hobart, Tas, Australia.;Patil, JG (corresponding author), Inland Fisheries Serv Tasmania, New Norfolk, Tas, Australia.</t>
  </si>
  <si>
    <t>hoang.nguyen0@utas.edu.au; justin.bell@utas.edu.au; jawahar.patil@utas.edu.au</t>
  </si>
  <si>
    <t>Patil, Jawahar G/0000-0002-2154-4627</t>
  </si>
  <si>
    <t>Australian Research Council (ARC) Linkage Project [LP 140100428]; Inland Fisheries Service Tasmania; Australian Awards Scholarship program</t>
  </si>
  <si>
    <t>Australian Research Council (ARC) Linkage Project(Australian Research Council); Inland Fisheries Service Tasmania; Australian Awards Scholarship program</t>
  </si>
  <si>
    <t>This project was funded by the Australian Research Council (ARC) Linkage Project (LP 140100428) and Inland Fisheries Service Tasmania. HN received a scholarship from the Australian Awards Scholarship program. Dr. Peter Cui (IMAS) provided valuable comments on the study. Special thanks to John Duggin and volunteers at TIWR for their dedication to obtaining temperature and capture data. Melanie Leef and Jon Schrepfer provided technical support.</t>
  </si>
  <si>
    <t>1387-3547</t>
  </si>
  <si>
    <t>1573-1464</t>
  </si>
  <si>
    <t>BIOL INVASIONS</t>
  </si>
  <si>
    <t>Biol. Invasions</t>
  </si>
  <si>
    <t>10.1007/s10530-021-02504-9</t>
  </si>
  <si>
    <t>SV3FS</t>
  </si>
  <si>
    <t>WOS:000635876300002</t>
  </si>
  <si>
    <t>van de Lagemaat, SHA; Swart, MLA; Vaes, B; Kosters, ME; Boschman, LM; Burton-Johnson, A; Bijl, PK; Spakman, W; van Hinsbergen, DJJ</t>
  </si>
  <si>
    <t>van de Lagemaat, Suzanna H. A.; Swart, Merel L. A.; Vaes, Bram; Kosters, Martha E.; Boschman, Lydian M.; Burton-Johnson, Alex; Bijl, Peter K.; Spakman, Wim; van Hinsbergen, Douwe J. J.</t>
  </si>
  <si>
    <t>Subduction initiation in the Scotia Sea region and opening of the Drake Passage: When and why?</t>
  </si>
  <si>
    <t>EARTH-SCIENCE REVIEWS</t>
  </si>
  <si>
    <t>Scotia Sea; Drake Passage; Kinematic reconstruction; GPlates; South Sandwich subduction initiation; Lithosphere delamination</t>
  </si>
  <si>
    <t>TIERRA-DEL-FUEGO; SOUTHERNMOST SOUTH-AMERICA; ANTARCTICA PLATE BOUNDARY; ROCAS VERDES BASIN; BACK-ARC BASIN; TECTONIC RECONSTRUCTIONS; BREAK-UP; PATAGONIAN BATHOLITH; PALEOMAGNETIC DATA; WEST ANTARCTICA</t>
  </si>
  <si>
    <t>During evolution of the South Sandwich subduction zone, which has consumed South American Plate oceanic lithosphere, somehow continental crust of both the South American and Antarctic plates have become incor-porated into its upper plate. Continental fragments of both plates are currently separated by small oceanic basins in the upper plate above the South Sandwich subduction zone, in the Scotia Sea region, but how fragments of both continents became incorporated in the same upper plate remains enigmatic. Here we present an updated kinematic reconstruction of the Scotia Sea region using the latest published marine magnetic anomaly con-straints, and place this in a South America-Africa-Antarctica plate circuit in which we take intracontinental deformation into account. We show that a change in marine magnetic anomaly orientation in the Weddell Sea requires that previously inferred initiation of subduction of South American oceanic crust of the northern Weddell Sea below the eastern margin of South Orkney Islands continental crust, then still attached to the Antarctic Peninsula, already occurred around 80 Ma. Subsequently, between-71?50 Ma, we propose that the trench propagated northwards into South America by delamination of South American lithosphere: this resulted in the transfer of delaminated South American continental crust to the overriding plate of the South Sandwich subduction zone. We show that continental delamination may have been facilitated by absolute southward motion of South America that was resisted by South Sandwich slab dragging. Pre-drift extension preceding the oceanic Scotia Sea basins led around 50 Ma to opening of the Drake Passage, preconditioning the southern ocean for the Antarctic Circumpolar Current. This 50 Ma extension was concurrent with a strong change in absolute plate motion of the South American Plate that changed from S to WNW, leading to upper plate retreat relative to the more or less mantle stationary South Sandwich Trench that did not partake in the absolute plate motion change. While subduction continued, this mantle-stationary trench setting lasted until-30 Ma, after which rollback started to contribute to back-arc extension. We find that roll-back and upper plate retreat have contributed more or less equally to the total amount of-2000 km of extension accommodated in the Scotia Sea basins. We highlight that viewing tectonic motions in a context of absolute plate motion is key for identifying slab motion (e.g., rollback, trench-parallel slab dragging) and consequently mantle-forcing of geological processes.</t>
  </si>
  <si>
    <t>[van de Lagemaat, Suzanna H. A.; Swart, Merel L. A.; Vaes, Bram; Kosters, Martha E.; Boschman, Lydian M.; Bijl, Peter K.; Spakman, Wim; van Hinsbergen, Douwe J. J.] Univ Utrecht, Dept Earth Sci, Princetonlaan 8A, NL-3584 CB Utrecht, Netherlands; [Boschman, Lydian M.] Swiss Fed Inst Technol, Dept Environm Syst Sci, Univ Str 16, CH-8092 Zurich, Switzerland; [Burton-Johnson, Alex] British Antarctic Survey, Madingley Rd, Cambridge CB3 0ET, England</t>
  </si>
  <si>
    <t>Utrecht University; Swiss Federal Institutes of Technology Domain; ETH Zurich; UK Research &amp; Innovation (UKRI); Natural Environment Research Council (NERC); NERC British Antarctic Survey</t>
  </si>
  <si>
    <t>van de Lagemaat, SHA (corresponding author), Univ Utrecht, Dept Earth Sci, Princetonlaan 8A, NL-3584 CB Utrecht, Netherlands.</t>
  </si>
  <si>
    <t>s.h.a.vandelagemaat@uu.nl</t>
  </si>
  <si>
    <t>van de Lagemaat, Suzanna/0000-0002-2447-3318</t>
  </si>
  <si>
    <t>NWO Vici grant [865.17.001]; ETH postdoctoral fellowship program; European Research Council under the European Community [OceaNice 802835]; UK Natural Environment Research Council</t>
  </si>
  <si>
    <t>NWO Vici grant(Netherlands Organization for Scientific Research (NWO)); ETH postdoctoral fellowship program; European Research Council under the European Community(European Research Council (ERC)); UK Natural Environment Research Council(UK Research &amp; Innovation (UKRI)Natural Environment Research Council (NERC))</t>
  </si>
  <si>
    <t>DJJvH, SHAvdL, and BV acknowledge NWO Vici grant 865.17.001. LMB acknowledges funding from the ETH postdoctoral fellowship program. PKB acknowledges the European Research Council under the European Community's Seventh Framework Program for ERC Starting Grant OceaNice 802835. ABJ is funded by the UK Natural Environment Research Council. We thank Anouk Beniest and an anonymous reviewer for their helpful comments that improved this manuscript.</t>
  </si>
  <si>
    <t>0012-8252</t>
  </si>
  <si>
    <t>1872-6828</t>
  </si>
  <si>
    <t>EARTH-SCI REV</t>
  </si>
  <si>
    <t>Earth-Sci. Rev.</t>
  </si>
  <si>
    <t>10.1016/j.earscirev.2021.103551</t>
  </si>
  <si>
    <t>RF6OV</t>
  </si>
  <si>
    <t>WOS:000634962500001</t>
  </si>
  <si>
    <t>Travers, T; Houghton, M</t>
  </si>
  <si>
    <t>Travers, Toby; Houghton, Melissa</t>
  </si>
  <si>
    <t>Pests as prey: the consequences of eradication</t>
  </si>
  <si>
    <t>FRONTIERS IN ECOLOGY AND THE ENVIRONMENT</t>
  </si>
  <si>
    <t>[Travers, Toby] Univ Tasmania, Inst Marine &amp; Antarctic Studies, Battery Point, Tas, Australia; [Houghton, Melissa] Univ Queensland, Ctr Biodivers &amp; Conservat Sci, St Lucia, Qld, Australia</t>
  </si>
  <si>
    <t>University of Tasmania; University of Queensland</t>
  </si>
  <si>
    <t>Travers, T (corresponding author), Univ Tasmania, Inst Marine &amp; Antarctic Studies, Battery Point, Tas, Australia.</t>
  </si>
  <si>
    <t>Houghton, Melissa/IZE-8544-2023</t>
  </si>
  <si>
    <t>1540-9295</t>
  </si>
  <si>
    <t>1540-9309</t>
  </si>
  <si>
    <t>FRONT ECOL ENVIRON</t>
  </si>
  <si>
    <t>Front. Ecol. Environ.</t>
  </si>
  <si>
    <t>10.1002/fee.2331</t>
  </si>
  <si>
    <t>RG7KR</t>
  </si>
  <si>
    <t>WOS:000635713500018</t>
  </si>
  <si>
    <t>Scott, SV</t>
  </si>
  <si>
    <t>Scott, Shirley, V</t>
  </si>
  <si>
    <t>THE IRRELEVANCE OF NON-RECOGNITION TO AUSTRALIA'S ANTARCTIC TERRITORY TITLE</t>
  </si>
  <si>
    <t>INTERNATIONAL &amp; COMPARATIVE LAW QUARTERLY</t>
  </si>
  <si>
    <t>public international law; Antarctica; sovereignty; Australian Antarctic Territory; non-recognition; occupation; recognition; claimant; Antarctic Treaty System; polar; territory</t>
  </si>
  <si>
    <t>It is often noted that few States recognize the seven national claims to Antarctic territory. Australia, one of the claimants, asserts title over 42 per cent of the continent and yet only four States have recognized its claim. Some States have expressly rejected Australia's claim. This article examines the legal significance of such widespread non-recognition. It does so through interrogating the evolution of the legal regime of territorial acquisition, its historical function and application to Antarctica, and relevant decisions of international courts and tribunals. The article identifies, and distinguishes amongst, several categories of non-recognition and considers the relevance of each. The analysis finds that the seemingly meagre level of recognition of Australia's title to the Australian Antarctic Territory does not detract from the validity of that title. This article points to possible reasons as to why a number of polar scholars may have suggested otherwise.</t>
  </si>
  <si>
    <t>[Scott, Shirley, V] UNSW Canberra, Int Law &amp; Int Relat, Canberra, ACT, Australia; [Scott, Shirley, V] UNSW Canberra, Sch Humanities &amp; Social Sci, Canberra, ACT, Australia</t>
  </si>
  <si>
    <t>University of New South Wales Sydney; University of New South Wales Sydney</t>
  </si>
  <si>
    <t>Scott, SV (corresponding author), UNSW Canberra, Int Law &amp; Int Relat, Canberra, ACT, Australia.;Scott, SV (corresponding author), UNSW Canberra, Sch Humanities &amp; Social Sci, Canberra, ACT, Australia.</t>
  </si>
  <si>
    <t>s.scott@unsw.edu.au</t>
  </si>
  <si>
    <t>Scott, Shirley/0000-0003-2771-1083</t>
  </si>
  <si>
    <t>Australian Research Council [DP19010124]</t>
  </si>
  <si>
    <t>Professor of International Law and International Relations and Head of the School of Humanities and Social Sciences, UNSW Canberra,s.scott@unsw.edu.au. This research was supported by the Australian Research Council's Discovery Grant Scheme (DP19010124 Geopolitical Change and the Antarctic Treaty System). I would like to thank Roberta C. Andrade, Jeffrey S. McGee and Tim Stephens for their insightful comments on an earlier draft of this article.</t>
  </si>
  <si>
    <t>0020-5893</t>
  </si>
  <si>
    <t>1471-6895</t>
  </si>
  <si>
    <t>INT COMP LAW Q</t>
  </si>
  <si>
    <t>Int. Comp. Law Quart.</t>
  </si>
  <si>
    <t>PII S0020589321000051</t>
  </si>
  <si>
    <t>10.1017/S0020589321000051</t>
  </si>
  <si>
    <t>Law</t>
  </si>
  <si>
    <t>Government &amp; Law</t>
  </si>
  <si>
    <t>RC6BX</t>
  </si>
  <si>
    <t>WOS:000632885300007</t>
  </si>
  <si>
    <t>Heinonen, JS; Luttinen, AV; Spera, FJ; Vuori, SK; Bohrson, WA</t>
  </si>
  <si>
    <t>Heinonen, Jussi S.; Luttinen, Arto V.; Spera, Frank J.; Vuori, Saku K.; Bohrson, Wendy A.</t>
  </si>
  <si>
    <t>Serial interaction of primitive magmas with felsic and mafic crust recorded by gabbroic dikes from the Antarctic extension of the Karoo large igneous province</t>
  </si>
  <si>
    <t>CONTRIBUTIONS TO MINERALOGY AND PETROLOGY</t>
  </si>
  <si>
    <t>Large igneous provinces; Magmatism; Differentiation; Assimilation; Modeling</t>
  </si>
  <si>
    <t>Two subvertical gabbroic dikes with widths of similar to 350 m (East-Muren) and &gt;= 500 m (West-Muren) crosscut continental flood basalts in the Antarctic extension of the similar to 180 Ma Karoo large igneous province (LIP) in Vestfjella, western Dronning Maud Land. The dikes exhibit unusual geochemical profiles; most significantly, initial (at 180 Ma) epsilon(Nd) values increase from the dike interiors towards the hornfelsed wallrock basalts (from - 15.3 to - 7.8 in East-Muren and more gradually from - 9.0 to - 5.5 in West-Muren). In this study, we utilize models of partial melting and energy-constrained assimilation-fractional crystallization in deciphering the magmatic evolution of the dikes and their contact aureoles. The modeling indicates that both gabbroic dikes acquired the distinctly negative epsilon(Nd) values recorded by their central parts by varying degrees of assimilation of Archean crust at depth. This first phase of deep contamination was followed by a second event at or close to the emplacement level and is related to the interaction of the magmas with the wallrock basalts. These basalts belong to a distinct Karoo LIP magma type having initial epsilon(Nd) from - 2.1 to + 2.5, which provides a stark contrast to the epsilon(Nd) composition of the dike parental magmas (- 15.3 for East-Muren, - 9.0 for West-Muren) previously contaminated by Archean crust. For East-Muren, the distal hornfelses represent partially melted wallrock basalts and the proximal contact zones represent hybrids of such residues with differentiated melts from the intrusion; the magmas that were contaminated by the partial melts of the wallrock basalts were likely transported away from the currently exposed parts of the conduit before the magma-wallrock contact was sealed and further assimilation prevented. In contrast, for West-Muren, the assimilation of the wallrock basalt partial melts is recorded by the gradually increasing epsilon(Nd) of the presently exposed gabbroic rocks towards the roof contact with the basalts. Our study shows that primitive LIP magmas release enough sensible and latent heat to partially melt and potentially assimilate wallrocks in multiple stages. This type of multi-stage assimilation is difficult to detect in general, especially if the associated wallrocks show broad compositional similarity with the intruding magmas. Notably, trace element and isotopic heterogeneity in LIP magmas can be homogenized by such processes (basaltic cannibalism). If similar processes work at larger scales, they may affect the geochemical evolution of the crust and influence the generation of, for example, massif-type anorthosites and ghost plagioclase geochemical signature.</t>
  </si>
  <si>
    <t>[Heinonen, Jussi S.] Univ Helsinki, Dept Geosci &amp; Geog, POB 64, Helsinki 00014, Finland; [Heinonen, Jussi S.; Bohrson, Wendy A.] Cent Washington Univ, Dept Geol Sci, 400 E Univ Way, Ellensburg, WA 98926 USA; [Luttinen, Arto V.] Univ Helsinki, Finnish Museum Nat Hist, POB 44, Helsinki 00014, Finland; [Spera, Frank J.] Univ Calif Santa Barbara, Dept Earth Sci, Lagoon Rd, Santa Barbara, CA 93106 USA; [Spera, Frank J.] Univ Calif Santa Barbara, Earth Res Inst, Lagoon Rd, Santa Barbara, CA 93106 USA; [Vuori, Saku K.] Geol Survey Finland, POB 96, Espoo 02151, Finland; [Bohrson, Wendy A.] Colorado Sch Mines, Dept Geol &amp; Geol Engn, 1516 Illinois St, Golden, CO 80401 USA</t>
  </si>
  <si>
    <t>University of Helsinki; Central Washington University; University of Helsinki; University of California System; University of California Santa Barbara; University of California System; University of California Santa Barbara; Geological Survey of Finland (GTK); Colorado School of Mines</t>
  </si>
  <si>
    <t>Heinonen, JS (corresponding author), Univ Helsinki, Dept Geosci &amp; Geog, POB 64, Helsinki 00014, Finland.;Heinonen, JS (corresponding author), Cent Washington Univ, Dept Geol Sci, 400 E Univ Way, Ellensburg, WA 98926 USA.</t>
  </si>
  <si>
    <t>jussi.s.heinonen@helsinki.fi; arto.luttinen@helsinki.fi; spera@geol.ucsb.edu; saku.vuori@gtk.fi; bohrson@mines.edu</t>
  </si>
  <si>
    <t>Spera, Frank J./E-5597-2012; Heinonen, Jussi/L-6152-2013</t>
  </si>
  <si>
    <t>spera, frank/0000-0002-6876-9313; Heinonen, Jussi/0000-0001-8998-4357; Luttinen, Arto Vesa/0000-0002-3129-0392</t>
  </si>
  <si>
    <t>Academy of Finland [295129, 305663]; Academy of Finland (AKA) [305663] Funding Source: Academy of Finland (AKA)</t>
  </si>
  <si>
    <t>Academy of Finland(Research Council of Finland); Academy of Finland (AKA)(Research Council of Finland)</t>
  </si>
  <si>
    <t>We thank the reviewers (Kurt S. Panter and an anonymous reviewer) for the encouraging and constructive comments and editor Mark Ghiorso for professional handling of the manuscript. We are grateful for the various FINNARP research expeditions that enabled the collection of the studied samples from these very remote areas; Mika Raisanen is especially thanked for providing many of the samples, which he studied in relation to his MSc Thesis. The staff of the Peter Hooper GeoAnalytical Lab of the Washington State University is thanked for the major element and trace element analyses and for the help and guidance in sample preparation on site. We are also very grateful to John Lassiter and the staff at the Isotope Geochemistry labs of the Department of Geological Sciences, University of Texas at Austin, for providing swift and high-precision Nd isotopic analyses. J. Heinonen wants to thank Melissa Scruggs for the feedback and suggestions she provided for this study in its infant stages. The research has highly benefited from the funding provided by the Academy of Finland Grants 295129 and 305663. W. Bohrson thanks the National Science Foundation for supporting development of the modeling tools used in this study.</t>
  </si>
  <si>
    <t>0010-7999</t>
  </si>
  <si>
    <t>1432-0967</t>
  </si>
  <si>
    <t>CONTRIB MINERAL PETR</t>
  </si>
  <si>
    <t>Contrib. Mineral. Petrol.</t>
  </si>
  <si>
    <t>10.1007/s00410-021-01777-6</t>
  </si>
  <si>
    <t>RF9CL</t>
  </si>
  <si>
    <t>WOS:000635135400001</t>
  </si>
  <si>
    <t>Raymond, JA; Janech, MG; Mangiagalli, M</t>
  </si>
  <si>
    <t>Raymond, James A.; Janech, Michael G.; Mangiagalli, Marco</t>
  </si>
  <si>
    <t>Ice-Binding Proteins Associated with an Antarctic Cyanobacterium, Nostoc sp. HG1 (vol 87, e02499-20, 2021)</t>
  </si>
  <si>
    <t>APPLIED AND ENVIRONMENTAL MICROBIOLOGY</t>
  </si>
  <si>
    <t>[Raymond, James A.] Univ Nevada, Sch Life Sci, Las Vegas, NV 89154 USA; [Janech, Michael G.] Med Univ South Carolina, Dept Med, Charleston, SC 29425 USA; [Janech, Michael G.] Coll Charleston, Dept Biol, Charleston, SC 29424 USA; [Mangiagalli, Marco] Univ Milano Bicocca, Dept Biotechnol &amp; Biosci, Milan, Italy</t>
  </si>
  <si>
    <t>Nevada System of Higher Education (NSHE); University of Nevada Las Vegas; Medical University of South Carolina; College of Charleston; University of Milano-Bicocca</t>
  </si>
  <si>
    <t>Raymond, JA (corresponding author), Univ Nevada, Sch Life Sci, Las Vegas, NV 89154 USA.</t>
  </si>
  <si>
    <t>raymond@unlv.nevada.edu</t>
  </si>
  <si>
    <t>MANGIAGALLI, MARCO/Q-9988-2018</t>
  </si>
  <si>
    <t>MANGIAGALLI, MARCO/0000-0001-8211-165X; raymond, james/0000-0002-0391-1630</t>
  </si>
  <si>
    <t>0099-2240</t>
  </si>
  <si>
    <t>1098-5336</t>
  </si>
  <si>
    <t>APPL ENVIRON MICROB</t>
  </si>
  <si>
    <t>Appl. Environ. Microbiol.</t>
  </si>
  <si>
    <t>e00128-21</t>
  </si>
  <si>
    <t>10.1128/AEM.00128-21</t>
  </si>
  <si>
    <t>Biotechnology &amp; Applied Microbiology; Microbiology</t>
  </si>
  <si>
    <t>QW9ZJ</t>
  </si>
  <si>
    <t>WOS:000629008400001</t>
  </si>
  <si>
    <t>Ranganathan, M; Minchew, B; Meyer, CR; Gudmundsson, GH</t>
  </si>
  <si>
    <t>Ranganathan, Meghana; Minchew, Brent; Meyer, Colin R.; Gudmundsson, G. Hilmar</t>
  </si>
  <si>
    <t>A new approach to inferring basal drag and ice rheology in ice streams, with applications to West Antarctic Ice Streams</t>
  </si>
  <si>
    <t>JOURNAL OF GLACIOLOGY</t>
  </si>
  <si>
    <t>Antarctic glaciology; glacier flow; ice dynamics; ice rheology; ice streams</t>
  </si>
  <si>
    <t>Drag at the bed and along the lateral margins are the primary forces resisting flow in outlet glaciers. Simultaneously inferring these parameters is challenging since basal drag and ice viscosity are coupled in the momentum balance, which governs ice flow. We test the ability of adjoint-based inverse methods to infer the slipperiness coefficient in a power-law sliding law and the flow-rate parameter in the constitutive relation for ice using a regularization scheme that includes coefficients weighted by surface strain rates. Using synthetic data with spatial variations in basal drag and ice rheology comparable to those in West Antarctic Ice Streams, we show that this approach allows for more accurate inferences. We apply this method to Bindschadler and MacAyeal Ice Streams in West Antarctica. Our results show relatively soft ice in the shear margins and spatially varying basal drag, with an increase in drag with distance upstream of the grounding line punctuated by localized areas of relatively high drag. We interpret soft ice to reflect a combination of heating through viscous dissipation and changes in the crystalline structure. These results suggest that adjoint-based inverse methods can provide inferences of basal drag and ice rheology when regularization is informed by strain rates.</t>
  </si>
  <si>
    <t>[Ranganathan, Meghana; Minchew, Brent] MIT, Dept Earth Atmospher &amp; Planetary Sci, Cambridge, MA 02139 USA; [Meyer, Colin R.] Dartmouth Coll, Thayer Sch Engn, Hanover, NH 03755 USA; [Gudmundsson, G. Hilmar] Northumbria Univ, Geog &amp; Environm Sci, Newcastle Upon Tyne, Tyne &amp; Wear, England</t>
  </si>
  <si>
    <t>Massachusetts Institute of Technology (MIT); Dartmouth College; Northumbria University</t>
  </si>
  <si>
    <t>Ranganathan, M (corresponding author), MIT, Dept Earth Atmospher &amp; Planetary Sci, Cambridge, MA 02139 USA.</t>
  </si>
  <si>
    <t>meghanar@mit.edu</t>
  </si>
  <si>
    <t>Meyer, Colin R./AAC-9138-2019; Gudmundsson, Gudmundur Hilmar/AAU-5987-2020</t>
  </si>
  <si>
    <t>Meyer, Colin R./0000-0002-1209-1881; Gudmundsson, Gudmundur Hilmar/0000-0003-4236-5369; Ranganathan, Meghana/0000-0002-8099-4775</t>
  </si>
  <si>
    <t>Callahan Dee Fellowship; Sven Treitel Fellowship</t>
  </si>
  <si>
    <t>M.I.R. was funded through the Callahan Dee Fellowship and the Sven Treitel Fellowship. No new data were produced for this study, and data used in this study are publicly available through their respective publications. The source code for the model Ua is publicly available on Zenodo with DOI 10.5281/zenodo.3706624. The code to run the inversions can also be found there. The code that generates the ice streams and defines the parameters for the inversions for the synthetic tests and Bindschadler and MacAyeal can be found at https://github.com/megr090/Inversion_BasalDragIceRheology.</t>
  </si>
  <si>
    <t>0022-1430</t>
  </si>
  <si>
    <t>1727-5652</t>
  </si>
  <si>
    <t>J GLACIOL</t>
  </si>
  <si>
    <t>J. Glaciol.</t>
  </si>
  <si>
    <t>PII S0022143020000957</t>
  </si>
  <si>
    <t>10.1017/jog.2020.95</t>
  </si>
  <si>
    <t>QX9WQ</t>
  </si>
  <si>
    <t>Green Submitted, Green Accepted, Green Published, gold</t>
  </si>
  <si>
    <t>WOS:000629692500004</t>
  </si>
  <si>
    <t>Indrigo, C; Dow, CF; Greenbaum, JS; Morlighem, M</t>
  </si>
  <si>
    <t>Indrigo, Christine; Dow, Christine F.; Greenbaum, Jamin S.; Morlighem, Mathieu</t>
  </si>
  <si>
    <t>Drygalski Ice Tongue stability influenced by rift formation and ice morphology</t>
  </si>
  <si>
    <t>Antarctic glaciology; calving; ice shelves; remote sensing; subglacial processes</t>
  </si>
  <si>
    <t>WEST ANTARCTICA; BOTTOM SURFACES; BASAL CREVASSES; SHELF STABILITY; GLACIER TONGUE; DAVID GLACIER; PINE ISLAND; FLOW; PROPAGATION; WATER</t>
  </si>
  <si>
    <t>The Drygalski Ice Tongue in East Antarctica stretches 90 km into the Ross Sea and influences the local ocean circulation, and persistence of the Terra Nova Bay Polynya. We examine the controls on the size of this floating ice body by comparing the propagation of six large fractures on the ice tongue's northern side using 21 years of Landsat imagery with hydrostatic ice thickness maps and strain rate calculations. We also apply a subglacial hydrology model to estimate the location and discharge from subglacial channels over the grounding line and compare these with basal channels identified along the ice tongue using remote sensing and airborne radar data. Our results suggest that large fractures are inhibited from full-width propagation by thicker ice between basal channels. We hypothesize that only once the ice tongue thins towards the terminus, can fractures propagate and cause large calving events. This suggests an important relationship between the melting of floating ice from subglacial and ocean sources and the expansion of fractures that lead to ice tongue calving.</t>
  </si>
  <si>
    <t>[Indrigo, Christine; Dow, Christine F.] Univ Waterloo, Dept Geog &amp; Environm Management, Waterloo, ON, Canada; [Greenbaum, Jamin S.] Univ Texas Austin, Inst Geophys, Jackson Sch Geosci, Austin, TX USA; [Greenbaum, Jamin S.] Univ Texas Austin, Dept Geol Sci, Jackson Sch Geosci, Austin, TX USA; [Greenbaum, Jamin S.] Univ Calif San Diego, Scripps Inst Oceanog, La Jolla, CA 92093 USA; [Morlighem, Mathieu] Univ Calif Irvine, Dept Earth Syst Sci, Irvine, CA USA</t>
  </si>
  <si>
    <t>University of Waterloo; University of Texas System; University of Texas Austin; University of Texas System; University of Texas Austin; University of California System; University of California San Diego; Scripps Institution of Oceanography; University of California System; University of California Irvine</t>
  </si>
  <si>
    <t>Indrigo, C (corresponding author), Univ Waterloo, Dept Geog &amp; Environm Management, Waterloo, ON, Canada.</t>
  </si>
  <si>
    <t>christine.dow@uwaterloo.ca</t>
  </si>
  <si>
    <t>Morlighem, Mathieu/O-9942-2014</t>
  </si>
  <si>
    <t>Morlighem, Mathieu/0000-0001-5219-1310; Dow, Christine/0000-0003-1346-2258; Greenbaum, Jamin Stevens/0000-0002-0745-7113</t>
  </si>
  <si>
    <t>Natural Sciences and Engineering Research Council of Canada [RGPIN-03761-2017]; Canada Research Chairs Program [950-231237]; NSF [PLR-0733025, PLR-1143843]; NASA [NNG10HPO6C, NNX11AD33G]; NERC [NE/D003733/1]; G. Unger Vetlesen Foundation; Jackson School of Geosciences; Korean Ministry of Oceans and Fisheries [KIMST20190361, PM19020]; KOPRI [PE19110]; NASA [148741, NNX11AD33G] Funding Source: Federal RePORTER</t>
  </si>
  <si>
    <t>Natural Sciences and Engineering Research Council of Canada(Natural Sciences and Engineering Research Council of Canada (NSERC)CGIAR); Canada Research Chairs Program(Canada Research Chairs); NSF(National Science Foundation (NSF)); NASA(National Aeronautics &amp; Space Administration (NASA)); NERC(UK Research &amp; Innovation (UKRI)Natural Environment Research Council (NERC)); G. Unger Vetlesen Foundation; Jackson School of Geosciences; Korean Ministry of Oceans and Fisheries; KOPRI(Korea Polar Research Institute of Marine Research Placement (KOPRI)); NASA(National Aeronautics &amp; Space Administration (NASA))</t>
  </si>
  <si>
    <t>C Dow was supported by the Natural Sciences and Engineering Research Council of Canada (RGPIN-03761-2017) and the Canada Research Chairs Program (950-231237). Radar data acquisition was the result of the ongoing ICECAP collaboration with support from NSF grants PLR-0733025 and PLR-1143843, NASA grants NNG10HPO6C and NNX11AD33G (Operation Ice Bridge and the American Recovery and Reinvestment Act), NERC grant NE/D003733/1, the G. Unger Vetlesen Foundation, and the Jackson School of Geosciences. We thank the Korean Polar Research Institute (KOPRI) and the University of Texas Institute for Geophysics (UTIG) for their support of this project in gathering ice radar and surface altimetry data over David Glacier used for BedMachine. Research grants from the Korean Ministry of Oceans and Fisheries (KIMST20190361; PM19020) and KOPRI(PE19110) supported these data collection. This is UTIG contribution 3691. We thank Mauro Werder for the use of the GlaDS model and Sue Cook for helpful comments on the manuscript. Finally, we thank the editor and three anonymous reviewers for their constructive comments.</t>
  </si>
  <si>
    <t>PII S0022143020000994</t>
  </si>
  <si>
    <t>10.1017/jog.2020.99</t>
  </si>
  <si>
    <t>WOS:000629692500005</t>
  </si>
  <si>
    <t>Canini, F; Geml, J; Buzzini, P; Turchetti, B; Onofri, S; D'Acqui, LP; Ripa, C; Zucconi, L</t>
  </si>
  <si>
    <t>Canini, Fabiana; Geml, Jozsef; Buzzini, Pietro; Turchetti, Benedetta; Onofri, Silvano; D'Acqui, Luigi Paolo; Ripa, Caterina; Zucconi, Laura</t>
  </si>
  <si>
    <t>Growth Forms and Functional Guilds Distribution of Soil Fungi in Coastal Versus Inland Sites of Victoria Land, Antarctica</t>
  </si>
  <si>
    <t>BIOLOGY-BASEL</t>
  </si>
  <si>
    <t>growth forms; lifestyles; evenness</t>
  </si>
  <si>
    <t>INHABITING BLACK FUNGI; MOUNT EREBUS; DIVERSITY; COMMUNITIES; YEAST; LIFE; TOOL</t>
  </si>
  <si>
    <t>Simple Summary Antarctica represents one of the most limiting environments on Earth, where exposed soils, transiently present on coastal areas and permanently exposed on McMurdo Dry Valleys, are one of the few substrata supporting microbial communities. Within these communities, fungi are one of the dominant components and play pivotal roles in recycling the extremely limited organic matter available. Despite their astonishing adaptations, the diversity of these communities and the factors determining their resistance are still poorly known. In this optic, this study aimed to give insights in the environmental parameters determining the structure of these communities and their adaptive strategies, in terms of growth forms and lifestyles. We found that abiotic conditions were the main drivers of well differentiated communities. Additionally, we highlighted that most species seemed to be highly adapted to this habitat, which may result in a relatively low resilience ability to changes in environmental condition. Both these results are of particular concern in light of global warming. Even minimal changes to environmental conditions may dramatically alter the Antarctic soil communities, risking the disappearance of many species still undescribed. In Victoria Land, Antarctica, ice-free areas are restricted to coastal regions and dominate the landscape of the McMurdo Dry Valleys. These two environments are subjected to different pressures that determine the establishment of highly adapted fungal communities. Within the kingdom of fungi, filamentous, yeasts and meristematic/microcolonial growth forms on one side and different lifestyles on the other side may be considered adaptive strategies of particular interest in the frame of Antarctic constraints. In this optic, soil fungal communities from both coastal and Dry Valleys sites, already characterized thorough ITS1 metabarcoding sequencing, have been compared to determine the different distribution of phyla, growth forms, and lifestyles. Though we did not find significant differences in the richness between the two environments, the communities were highly differentiated and Dry Valleys sites had a higher evenness compared to coastal ones. Additionally, the distribution of different growth forms and lifestyles were well differentiated, and their diversity and composition were likely influenced by soil abiotic parameters, among which soil granulometry, pH, P, and C contents were the potential main determinants.</t>
  </si>
  <si>
    <t>[Canini, Fabiana; Onofri, Silvano; Ripa, Caterina; Zucconi, Laura] Univ Tuscia, Dept Ecol &amp; Biol Sci, I-01100 Viterbo, Italy; [Geml, Jozsef] Nat Biodivers Ctr, Biodivers Dynam Res Grp, NL-2300 RA Leiden, Netherlands; [Geml, Jozsef] Eszterhazy Karoly Univ, MTA EKE Lendulet Environm Microbiome Res Grp, H-3300 Eger, Hungary; [Buzzini, Pietro; Turchetti, Benedetta] Univ Perugia, Dept Agr Food &amp; Environm Sci, I-06121 Perugia, Italy; [D'Acqui, Luigi Paolo] Natl Res Council Italy IRET CNR, Res Inst Terr Ecosyst, I-50019 Sesto Fiorentino, Italy</t>
  </si>
  <si>
    <t>Tuscia University; Naturalis Biodiversity Center; Eszterhazy Karoly Catholic University; University of Perugia; Consiglio Nazionale delle Ricerche (CNR); Istituto di Ricerca sugli Ecosistemi Terrestri (IRET)</t>
  </si>
  <si>
    <t>Canini, F (corresponding author), Univ Tuscia, Dept Ecol &amp; Biol Sci, I-01100 Viterbo, Italy.</t>
  </si>
  <si>
    <t>canini.fabiana@unitus.it; jozsef.geml@naturalis.nl; pietro.buzzini@unipg.it; benedetta.turchetti@unipg.it; onofri@unitus.it; luigipaolo.dacqui@cnr.it; cripa@unitus.it; zucconi@unitus.it</t>
  </si>
  <si>
    <t>Zucconi, L./U-9781-2018; Canini, Fabiana/ABE-4243-2020; Geml, Jozsef/C-2223-2018; Luigi P., D'Acqui/B-7713-2009</t>
  </si>
  <si>
    <t>Zucconi, L./0000-0001-9793-2303; Canini, Fabiana/0000-0002-9626-6318; Geml, Jozsef/0000-0001-8745-0423; turchetti, benedetta/0000-0002-7370-3028; Luigi P., D'Acqui/0000-0003-2387-2488; Buzzini, Pietro/0000-0001-6793-0606; ONOFRI, Silvano/0000-0001-8872-1440</t>
  </si>
  <si>
    <t>Italian National Program for Antarctic Researches (PNRA) [PNRA 14_00132, PNRA 18_00015]</t>
  </si>
  <si>
    <t>Italian National Program for Antarctic Researches (PNRA)</t>
  </si>
  <si>
    <t>This research was funded by Italian National Program for Antarctic Researches (PNRA), grant numbers PNRA 14_00132, and PNRA 18_00015.</t>
  </si>
  <si>
    <t>2079-7737</t>
  </si>
  <si>
    <t>Biology-Basel</t>
  </si>
  <si>
    <t>10.3390/biology10040320</t>
  </si>
  <si>
    <t>RQ9GL</t>
  </si>
  <si>
    <t>WOS:000642720000001</t>
  </si>
  <si>
    <t>Motta, CM; Simoniello, P; Di Lorenzo, M; Migliaccio, V; Panzuto, R; Califano, E; Santovito, G</t>
  </si>
  <si>
    <t>Motta, Chiara Maria; Simoniello, Palma; Di Lorenzo, Mariana; Migliaccio, Vincenzo; Panzuto, Raffaele; Califano, Emanuela; Santovito, Gianfranco</t>
  </si>
  <si>
    <t>Endocrine disrupting effects of copper and cadmium in the oocytes of the Antarctic Emerald rockcod Trematomus bernacchii</t>
  </si>
  <si>
    <t>Progesterone receptors; Estrogen receptors; Carbohydrate composition; PAS staining; Lectin staining; Oocyte degeneration; Heavy metals content; Ovarian morphology</t>
  </si>
  <si>
    <t>CHRONIC WATERBORNE COPPER; INDUCED OXIDATIVE STRESS; LONG-TERM EXPOSURE; GENE-EXPRESSION; SUBLETHAL CONCENTRATIONS; REPRODUCTIVE STRATEGIES; CARBOHYDRATE-METABOLISM; GONADAL DEVELOPMENT; EGG ENVELOPE; TELEOST FISH</t>
  </si>
  <si>
    <t>Antarctica has long been considered a continent free from anthropic interference. Unfortunately, recent evidence indicate that metal contamination has gone so far and that its effects are still unknown. For this reason, in the present work, the potential endocrine disrupting effect of two highly polluting metals, copper and cadmium, were examined in the Antarctic teleost Trematomus bernacchii. After a 10 days waterborne exposure, ovarian metal uptake was determined by atomic absorption; in parallel, classical histological approaches were adopted to determine the effects on oocyte morphology, carbohydrate composition and presence and localization of progesterone and estrogen receptors. Results show that both metals induce oocyte degeneration in about one third of the previtellogenic oocytes, no matter the stage of development. In apparently healthy oocytes, changes in cytoplasm, cortical alveoli and/or chorion carbohydrates composition are observed. Cadmium but not copper also induces significant changes in the localization of progesterone and beta-estrogen receptors, a result that well correlates with the observed increase in ovarian metals concentrations. In conclusion, the acute modifications detected are suggestive of a significantly impaired fecundity and of a marked endocrine disrupting effects of copper and cadmium in this teleost species. (C) 2020 Elsevier Ltd. All rights reserved.</t>
  </si>
  <si>
    <t>[Motta, Chiara Maria; Di Lorenzo, Mariana; Panzuto, Raffaele; Califano, Emanuela] Univ Naples Federico II, Dept Biol, Naples, Italy; [Simoniello, Palma] Univ Naples Parthenope, Dept Sci &amp; Technol, Naples, Italy; [Migliaccio, Vincenzo] Univ Salerno, Dept Chem &amp; Biol Adolfo Zambelli, Fisciano, Italy; [Santovito, Gianfranco] Univ Padua, Dept Biol, Padua, Italy</t>
  </si>
  <si>
    <t>University of Naples Federico II; Parthenope University Naples; University of Salerno; University of Padua</t>
  </si>
  <si>
    <t>Simoniello, P (corresponding author), Univ Naples Parthenope, Dept Sci &amp; Technol, Naples, Italy.</t>
  </si>
  <si>
    <t>palma.simoniello@uniparthenope.it</t>
  </si>
  <si>
    <t>maria, Motta chiara/K-1426-2019; Santovito, Gianfranco/ABB-9484-2021</t>
  </si>
  <si>
    <t>Santovito, Gianfranco/0000-0001-8260-7006; Di Lorenzo, Mariana/0000-0003-2829-0436; Califano, Emanuela/0000-0001-8589-7344; Simoniello, Palma/0000-0003-2888-2642; MIGLIACCIO, Vincenzo/0000-0002-8820-4694; motta, chiara maria/0000-0003-1035-0664; panzuto, raffaele/0000-0003-3195-2357</t>
  </si>
  <si>
    <t>Italian National Program for Antarctic Research subprojects [2c.2.1, 2c.3.1]; University of Naples</t>
  </si>
  <si>
    <t>Italian National Program for Antarctic Research subprojects; University of Naples</t>
  </si>
  <si>
    <t>This work was supported by Research Funds from University of Naples (Chiara Maria Motta) and from the Italian National Program for Antarctic Research subprojects 2c.2.1 (Chiara Maria Motta) and 2c.3.1 (Gianfranco Santovito).</t>
  </si>
  <si>
    <t>10.1016/j.chemosphere.2020.129282</t>
  </si>
  <si>
    <t>QD5QB</t>
  </si>
  <si>
    <t>WOS:000615571300087</t>
  </si>
  <si>
    <t>Edwards, P; Fleming, A; Kelly, R</t>
  </si>
  <si>
    <t>Edwards, Peter; Fleming, Aysha; Kelly, Rachel</t>
  </si>
  <si>
    <t>Responsible research and innovation and social licence to operate: aligning concepts for advancing marine innovation and development governance</t>
  </si>
  <si>
    <t>CURRENT OPINION IN ENVIRONMENTAL SUSTAINABILITY</t>
  </si>
  <si>
    <t>ATTITUDES; INSIGHTS; IMPACT; MODEL; GETS; AREA</t>
  </si>
  <si>
    <t>Considering social expectations is important when adopting new technologies, however, they do not necessarily align. Identifying societal values, and the ways that social actors, are involved in science and innovation processes are critical. Two concepts are gaining attention around the social context of technology - Responsible Research and Innovation (RRI) and Social Licence to Operate (SLO). Both have different histories, but grapple with the interface of society and technology, especially implementation and sustainability of innovation. We review recent RRI and SLO literature, focusing on the marine sector, highlighting similarities across these rarely combined concepts. We suggest that SLO and RRI share much commonality, and there is considerable potential for different fields of scholarship to learn from each other. The themes that emerge through our analysis indicate ways in which SLO and RRI could be considered, linked, and aligned. These include careful consideration and involvement of the social context in governance; stakeholders and relationships; social values and attitudes; and legitimacy, credibility and trust.</t>
  </si>
  <si>
    <t>[Edwards, Peter] Manaaki Whenua Landcare Res, 17-21 Whitmore St,POB 10345 Terrace, Wellington 6143, New Zealand; [Fleming, Aysha] Commonwealth Sci &amp; Ind Res Org CSIRO Land &amp; Water, Hobart, Tas 7004, Australia; [Fleming, Aysha; Kelly, Rachel] Univ Tasmania, Ctr Marine Socioecol, Hobart, Tas 7005, Australia; [Kelly, Rachel] Univ Tasmania, Inst Marine &amp; Antarctic Studies, Hobart, Tas 7005, Australia</t>
  </si>
  <si>
    <t>Landcare Research - New Zealand; Commonwealth Scientific &amp; Industrial Research Organisation (CSIRO); University of Tasmania; University of Tasmania</t>
  </si>
  <si>
    <t>Edwards, P (corresponding author), Manaaki Whenua Landcare Res, 17-21 Whitmore St,POB 10345 Terrace, Wellington 6143, New Zealand.</t>
  </si>
  <si>
    <t>Fleming, Aysha/E-8753-2011; Edwards, Peter/H-5773-2019</t>
  </si>
  <si>
    <t>Fleming, Aysha/0000-0001-9895-1928; Edwards, Peter/0000-0002-7025-4124; Kelly, Rachel/0000-0002-8364-1836</t>
  </si>
  <si>
    <t>1877-3435</t>
  </si>
  <si>
    <t>1877-3443</t>
  </si>
  <si>
    <t>CURR OPIN ENV SUST</t>
  </si>
  <si>
    <t>Curr. Opin. Environ. Sustain.</t>
  </si>
  <si>
    <t>10.1016/j.cosust.2020.11.003</t>
  </si>
  <si>
    <t>Green &amp; Sustainable Science &amp; Technology; Environmental Sciences</t>
  </si>
  <si>
    <t>ZS0DG</t>
  </si>
  <si>
    <t>WOS:000768143200004</t>
  </si>
  <si>
    <t>Hayes, CT; Costa, KM; Anderson, RF; Calvo, E; Chase, Z; Demina, LL; Dutay, JC; German, CR; Heimburger-Boavida, LE; Jaccard, SL; Jacobel, A; Kohfeld, KE; Kravchishina, MD; Lippold, J; Mekik, F; Missiaen, L; Pavia, FJ; Paytan, A; Pedrosa-Pamies, R; Petrova, MV; Rahman, S; Robinson, LF; Roy-Barman, M; Sanchez-Vidal, A; Shiller, A; Tagliabue, A; Tessin, AC; van Hulten, M; Zhang, J</t>
  </si>
  <si>
    <t>Hayes, Christopher T.; Costa, Kassandra M.; Anderson, Robert F.; Calvo, Eva; Chase, Zanna; Demina, Ludmila L.; Dutay, Jean-Claude; German, Christopher R.; Heimburger-Boavida, Lars-Eric; Jaccard, Samuel L.; Jacobel, Allison; Kohfeld, Karen E.; Kravchishina, Marina D.; Lippold, Jorg; Mekik, Figen; Missiaen, Lise; Pavia, Frank J.; Paytan, Adina; Pedrosa-Pamies, Rut; Petrova, Mariia, V; Rahman, Shaily; Robinson, Laura F.; Roy-Barman, Matthieu; Sanchez-Vidal, Anna; Shiller, Alan; Tagliabue, Alessandro; Tessin, Allyson C.; van Hulten, Marco; Zhang, Jing</t>
  </si>
  <si>
    <t>Global Ocean Sediment Composition and Burial Flux in the Deep Sea</t>
  </si>
  <si>
    <t>GLOBAL BIOGEOCHEMICAL CYCLES</t>
  </si>
  <si>
    <t>barium; carbon cycle; marine atlas; mercury; opal; sediment burial</t>
  </si>
  <si>
    <t>NORTH-ATLANTIC OCEAN; ORGANIC-CARBON; MARINE-SEDIMENTS; CALCIUM-CARBONATE; BENTHIC REMINERALIZATION; EQUATORIAL PACIFIC; BIOGENIC BARIUM; SOUTHERN-OCEAN; WORLD OCEAN; SI CYCLE</t>
  </si>
  <si>
    <t>Quantitative knowledge about the burial of sedimentary components at the seafloor has wide-ranging implications in ocean science, from global climate to continental weathering. The use of Th-230-normalized fluxes reduces uncertainties that many prior studies faced by accounting for the effects of sediment redistribution by bottom currents and minimizing the impact of age model uncertainty. Here we employ a recently compiled global data set of Th-230-normalized fluxes with an updated database of seafloor surface sediment composition to derive atlases of the deep-sea burial flux of calcium carbonate, biogenic opal, total organic carbon (TOC), nonbiogenic material, iron, mercury, and excess barium (Ba-xs). The spatial patterns of major component burial are mainly consistent with prior work, but the new quantitative estimates allow evaluations of deep-sea budgets. Our integrated deep-sea burial fluxes are 136 Tg C/yr CaCO3, 153 Tg Si/yr opal, 20Tg C/yr TOC, 220 Mg Hg/yr, and 2.6 Tg Ba-xs/yr. This opal flux is roughly a factor of 2 increase over previous estimates, with important implications for the global Si cycle. Sedimentary Fe fluxes reflect a mixture of sources including lithogenic material, hydrothermal inputs and authigenic phases. The fluxes of some commonly used paleo-productivity proxies (TOC, biogenic opal, and Ba-xs) are not well-correlated geographically with satellite-based productivity estimates. Our new compilation of sedimentary fluxes provides detailed regional and global information, which will help refine the understanding of sediment preservation.</t>
  </si>
  <si>
    <t>[Hayes, Christopher T.; Rahman, Shaily; Shiller, Alan] Univ Southern Mississippi, Sch Ocean Sci &amp; Engn, Stennis Space Ctr, MS 39556 USA; [Costa, Kassandra M.; German, Christopher R.] Woods Hole Oceanog Inst, Dept Geol &amp; Geophys, Woods Hole, MA 02543 USA; [Anderson, Robert F.] Columbia Univ, Lamont Doherty Earth Observ, Palisades, NY USA; [Calvo, Eva] CSIC, Inst Ciencies Mar, Barcelona, Spain; [Chase, Zanna] Univ Tasmania, Inst Marine &amp; Antarctic Studies, Hobart, Tas, Australia; [Demina, Ludmila L.; Kravchishina, Marina D.] Russian Acad Sci, Shirshov Inst Oceanol, Moscow, Russia; [Dutay, Jean-Claude; Roy-Barman, Matthieu] Univ Paris Saclay, Lab Sci Climat &amp; Environm, LSCE IPSL, CEA CNRS UVSQ, Gif Sur Yvette, France; [Heimburger-Boavida, Lars-Eric; Petrova, Mariia, V] Aix Marseille Univ, Univ Toulon, Mediterranean Inst Oceanog MI0, CNRS INSU,IRD, Marseille, France; [Jaccard, Samuel L.] Univ Bern, Inst Geol Sci, Bern, Switzerland; [Jaccard, Samuel L.] Univ Bern, Oeschger Ctr Climate Change Res, Bern, Switzerland; [Jacobel, Allison] Brown Univ, Inst Brown Environm &amp; Soc, Dept Earth Environm &amp; Planetary Sci, Providence, RI 02912 USA; [Kohfeld, Karen E.] Simon Fraser Univ, Sch Resource &amp; Environm Management, Burnaby, BC, Canada; [Kohfeld, Karen E.] Simon Fraser Univ, Sch Environm Sci, Burnaby, BC, Canada; [Lippold, Jorg] Heidelberg Univ, Inst Earth Sci, Heidelberg, Germany; [Mekik, Figen] Grand Valley State Univ, Allendale, MI 49401 USA; [Missiaen, Lise] Univ New South Wales, Climate Change Res Ctr, Sydney, NSW, Australia; [Pavia, Frank J.] CALTECH, Div Geol &amp; Planetary Sci, Pasadena, CA 91125 USA; [Paytan, Adina] Univ Calif Santa Cruz, Santa Cruz, CA 95064 USA; [Pedrosa-Pamies, Rut] Marine Biol Lab, Ctr Ecosyst, Woods Hole, MA 02543 USA; [Robinson, Laura F.] Univ Bristol, Sch Earth Sci, Bristol, Avon, England; [Sanchez-Vidal, Anna] Univ Barcelona, Dept Earth &amp; Ocean Dynam, Barcelona, Spain; [Tagliabue, Alessandro] Univ Liverpool, Sch Environm Sci, Liverpool, Merseyside, England; [Tessin, Allyson C.] Kent State Univ, Dept Geol, Kent, OH 44242 USA; [van Hulten, Marco] Univ Bergen, Geophys Inst, Bergen, Norway; [van Hulten, Marco] Bjerknes Ctr Climate Res, Bergen, Norway; [Zhang, Jing] Shanghai Jiao Tong Univ, Sch Oceanog, Shanghai, Peoples R China; [Zhang, Jing] East China Normal Univ, State Key Lab Estuarine &amp; Coastal Res, Shanghai, Peoples R China</t>
  </si>
  <si>
    <t>University of Southern Mississippi; Woods Hole Oceanographic Institution; Columbia University; Consejo Superior de Investigaciones Cientificas (CSIC); CSIC - Centro Mediterraneo de Investigaciones Marinas y Ambientales (CMIMA); CSIC - Instituto de Ciencias del Mar (ICM); University of Tasmania; Russian Academy of Sciences; Shirshov Institute of Oceanology; Universite Paris Cite; CEA; Centre National de la Recherche Scientifique (CNRS); Universite Paris Saclay; Institut de Recherche pour le Developpement (IRD); Centre National de la Recherche Scientifique (CNRS); CNRS - National Institute for Earth Sciences &amp; Astronomy (INSU); Aix-Marseille Universite; University of Bern; University of Bern; Brown University; Simon Fraser University; Simon Fraser University; Ruprecht Karls University Heidelberg; Grand Valley State University; University of New South Wales Sydney; California Institute of Technology; University of California System; University of California Santa Cruz; Marine Biological Laboratory - Woods Hole; University of Bristol; University of Barcelona; University of Liverpool; University System of Ohio; Kent State University; Kent State University Kent; Kent State University Salem; University of Bergen; Bjerknes Centre for Climate Research; Shanghai Jiao Tong University; East China Normal University</t>
  </si>
  <si>
    <t>Hayes, CT (corresponding author), Univ Southern Mississippi, Sch Ocean Sci &amp; Engn, Stennis Space Ctr, MS 39556 USA.</t>
  </si>
  <si>
    <t>christopher.t.hayes@usm.edu</t>
  </si>
  <si>
    <t>IPO, PAGES/JXY-7546-2024; Calvo, Eva/C-2618-2014; Heimbürger-Boavida, Lars-Eric/AAF-6856-2021; Kravchishina, Marina/B-3741-2017; Pamies, Rut Pedrosa/I-1119-2015; Hayes, Christopher/P-3145-2016; Jaccard, Samuel/G-3447-2014; Chase, Zanna/E-9232-2013; Sanchez-Vidal, Anna/B-6919-2016</t>
  </si>
  <si>
    <t>Calvo, Eva/0000-0003-3659-4499; Heimbürger-Boavida, Lars-Eric/0000-0003-0632-5183; Kravchishina, Marina/0000-0001-9967-2891; Pamies, Rut Pedrosa/0000-0003-3504-4727; Hayes, Christopher/0000-0002-5636-2989; Rahman, Shaily/0000-0002-3912-7258; Anderson, Robert/0000-0002-8472-2494; Jaccard, Samuel/0000-0002-5793-0896; Chase, Zanna/0000-0001-5060-779X; Sanchez-Vidal, Anna/0000-0002-8209-1959; van Hulten, Marco/0000-0002-3045-4949</t>
  </si>
  <si>
    <t>Past Global Changes (PAGES) project from the Swiss Academy of Sciences; US-NSF; PAGES; GEOTRACES; SCOR; Aix Marseille Universite; John Cantle Scientific; US-NSF awards [1658445, 1737023, 1235248, 1234827]; Russian Science Foundation [20-1700157]; CRESCENDO (European Commission) [641816]; Australian Research Council [DP180102357]</t>
  </si>
  <si>
    <t>Past Global Changes (PAGES) project from the Swiss Academy of Sciences; US-NSF(National Science Foundation (NSF)); PAGES; GEOTRACES; SCOR; Aix Marseille Universite; John Cantle Scientific; US-NSF awards; Russian Science Foundation(Russian Science Foundation (RSF)); CRESCENDO (European Commission); Australian Research Council(Australian Research Council)</t>
  </si>
  <si>
    <t>This study was supported by the Past Global Changes (PAGES) project, which in turn received support from the Swiss Academy of Sciences and the US-NSF. The work grew out of a 2018 workshop in Aix-Marseille, France, funded by PAGES, GEOTRACES, SCOR, US-NSF, Aix Marseille Universite, and John Cantle Scientific, and the authors would like to acknowledge all attendees of this meeting. The authors acknowledge the participants of the 68th cruise of RV Akademik Mstislav Keldysh for helping acquire samples. Christopher T. Hayes acknowledges support from US-NSF awards 1658445 and 1737023. Some data compilation on Arctic shelf seas was supported by the Russian Science Foundation, grant number 20-1700157. This work was also supported through project CRESCENDO (grant no. 641816, European Commission). Zanna Chase acknowledges support from the Australian Research Council's Discovery Projects funding scheme (project DP180102357). Christopher R. German acknowledges US-NSF awards 1235248 and 1234827. Some colorbars used in the figures were designed by Kristen Thyng et al. (2016) and Patrick Rafter. Two anonymous reviewers are acknowledged for constructive reviews.</t>
  </si>
  <si>
    <t>0886-6236</t>
  </si>
  <si>
    <t>1944-9224</t>
  </si>
  <si>
    <t>GLOBAL BIOGEOCHEM CY</t>
  </si>
  <si>
    <t>Glob. Biogeochem. Cycle</t>
  </si>
  <si>
    <t>e2020GB006769</t>
  </si>
  <si>
    <t>10.1029/2020GB006769</t>
  </si>
  <si>
    <t>Environmental Sciences; Geosciences, Multidisciplinary; Meteorology &amp; Atmospheric Sciences</t>
  </si>
  <si>
    <t>Environmental Sciences &amp; Ecology; Geology; Meteorology &amp; Atmospheric Sciences</t>
  </si>
  <si>
    <t>RU2SI</t>
  </si>
  <si>
    <t>WOS:000644999800010</t>
  </si>
  <si>
    <t>Irving, D; Hobbs, W; Church, J; Zika, J</t>
  </si>
  <si>
    <t>Irving, Damien; Hobbs, Will; Church, John; Zika, Jan</t>
  </si>
  <si>
    <t>A Mass and Energy Conservation Analysis of Drift in the CMIP6 Ensemble</t>
  </si>
  <si>
    <t>Heat budgets; fluxes; fluxes; transport; Water budget; balance; Climate models; Coupled models; Model evaluation/performance</t>
  </si>
  <si>
    <t>GLOBAL WATER CYCLE; SEA-LEVEL; OCEAN</t>
  </si>
  <si>
    <t>Coupled climate models are prone to drift (long-term unforced trends in state variables) due to incomplete spinup and nonclosure of the global mass and energy budgets. Here we assess model drift and the associated conservation of energy, mass, and salt in CMIP6 and CMIP5 models. For most models, drift in globally integrated ocean mass and heat content represents a small but nonnegligible fraction of recent historical trends, while drift in atmospheric water vapor is negligible. Model drift tends to be much larger in time-integrated ocean heat and freshwater flux, net top-of-the-atmosphere radiation (netTOA) and moisture flux into the atmosphere (evaporation minus precipitation), indicating a substantial leakage of mass and energy in the simulated climate system. Most models are able to achieve approximate energy budget closure after drift is removed, but ocean mass budget closure eludes a number of models even after dedrifting and none achieve closure of the atmospheric moisture budget. The magnitude of the drift in the CMIP6 ensemble represents an improvement over CMIP5 in some cases (salinity and time-integrated netTOA) but is worse (time-integrated ocean freshwater and atmospheric moisture fluxes) or little changed (ocean heat content, ocean mass, and time-integrated ocean heat flux) for others, while closure of the ocean mass and energy budgets after drift removal has improved.</t>
  </si>
  <si>
    <t>[Irving, Damien; Church, John] Univ New South Wales, Climate Change Res Ctr, Sydney, NSW, Australia; [Hobbs, Will] Univ Tasmania, Inst Marine &amp; Antarctic Studies, Hobart, Tas, Australia; [Zika, Jan] Univ New South Wales, Sch Math &amp; Stat, Sydney, NSW, Australia</t>
  </si>
  <si>
    <t>University of New South Wales Sydney; University of Tasmania; University of New South Wales Sydney</t>
  </si>
  <si>
    <t>Irving, D (corresponding author), Univ New South Wales, Climate Change Res Ctr, Sydney, NSW, Australia.</t>
  </si>
  <si>
    <t>damien.irving@unsw.edu.au</t>
  </si>
  <si>
    <t>Irving, Damien/A-1479-2012; Church, John A/A-1541-2012; Hobbs, Will/G-5116-2014</t>
  </si>
  <si>
    <t>Irving, Damien/0000-0003-1258-5002; Church, John A/0000-0002-7037-8194; Zika, Jan/0000-0003-3462-3559; Hobbs, Will/0000-0002-2061-0899</t>
  </si>
  <si>
    <t>Centre for Southern Hemisphere Oceans Research (CSHOR) - Qingdao National Laboratory for Marine Science and Technology (QNLM, China); Centre for Southern Hemisphere Oceans Research (CSHOR) - Common wealth Scientific and Industrial Research Organisation (CSIRO, Australia); Australian Research Council's Discovery Project funding scheme [DP190101173]</t>
  </si>
  <si>
    <t>Centre for Southern Hemisphere Oceans Research (CSHOR) - Qingdao National Laboratory for Marine Science and Technology (QNLM, China); Centre for Southern Hemisphere Oceans Research (CSHOR) - Common wealth Scientific and Industrial Research Organisation (CSIRO, Australia); Australian Research Council's Discovery Project funding scheme(Australian Research Council)</t>
  </si>
  <si>
    <t>This study was supported by the Centre for Southern Hemisphere Oceans Research (CSHOR), jointly funded by the Qingdao National Laboratory for Marine Science and Technology (QNLM, China) and theCommonwealth Scientific and Industrial Research Organisation (CSIRO, Australia), and the Australian Research Council's Discovery Project funding scheme (project DP190101173). We acknowledge the World Climate Research Programme, which, through its 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We also thank Ryan Holmes, Angeline Pendergrass, and Martin Dix for their insightful comments on drafts of this work.</t>
  </si>
  <si>
    <t>10.1175/JCLI-D-20-0281.1</t>
  </si>
  <si>
    <t>WOS:000644147200020</t>
  </si>
  <si>
    <t>Deaconu, C; Batten, L; Allison, P; Banerjee, O; Beatty, JJ; Belov, K; Besson, DZ; Binns, WR; Bugaev, V; Cao, P; Chen, CH; Chen, P; Chen, Y; Clem, JM; Connolly, A; Cremonesi, L; Dailey, B; Dowkontt, PF; Fox, BD; Gordon, JWH; Gorham, PW; Hast, C; Hill, B; Hsu, SY; Huang, JJ; Hughes, K; Hupe, R; Israel, MH; Liewer, KM; Liu, TC; Ludwig, AB; Macchiarulo, L; Matsuno, S; McBride, K; Miki, C; Mulrey, K; Nam, J; Naudet, C; Nichol, RJ; Novikov, A; Oberla, E; Prohira, S; Prechelt, R; Rauch, BF; Ripa, J; Roberts, JM; Romero-Wolf, A; Rotter, B; Russell, JW; Saltzberg, D; Seckel, D; Schoorlemmer, H; Shiao, J; Stafford, S; Stockham, J; Stockham, M; Strutt, B; Sutherland, MS; Varner, GS; Vieregg, AG; Wang, N; Wang, SH; Wissel, SA</t>
  </si>
  <si>
    <t>Deaconu, C.; Batten, L.; Allison, P.; Banerjee, O.; Beatty, J. J.; Belov, K.; Besson, D. Z.; Binns, W. R.; Bugaev, V; Cao, P.; Chen, C. H.; Chen, P.; Chen, Y.; Clem, J. M.; Connolly, A.; Cremonesi, L.; Dailey, B.; Dowkontt, P. F.; Fox, B. D.; Gordon, J. W. H.; Gorham, P. W.; Hast, C.; Hill, B.; Hsu, S. Y.; Huang, J. J.; Hughes, K.; Hupe, R.; Israel, M. H.; Liewer, K. M.; Liu, T. C.; Ludwig, A. B.; Macchiarulo, L.; Matsuno, S.; McBride, K.; Miki, C.; Mulrey, K.; Nam, J.; Naudet, C.; Nichol, R. J.; Novikov, A.; Oberla, E.; Prohira, S.; Prechelt, R.; Rauch, B. F.; Ripa, J.; Roberts, J. M.; Romero-Wolf, A.; Rotter, B.; Russell, J. W.; Saltzberg, D.; Seckel, D.; Schoorlemmer, H.; Shiao, J.; Stafford, S.; Stockham, J.; Stockham, M.; Strutt, B.; Sutherland, M. S.; Varner, G. S.; Vieregg, A. G.; Wang, N.; Wang, S. H.; Wissel, S. A.</t>
  </si>
  <si>
    <t>A search for ultrahigh-energy neutrinos associated with astrophysical sources using the third flight of ANITA</t>
  </si>
  <si>
    <t>JOURNAL OF COSMOLOGY AND ASTROPARTICLE PHYSICS</t>
  </si>
  <si>
    <t>neutrino astronomy; ultra high energy photons and neutrinos</t>
  </si>
  <si>
    <t>The ANtarctic Impulsive Transient Antenna (ANITA) long-duration balloon experiment is sensitive to interactions of ultrahigh-energy (E &gt; 10(18) eV) neutrinos in the Antarctic ice sheet. The third flight of ANITA, lasting 22 days, began in December 2014. We develop a methodology to search for energetic neutrinos spatially and temporally coincident with potential source classes in ANITA data. This methodology is applied to several source classes: the potential IceCube-identified neutrino sources TXS 0506+056 and NGC 1068, flaring high-energy blazars reported by the Fermi All-Sky Variability Analysis, gamma-ray bursts, and supernovae. Among searches within the five source classes, one candidate was identified as associated with SN 2015D, although not at a statistically significant level. We proceed to place upper limits on the source classes. We further comment on potential application of this methodology to more sensitive future instruments.</t>
  </si>
  <si>
    <t>[Deaconu, C.; Hughes, K.; Ludwig, A. B.; Oberla, E.; Vieregg, A. G.] Univ Chicago, Enrico Fermi Inst, Kavli Inst Cosmol Phys, Dept Phys, 5640 S Ellis Ave, Chicago, IL 60637 USA; [Batten, L.; Nichol, R. J.] UCL, Dept Phys &amp; Astron, Gower St, London WC1E 6BT, England; [Allison, P.; Banerjee, O.; Beatty, J. J.; Connolly, A.; Dailey, B.; Gordon, J. W. H.; Hughes, K.; Hupe, R.; McBride, K.; Prohira, S.; Stafford, S.; Sutherland, M. S.] Ohio State Univ, Ctr Cosmol &amp; AstroParticle Phys, Dept Phys, 191 W Woodruff Ave, Columbus, OH 43210 USA; [Belov, K.; Liewer, K. M.; Naudet, C.; Romero-Wolf, A.] CALTECH, Jet Prop Lab, Oak Grove Dr, Pasadena, CA 91109 USA; [Besson, D. Z.; Novikov, A.; Prohira, S.; Stockham, J.; Stockham, M.] Univ Kansas, Dept Phys &amp; Astron, 1251 Wescoe Hall Dr, Lawrence, KS 66045 USA; [Besson, D. Z.; Novikov, A.] Moscow Engn Phys Inst, Kashira Hwy 31, Moscow 115409, Russia; [Binns, W. R.; Bugaev, V; Dowkontt, P. F.; Israel, M. H.; Rauch, B. F.] Washington Univ, Dept Phys, McDonnell Ctr Space Sci, 1 Brookings Dr, St Louis, MO 63130 USA; [Cao, P.; Clem, J. M.; Mulrey, K.; Seckel, D.] Univ Delaware, Dept Phys, 217 Sharp Lab, Newark, DE 19716 USA; [Chen, C. H.; Chen, P.; Chen, Y.; Hsu, S. Y.; Huang, J. J.; Liu, T. C.; Nam, J.; Ripa, J.; Shiao, J.; Wang, S. H.] Natl Taiwan Univ, Leung Ctr Cosmol &amp; Particle Astrophys, Dept Phys, Grad Inst Astrophys, 1,Sec 4,Roosevelt Rd, Taipei 10617, Taiwan; [Cremonesi, L.] Queen Mary Univ London, Sch Phys &amp; Astron, Mile End Rd, London E1 4NS, England; [Fox, B. D.; Gorham, P. W.; Hill, B.; Macchiarulo, L.; Matsuno, S.; Miki, C.; Prechelt, R.; Roberts, J. M.; Rotter, B.; Russell, J. W.; Schoorlemmer, H.; Varner, G. S.] Univ Hawaii Manoa, Dept Phys &amp; Astron, 2505 Correa Rd, Honolulu, HI 96822 USA; [Hast, C.] SLAC Natl Accelerator Lab, 2575 Sand Hill Rd, Menlo Pk, CA 94025 USA; [Roberts, J. M.] Univ Calif San Diego, Ctr Astrophys &amp; Space Sci, 9500 Gilman Dr, La Jolla, CA 92093 USA; [Saltzberg, D.; Strutt, B.; Wang, N.] Univ Calif Los Angeles, Dept Phys &amp; Astron, 475 Portola Plaza, Los Angeles, CA 90095 USA; [Wissel, S. A.] Penn State Univ, Dept Astron &amp; Astrophys, Phys Dept, 525 Davey Lab, University Pk, PA 16802 USA</t>
  </si>
  <si>
    <t>University of Chicago; University of London; University College London; University System of Ohio; Ohio State University; California Institute of Technology; National Aeronautics &amp; Space Administration (NASA); NASA Jet Propulsion Laboratory (JPL); University of Kansas; National Research Nuclear University MEPhI (Moscow Engineering Physics Institute); Washington University (WUSTL); University of Delaware; National Taiwan University; University of London; University College London; Queen Mary University London; University of Hawaii System; University of Hawaii Manoa; Stanford University; United States Department of Energy (DOE); SLAC National Accelerator Laboratory; University of California System; University of California San Diego; University of California System; University of California Los Angeles; Pennsylvania Commonwealth System of Higher Education (PCSHE); Pennsylvania State University; Pennsylvania State University - University Park</t>
  </si>
  <si>
    <t>Deaconu, C (corresponding author), Univ Chicago, Enrico Fermi Inst, Kavli Inst Cosmol Phys, Dept Phys, 5640 S Ellis Ave, Chicago, IL 60637 USA.</t>
  </si>
  <si>
    <t>cozzyd@kicp.uchicago.edu</t>
  </si>
  <si>
    <t>Huang, Jian Jang/L-9953-2016; Chen, Pisin/IAO-8769-2023; Beatty, James/D-9310-2011; Jakub, Ripa/F-7526-2017; Nichol, Ryan/C-1645-2008</t>
  </si>
  <si>
    <t>Chen, Pisin/0000-0001-5251-7210; Beatty, James/0000-0003-0481-4952; Jakub, Ripa/0000-0003-3994-7528; Nichol, Ryan/0000-0003-0557-0443; Macchiarulo, Luca/0009-0004-1141-0344; Hughes, Kaeli/0000-0002-4551-9581; Deaconu, Cosmin/0000-0002-4953-6397; Gorham, Peter/0000-0002-0923-9363; Allison, Patrick/0000-0001-8141-2653; Wissel, Stephanie/0000-0003-0569-6978; Cremonesi, Linda/0000-0003-0711-1056; Mulrey, Katharine/0000-0001-8026-8020</t>
  </si>
  <si>
    <t>NASA [NNX11AC44G, NNX15AC24G, 80NSSC20K077]; Kavli Institute for Cosmological Physics at the University of Chicago; National Science Foundation [1255557, 1806923]; Cosmology and Astroparticle Student and Postdoc Exchange Network (CASPEN); Leverhulme Trust; Taiwan's Ministry of Science and Technology (MOST) under its Vanguard Program [106-2119-M-002-011]; NASA [149223, NNX11AC44G, 809081, NNX15AC24G] Funding Source: Federal RePORTER</t>
  </si>
  <si>
    <t>NASA(National Aeronautics &amp; Space Administration (NASA)); Kavli Institute for Cosmological Physics at the University of Chicago(University of Chicago); National Science Foundation(National Science Foundation (NSF)); Cosmology and Astroparticle Student and Postdoc Exchange Network (CASPEN); Leverhulme Trust(Leverhulme Trust); Taiwan's Ministry of Science and Technology (MOST) under its Vanguard Program; NASA(National Aeronautics &amp; Space Administration (NASA))</t>
  </si>
  <si>
    <t>This work was supported by NASA grants NNX11AC44G, NNX15AC24G, and 80NSSC20K077. We thank the staff of the Columbia Scientific Balloon Facility for their generous support as well as logistical support provided by the National Science Foundation and United States Antarctic Program. Additional support was provided by the Kavli Institute for Cosmological Physics at the University of Chicago. Computing resources were provided by the Research Computing Center at the University of Chicago and the Ohio Supercomputing Center at The Ohio State University. A. Connolly would like to thank the National Science Foundation for their support through CAREER award 1255557 as well as grant 1806923. O. Banerjee and L. Cremonesi's work was supported by collaborative visits funded by the Cosmology and Astroparticle Student and Postdoc Exchange Network (CASPEN). The University College London group was also supported by the Leverhulme Trust. The National Taiwan University group is supported by Taiwan's Ministry of Science and Technology (MOST) under its Vanguard Program 106-2119-M-002-011. We thank Robert Mulvaney of the British Antarctic Survey for helpful information about BAS activities around the Pine Island Glacier. We additionally thank Kohta Murase and the anonymous referee for helpful suggestions.</t>
  </si>
  <si>
    <t>1475-7516</t>
  </si>
  <si>
    <t>J COSMOL ASTROPART P</t>
  </si>
  <si>
    <t>J. Cosmol. Astropart. Phys.</t>
  </si>
  <si>
    <t>10.1088/1475-7516/2021/04/017</t>
  </si>
  <si>
    <t>RT5LH</t>
  </si>
  <si>
    <t>WOS:000644501000021</t>
  </si>
  <si>
    <t>Smith, D; Besson, DZ; Deaconu, C; Prohira, S; Allison, P; Batten, L; Beatty, JJ; Binns, WR; Bugaev, V; Cao, P; Chen, C; Chen, P; Clem, JM; Connolly, A; Cremonesi, L; Dasgupta, P; Gorham, PW; Israel, MH; Liu, TC; Ludwig, A; Matsuno, S; Miki, C; Nam, J; Novikov, A; Nichol, RJ; Oberla, E; Prechelt, R; Rauch, BF; Russell, J; Saltzberg, D; Seckel, D; Varner, GS; Vieregg, AG; Wissel, SA</t>
  </si>
  <si>
    <t>Smith, D.; Besson, D. Z.; Deaconu, C.; Prohira, S.; Allison, P.; Batten, L.; Beatty, J. J.; Binns, W. R.; Bugaev, V; Cao, P.; Chen, C.; Chen, P.; Clem, J. M.; Connolly, A.; Cremonesi, L.; Dasgupta, P.; Gorham, P. W.; Israel, M. H.; Liu, T. C.; Ludwig, A.; Matsuno, S.; Miki, C.; Nam, J.; Novikov, A.; Nichol, R. J.; Oberla, E.; Prechelt, R.; Rauch, B. F.; Russell, J.; Saltzberg, D.; Seckel, D.; Varner, G. S.; Vieregg, A. G.; Wissel, S. A.</t>
  </si>
  <si>
    <t>Experimental tests of sub-surface reflectors as an explanation for the ANITA anomalous events</t>
  </si>
  <si>
    <t>cosmic ray experiments; cosmological neutrinos; ultra high energy cosmic rays</t>
  </si>
  <si>
    <t>ANTARCTIC ICE-SHEET; NEUTRINO DETECTOR; SURFACE; RADAR; PERFORMANCE; SCATTERING; DESIGN; SNOW</t>
  </si>
  <si>
    <t>The balloon-borne ANITA [1] experiment is designed to detect ultra-high energy neutrinos via radio emissions produced by in-ice showers. Although initially purposed for interactions within the Antarctic ice sheet, ANITA also demonstrated the ability to self-trigger on radio emissions from ultra-high energy charged cosmic rays [2] (CR) interacting in the Earth's atmosphere. For showers produced above the Antarctic ice sheet, reflection of the down-coming radio signals at the Antarctic surface should result in a polarity inversion prior to subsequent observation at the similar to 35-40 km altitude ANITA gondola. Based on data taken during the ANITA-1 and ANITA-3 flights, ANITA published two anomalous instances of upcoming cosmic-rays with measured polarity opposite the remaining sample of similar to 50 UHECR signals [3, 4]. The steep observed upwards incidence angles (25-30 degrees relative to the horizontal) require non-Standard Model physics if these events are due to in-ice neutrino interactions, as the Standard Model cross-section would otherwise prohibit neutrinos from penetrating the long required chord of Earth. Shoemaker et al. [5] posit that glaciological effects may explain the steep observed anomalous events. We herein consider the scenarios offered by Shoemaker et al. and find them to be disfavored by extant ANITA and HiCal experimental data. We note that the recent report of four additional near-horizon anomalous ANITA-4 events [6], at &gt; 3 sigma significance, are incompatible with their model, which requires significant signal transmission into the ice.</t>
  </si>
  <si>
    <t>[Smith, D.; Deaconu, C.; Oberla, E.; Vieregg, A. G.] Univ Chicago, Enrico Fermi Inst, Kavli Inst Cosmol Phys, Dept Phys, Chicago, IL 60637 USA; [Besson, D. Z.; Novikov, A.] Univ Kansas, Dept Phys &amp; Astron, Lawrence, KS 66045 USA; [Besson, D. Z.] Natl Res Nucl Univ, Moscow Engn Phys Inst, 31 Kashirskoye Highway, Moscow 115409, Russia; [Prohira, S.; Allison, P.; Beatty, J. J.; Connolly, A.] Ohio State Univ, Dept Phys, Columbus, OH 43210 USA; [Prohira, S.; Allison, P.; Connolly, A.] Ohio State Univ, Ctr Cosmol &amp; Particle Astrophys, Columbus, OH 43210 USA; [Batten, L.; Cremonesi, L.; Nichol, R. J.] UCL, Dept Phys &amp; Astron, London, England; [Binns, W. R.; Bugaev, V; Israel, M. H.; Rauch, B. F.] Washington Univ, Dept Phys, St Louis, MO 63130 USA; [Binns, W. R.; Bugaev, V; Israel, M. H.; Rauch, B. F.] Washington Univ, McDonnell Ctr Space Sci, St Louis, MO 63130 USA; [Cao, P.; Clem, J. M.; Seckel, D.] Univ Delaware, Dept Phys, Newark, DE 19716 USA; [Chen, C.; Chen, P.; Liu, T. C.; Nam, J.] Indian Inst Technol, Dept Phys, Kanpur 208016, Uttar Pradesh, India; [Dasgupta, P.] Univ Hawaii, Dept Phys &amp; Astron, Manoa, HI 96822 USA; [Gorham, P. W.; Matsuno, S.; Miki, C.; Prechelt, R.; Russell, J.; Varner, G. S.] Natl Taiwan Univ, Grad Inst Astrophys, Dept Phys, Taipei, Taiwan; [Gorham, P. W.; Matsuno, S.; Miki, C.; Prechelt, R.; Russell, J.; Varner, G. S.] Natl Taiwan Univ, Leung Ctr Cosmol &amp; Particle Astrophys, Taipei, Taiwan; [Ludwig, A.; Saltzberg, D.] Univ Calif Los Angeles, Dept Phys &amp; Astron, Los Angeles, CA 90095 USA; [Wissel, S. A.] Penn State Univ, Dept Phys, State Coll, PA 16801 USA</t>
  </si>
  <si>
    <t>University of Chicago; University of Kansas; National Research Nuclear University MEPhI (Moscow Engineering Physics Institute); University System of Ohio; Ohio State University; University System of Ohio; Ohio State University; University of London; University College London; Washington University (WUSTL); Washington University (WUSTL); University of Delaware; Indian Institute of Technology System (IIT System); Indian Institute of Technology (IIT) - Kanpur; University of Hawaii System; University of Hawaii Manoa; National Taiwan University; National Taiwan University; University of California System; University of California Los Angeles; Pennsylvania Commonwealth System of Higher Education (PCSHE); Pennsylvania State University</t>
  </si>
  <si>
    <t>Smith, D (corresponding author), Univ Chicago, Enrico Fermi Inst, Kavli Inst Cosmol Phys, Dept Phys, Chicago, IL 60637 USA.</t>
  </si>
  <si>
    <t>Chen, Pisin/IAO-8769-2023; Beatty, James/D-9310-2011; Nichol, Ryan/C-1645-2008</t>
  </si>
  <si>
    <t>Chen, Pisin/0000-0001-5251-7210; Beatty, James/0000-0003-0481-4952; Nichol, Ryan/0000-0003-0557-0443; Dasgupta, Dr. Paramita/0000-0002-9559-4803; Smith, Daniel/0000-0001-6307-4072; Wissel, Stephanie/0000-0003-0569-6978; Allison, Patrick/0000-0001-8141-2653; Gorham, Peter/0000-0002-0923-9363; Cremonesi, Linda/0000-0003-0711-1056; Deaconu, Cosmin/0000-0002-4953-6397</t>
  </si>
  <si>
    <t>NASA [NNX15AC24G]; Kavli Institute for Cosmological Physics at the University of Chicago; Cosmology and Astroparticle Student and Postdoc Exchange Network (CASPEN); Leverhulme Trust; Taiwan's Ministry of Science and Technology (MOST) under its Vanguard Program [106-2119-M-002-011]; U.S. National Science Foundation-EPSCoR (RII Track-2 FEC) [2019597]; MEPhI Academic Excellence Project [02.a03.21.0005]; Megagrant 2013 program of Russia [14.12.31.0006]; Columbia Scientific Balloon Facility; Office Of The Director; OIA-Office of Integrative Activities [2019597] Funding Source: National Science Foundation; NASA [809081, NNX15AC24G] Funding Source: Federal RePORTER</t>
  </si>
  <si>
    <t>NASA(National Aeronautics &amp; Space Administration (NASA)); Kavli Institute for Cosmological Physics at the University of Chicago(University of Chicago); Cosmology and Astroparticle Student and Postdoc Exchange Network (CASPEN); Leverhulme Trust(Leverhulme Trust); Taiwan's Ministry of Science and Technology (MOST) under its Vanguard Program; U.S. National Science Foundation-EPSCoR (RII Track-2 FEC); MEPhI Academic Excellence Project; Megagrant 2013 program of Russia; Columbia Scientific Balloon Facility; Office Of The Director; OIA-Office of Integrative Activities(National Science Foundation (NSF)NSF - Office of the Director (OD)NSF - Office of Integrative Activities (OIA)); NASA(National Aeronautics &amp; Space Administration (NASA))</t>
  </si>
  <si>
    <t>ANITA-IV was supported through NASA grant NNX15AC24G. We are especially grateful to the staff of the Columbia Scientific Balloon Facility for their generous support. We would like to thank NASA, the National Science Foundation, and those who dedicate their careers to making our science possible in Antarctica. This work was supported by the Kavli Institute for Cosmological Physics at the University of Chicago. Computing resources were provided by the Research Computing Center at the University of Chicago and the Ohio Supercomputing Center at The Ohio State University. L. Cremonesi's work was supported by collaborative visits funded by the Cosmology and Astroparticle Student and Postdoc Exchange Network (CASPEN). The University College London group was also supported by the Leverhulme Trust. The National Taiwan University group is supported by Taiwan's Ministry of Science and Technology (MOST) under its Vanguard Program 106-2119-M-002-011. D. Besson was supported by the U.S. National Science Foundation-EPSCoR (RII Track-2 FEC, award ID 2019597). D. Besson and A. Novikov acknowledge the support from the MEPhI Academic Excellence Project (Contract No. 02.a03.21.0005) and the Megagrant 2013 program of Russia, via agreement 14.12.31.0006 from 24.06.2013.</t>
  </si>
  <si>
    <t>IOP PUBLISHING LTD</t>
  </si>
  <si>
    <t>10.1088/1475-7516/2021/04/016</t>
  </si>
  <si>
    <t>WOS:000644501000061</t>
  </si>
  <si>
    <t>Patriarche, JD; Priscu, JC; Takacs-Vesbach, C; Winslow, L; Myers, KF; Buelow, H; Morgan-Kiss, RM; Doran, PT</t>
  </si>
  <si>
    <t>Patriarche, J. D.; Priscu, J. C.; Takacs-Vesbach, C.; Winslow, L.; Myers, K. F.; Buelow, H.; Morgan-Kiss, R. M.; Doran, P. T.</t>
  </si>
  <si>
    <t>Year-Round and Long-Term Phytoplankton Dynamics in Lake Bonney, a Permanently Ice-Covered Antarctic Lake</t>
  </si>
  <si>
    <t>Algae; Antarctic; Fluorometry; Ice; Lakes; light; profiling; Winter</t>
  </si>
  <si>
    <t>MCMURDO DRY VALLEYS; CELL-DEATH; COMMUNITY STRUCTURE; POLAR NIGHT; DIVERSITY; MARINE; PRODUCTIVITY; ACCLIMATION; PHOSPHORUS; DEFICIENCY</t>
  </si>
  <si>
    <t>Lake Bonney (McMurdo Dry Valleys, east Antarctica) represents a year-round refugium for life adapted to permanent extreme conditions. Despite intensive research since the 1960s, due to the logistical constraints posed by 4-months of 24-h darkness, knowledge of how the resident photosynthetic microorganisms respond to the polar winter is limited. In addition, the lake level has risen by more than 3 m since 2004: impacts of rapid lake level rise on phytoplankton community structure is also poorly understood. From 2004 to 2015 an in situ submersible spectrofluorometer (bbe FluoroProbe) was deployed in Lake Bonney during the austral summer to quantify the vertical structure of four functional algal groups (green algae, mixed algae, and cryptophytes, cyanobacteria). During the 2013-2014 field season the Fluoroprobe was mounted on autonomous cable-crawling profilers deployed in both the east and west lobes of Lake Bonney, obtaining the first daily phytoplankton profiles through the polar night. Our findings showed that phytoplankton communities were differentially impacted by physical and chemical factors over long-term versus seasonal time scales. Following a summer of rapid lake level rise (2010-2011), an increase in depth integrated chlorophyll a (chl-a) occurred in Lake Bonney caused by stimulation of photoautotrophic green algae. Conversely, peaks in chl-a during the polar night were associated with an increase in mixotrophic haptophytes and cryptophytes. Collectively our data reveal that phytoplankton groups possessing variable trophic abilities are differentially competitive during seasonal and long-term time scales owing to periods of higher nutrients (photoautotrophs) versus light/energy limitation (mixotrophs).</t>
  </si>
  <si>
    <t>[Patriarche, J. D.; Priscu, J. C.] Montana State Univ, Dept Land Resources &amp; Environm Sci, Bozeman, MT 59717 USA; [Takacs-Vesbach, C.; Buelow, H.] Univ New Mexico, Dept Biol, Albuquerque, NM 87131 USA; [Winslow, L.] Rensselaer Polytech Inst, Dept Biol Sci, Troy, NY USA; [Myers, K. F.; Doran, P. T.] Louisiana State Univ, Dept Geol &amp; Geophys, Baton Rouge, LA 70803 USA; [Morgan-Kiss, R. M.] Miami Univ, Dept Microbiol, Oxford, OH 45056 USA</t>
  </si>
  <si>
    <t>Montana State University System; Montana State University Bozeman; University of New Mexico; Rensselaer Polytechnic Institute; Louisiana State University System; Louisiana State University; University System of Ohio; Miami University</t>
  </si>
  <si>
    <t>Doran, PT (corresponding author), Louisiana State Univ, Dept Geol &amp; Geophys, Baton Rouge, LA 70803 USA.</t>
  </si>
  <si>
    <t>pdoran@lsu.edu</t>
  </si>
  <si>
    <t>Buelow, Heather/0000-0003-3535-4151; Winslow, Luke/0000-0002-8602-5510; Morgan-kiss, Rachael/0000-0003-4783-5358</t>
  </si>
  <si>
    <t>NSF Office of Polar Programs [OPP 0631659, OPP 1637708, OPP 1115245]; NASA [NNX13AJ52 G]</t>
  </si>
  <si>
    <t>NSF Office of Polar Programs(National Science Foundation (NSF)); NASA(National Aeronautics &amp; Space Administration (NASA))</t>
  </si>
  <si>
    <t>This work was supported by NSF Office of Polar Programs Grants (OPP 0631659, OPP 1637708, OPP 1115245) and an equipment grant from NASA (#NNX13AJ52 G).</t>
  </si>
  <si>
    <t>e2020JG005925</t>
  </si>
  <si>
    <t>10.1029/2020JG005925</t>
  </si>
  <si>
    <t>WOS:000645001600002</t>
  </si>
  <si>
    <t>Carret, A; Llovel, W; Penduff, T; Molines, JM</t>
  </si>
  <si>
    <t>Carret, Alice; Llovel, William; Penduff, Thierry; Molines, Jean-Marc</t>
  </si>
  <si>
    <t>Atmospherically Forced and Chaotic Interannual Variability of Regional Sea Level and Its Components Over 1993-2015</t>
  </si>
  <si>
    <t>HEAT-CONTENT; UNCERTAINTIES; RISE</t>
  </si>
  <si>
    <t>Satellite altimetry data have revealed a global mean sea level rise of 3.1 mm/yr since 1993 with large regional sea level variability. These remote data highlight complex structures especially in strongly eddying regions. A recent study showed that over 38% of the global ocean area, the chaotic variability may hinder the attribution to the atmospheric forcing of regional sea level trends from 1993 to 2015. This study aims to complement this work by focusing on the atmospherically forced and chaotic interannual variability of regional sea level and its components. At interannual time scales, variability can hamper the detection of regional sea level trends. A global 1/4 degrees ocean/sea-ice 50-member ensemble simulation is analyzed to disentangle the imprints of the atmospheric forcing and of the chaotic ocean variability on the interannual variability of regional sea level and of its steric and manometric components over 1993-2015. The atmospherically forced and chaotic interannual variabilities of sea level mainly have a steric origin, except in coastal areas. The chaotic part of the interannual variability of sea level and its components is stronger in the Pacific and Atlantic Oceans than in the Indian Ocean. The chaotic part of the interannual variance of sea level and of its steric component exceeds 20% over 48% of the global ocean area; this fractional area reduces to 26% for the manometric component. These results confirm the substantial imprint of the chaotic interannual variability on sea level components, questioning in several regions the attribution of their observed evolution to atmospheric causes. Plain Language Summary Since the early 1990s, satellite altimetry has become the main observing system for continuously measuring the sea level variations with a near global coverage. It has revealed a global mean sea level rise of 3.1 mm/yr since 1993 with large regional sea level variability that differs from the mean estimate. These measurements highlight complex structures especially for the western boundary currents (Gulf Stream or Kuroshio) or the Antarctic Circumpolar Current. Recent studies based on numerical modeling showed that the ocean spontaneously generates a chaotic intrinsic variability that substantially impacts the sea level interannual-to-decadal variability and its long-term trends. It is important to note that sea level observations simultaneously record these chaotic variations in the ocean but also the response to the atmospheric forcings. Here, we use a 50-member ensemble ocean simulation to disentangle the atmospherically forced and chaotic parts of the interannual variability of sea level and of its steric and manometric components. We found that, in several regions, the chaotic interannual variability has a large imprint on sea level components. While these results do not question the anthropic origin of global mean sea level rise, they give new insights into the oceanic vs. nonoceanic origin of regional interannual variability.</t>
  </si>
  <si>
    <t>[Carret, Alice] CNRS IRD UPS CNES, Lab Etud Geophys &amp; Oceanog Spatiale LEGOS, Toulouse, France; [Llovel, William] Univ Brest, IFREMER, IRD, Lab Oceanog Phys &amp; Spatiale LOPS,CNRS, Brest, France; [Penduff, Thierry; Molines, Jean-Marc] Univ Grenoble Alpes, CNRS, Grenoble INP, IRD,Inst Geosci Environm IGE, Grenoble, France</t>
  </si>
  <si>
    <t>Institut de Recherche pour le Developpement (IRD); Universite de Toulouse; Universite Toulouse III - Paul Sabatier; Ifremer; Institut de Recherche pour le Developpement (IRD); Universite de Bretagne Occidentale; Centre National de la Recherche Scientifique (CNRS); Institut de Recherche pour le Developpement (IRD); Communaute Universite Grenoble Alpes; Institut National Polytechnique de Grenoble; Universite Grenoble Alpes (UGA); Centre National de la Recherche Scientifique (CNRS)</t>
  </si>
  <si>
    <t>Carret, A (corresponding author), CNRS IRD UPS CNES, Lab Etud Geophys &amp; Oceanog Spatiale LEGOS, Toulouse, France.</t>
  </si>
  <si>
    <t>alice.carret@legos.obs-mip.fr</t>
  </si>
  <si>
    <t>Penduff, Thierry/AAH-6554-2021; LLOVEL, William/G-6930-2016</t>
  </si>
  <si>
    <t>Penduff, Thierry/0000-0002-0407-8564; Molines, Jean-Marc/0000-0003-1665-6816; Llovel, william/0000-0002-0798-7595</t>
  </si>
  <si>
    <t>ANR [ANR-13-BS06-0007-01]; CNES through the Ocean Surface Topography Science Team (OSTST); French National Programme LEFE (Les Enveloppes Fluides de l'Environnement)-GMMC (Groupe Mission Mercator-Coriolis)-GMMC (Groupe Mission Mercator-Coriolis) by the CRATERE project; ESA Living Planet Fellowship; Agence Nationale de la Recherche (ANR) [ANR-13-BS06-0007] Funding Source: Agence Nationale de la Recherche (ANR)</t>
  </si>
  <si>
    <t>ANR(Agence Nationale de la Recherche (ANR)); CNES through the Ocean Surface Topography Science Team (OSTST); French National Programme LEFE (Les Enveloppes Fluides de l'Environnement)-GMMC (Groupe Mission Mercator-Coriolis)-GMMC (Groupe Mission Mercator-Coriolis) by the CRATERE project; ESA Living Planet Fellowship; Agence Nationale de la Recherche (ANR)(Agence Nationale de la Recherche (ANR))</t>
  </si>
  <si>
    <t>The results of this research have been achieved using the PRACE Research Infrastructure resource CURIE based in France at TGCC. This work is a contribution to the OCCIPUT and PIRATE projects. OCCIPUT () has been funded by ANR through contract ANR-13-BS06-0007-01. PIRATE () is funded by CNES through the Ocean Surface Topography Science Team (OSTST). This work was also supported by the French National Programme LEFE (Les Enveloppes Fluides de l'Environnement)-GMMC (Groupe Mission Mercator-Coriolis) by the CRATERE project. Alice Carret was supported by the OVALIE project from ESA Living Planet Fellowship.</t>
  </si>
  <si>
    <t>e2020JC017123</t>
  </si>
  <si>
    <t>10.1029/2020JC017123</t>
  </si>
  <si>
    <t>WOS:000645019200019</t>
  </si>
  <si>
    <t>Li, JD; Babanin, AV; Liu, QX; Voermans, JJ; Heil, P; Tang, YM</t>
  </si>
  <si>
    <t>Li, Junde; Babanin, Alexander, V; Liu, Qingxiang; Voermans, Joey J.; Heil, Petra; Tang, Youmin</t>
  </si>
  <si>
    <t>Effects of Wave-Induced Sea Ice Break-Up and Mixing in a High-Resolution Coupled Ice-Ocean Model</t>
  </si>
  <si>
    <t>wave-induced sea ice break-up; wave-induced mixing; ice-ocean coupled model</t>
  </si>
  <si>
    <t>FLOE SIZE DISTRIBUTION; SEASONAL EVOLUTION; THICKNESS DATA; ARCTIC-OCEAN; SURFACE; TURBULENCE; CLIMATE; PARAMETERIZATION; CRYOSAT-2; PERFORMANCE</t>
  </si>
  <si>
    <t>Arctic sea ice plays a vital role in modulating the global climate. In the most recent decades, the rapid decline of the Arctic summer sea ice cover has exposed increasing areas of ice-free ocean, with sufficient fetch for waves to develop. This has highlighted the complex and not well-understood nature of wave-ice interactions, requiring modeling effort. Here, we introduce two independent parameterizations in a high-resolution coupled ice-ocean model to investigate the effects of wave-induced sea ice break-up (through albedo change) and mixing on the Arctic sea ice simulation. Our results show that wave-induced sea ice break-up leads to increases in sea ice concentration and thickness in the Bering Sea, the Baffin Sea and the Barents Sea during the ice growth season, but accelerates the sea ice melt in the Chukchi Sea and the East Siberian Sea in summer. Further, wave-induced mixing can decelerate the sea ice formation in winter and the sea ice melt in summer by exchanging the heat fluxes between the surface and subsurface layer. As our baseline model underestimates sea ice cover in winter and produces more sea ice in summer, wave-induced sea ice break-up plays a positive role in improving the sea ice simulation. This study provides two independent parameterizations to directly include the wave effects into the sea ice models, with important implications for the future sea ice model development.</t>
  </si>
  <si>
    <t>[Li, Junde; Babanin, Alexander, V; Liu, Qingxiang; Voermans, Joey J.] Univ Melbourne, Dept Infrastruct Engn, Melbourne, Vic 3010, Australia; [Babanin, Alexander, V] Qingdao Natl Lab Marine Sci &amp; Technol, Lab Reg Oceanog &amp; Numer Modeling, Qingdao 266237, Peoples R China; [Heil, Petra] Univ Tasmania, Australian Antarct Div, Hobart, Tas 7001, Australia; [Heil, Petra] Univ Tasmania, Australian Antarctic Programme Partnership, Hobart, Tas 7001, Australia; [Tang, Youmin] Univ Northern British Columbia, Environm Sci &amp; Engn, Prince George, BC V2N 4Z9, Canada</t>
  </si>
  <si>
    <t>University of Melbourne; Melbourne Bioinformatics; Laoshan Laboratory; Australian Antarctic Division; University of Tasmania; University of Tasmania; University of Northern British Columbia</t>
  </si>
  <si>
    <t>Li, JD (corresponding author), Univ Melbourne, Dept Infrastruct Engn, Melbourne, Vic 3010, Australia.</t>
  </si>
  <si>
    <t>junde.li@unimelb.edu.au; a.babanin@unimelb.edu.au; qingxiang.liu@unimelb.edu.au; jvoermans@unimelb.edu.au; petra.heil@utas.edu.au; ytang@unbc.ca</t>
  </si>
  <si>
    <t>LI, Junde/HSG-8762-2023; Liu, Qingxiang/GRS-6406-2022</t>
  </si>
  <si>
    <t>LI, Junde/0000-0003-1839-8988; Liu, Qingxiang/0000-0001-6100-0221; Babanin, Alexander/0000-0002-8595-8204; Heil, Petra/0000-0003-2078-0342</t>
  </si>
  <si>
    <t>ONR Global Grant [N00014-17-1-3021-A00001]; Australian Antarctic Program [4593]; [4506]</t>
  </si>
  <si>
    <t>ONR Global Grant; Australian Antarctic Program;</t>
  </si>
  <si>
    <t>J.L., A.V.B. and Q.L. acknowledge ONR Global Grant N00014-17-1-3021-A00001; J.J.V., A.V.B. and P.H. were supported by the Australian Antarctic Program under project 4593 with additional contributions from project 4506.</t>
  </si>
  <si>
    <t>10.3390/jmse9040365</t>
  </si>
  <si>
    <t>RR4YZ</t>
  </si>
  <si>
    <t>Green Accepted, gold, Green Published</t>
  </si>
  <si>
    <t>WOS:000643106900001</t>
  </si>
  <si>
    <t>Wang, ZQ; Tang, H; Xu, LX; Zhang, J; Hu, FX</t>
  </si>
  <si>
    <t>Wang, Zhongqiu; Tang, Hao; Xu, Liuxiong; Zhang, Jian; Hu, Fuxiang</t>
  </si>
  <si>
    <t>Application of a Controlled Aquarium Experiment to Assess the Effect of Mesh Sizes and Mesh Opening Angles on the Netting Selectivity of Antarctic Krill (Euphausia superba)</t>
  </si>
  <si>
    <t>trawling fisheries; fishing gear; zooplankton; liner netting; size selection</t>
  </si>
  <si>
    <t>CODEND</t>
  </si>
  <si>
    <t>Understanding the interactions between target species and netting is paramount for increasing the sustainability of trawling activities. The selectivity of the utilized netting depends on the sizes and opening angles of the mesh. The effects of the mesh size and mesh opening angle on the fishing selectivity of Antarctic krill (Euphausia superba) were assessed via micro-cosmos experiments. The results show that both the absolute abundance and the incidence of larger krill individuals passing through experimental panels are proportional to the utilized mesh size. Krill individuals larger than 35 mm passed through experimental panels at mesh opening angles larger than 50 degrees for a 15 mm mesh size, 35 degrees for a 20 mm mesh size and 20 degrees for a 30 mm mesh size. Additionally, all L50 values increased with an increasing mesh size and an increasing mesh opening angle at the same mesh size. Furthermore, the selection range increased with an increasing mesh size and with an increasing mesh opening angle at the same mesh size. This paper provides scientific guidance for the choice of liner mesh sizes of krill trawl with the aim to improve fishing efficiency while minimizing fishing losses and potential negative ecosystem impacts from fisheries.</t>
  </si>
  <si>
    <t>[Wang, Zhongqiu; Tang, Hao; Xu, Liuxiong; Zhang, Jian] Shanghai Ocean Univ, Coll Marine Sci, Shanghai 201306, Peoples R China; [Tang, Hao] Natl Engn Res Ctr Ocean Fisheries, Shanghai 201306, Peoples R China; [Tang, Hao; Xu, Liuxiong; Zhang, Jian] Shanghai Ocean Univ, Ctr Polar Res, Shanghai 201306, Peoples R China; [Tang, Hao; Xu, Liuxiong; Zhang, Jian] Shanghai Ocean Univ, Key Lab Sustainable Exploitat Ocean Fisheries Res, Minist Educ, Shanghai 201306, Peoples R China; [Hu, Fuxiang] Tokyo Univ Marine Sci &amp; Technol, Fac Marine Sci, Minato Ku, Tokyo 1088477, Japan</t>
  </si>
  <si>
    <t>Shanghai Ocean University; National Engineering Research Center for Oceanic Fisheries; Shanghai Ocean University; Shanghai Ocean University; Tokyo University of Marine Science &amp; Technology</t>
  </si>
  <si>
    <t>Tang, H (corresponding author), Shanghai Ocean Univ, Coll Marine Sci, Shanghai 201306, Peoples R China.;Tang, H (corresponding author), Natl Engn Res Ctr Ocean Fisheries, Shanghai 201306, Peoples R China.;Tang, H (corresponding author), Shanghai Ocean Univ, Ctr Polar Res, Shanghai 201306, Peoples R China.;Tang, H (corresponding author), Shanghai Ocean Univ, Key Lab Sustainable Exploitat Ocean Fisheries Res, Minist Educ, Shanghai 201306, Peoples R China.</t>
  </si>
  <si>
    <t>d170301053@st.shou.edu.cn; htang@shou.edu.cn; lxxu@shou.edu.cn; j-zhang@shou.edu.cn; fuxiang@kaiyodai.ac.jp</t>
  </si>
  <si>
    <t>Tang, Hao/GXH-6097-2022; xu, liu/KCL-1154-2024</t>
  </si>
  <si>
    <t>Tang, Hao/0000-0002-3393-1683;</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</si>
  <si>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</si>
  <si>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</si>
  <si>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This research was financially sponsored by the National Natural Science Foundation of China (31902426), the Shanghai Sailing Program (19YF1419800) and the Special Project for the Exploitation and Utilization of Antarctic Biological Resources of Ministry of Agriculture and Rural Affairs (D-8002-18-0097).</t>
  </si>
  <si>
    <t>10.3390/jmse9040372</t>
  </si>
  <si>
    <t>RR5EZ</t>
  </si>
  <si>
    <t>WOS:000643122500001</t>
  </si>
  <si>
    <t>Spingys, CP; Garabato, ACN; Legg, S; Polzin, KL; Abrahamsen, EP; Buckingham, CE; Forryan, A; Frajka-Williams, EE</t>
  </si>
  <si>
    <t>Spingys, Carl P.; Garabato, Alberto C. Naveira; Legg, Sonya; Polzin, Kurt L.; Abrahamsen, E. Povl; Buckingham, Christian E.; Forryan, Alexander; Frajka-Williams, Eleanor E.</t>
  </si>
  <si>
    <t>Mixing and Transformation in a Deep Western Boundary Current: A Case Study</t>
  </si>
  <si>
    <t>Bottom currents; Diapycnal mixing; Turbulence; Southern Ocean; Abyssal circulation</t>
  </si>
  <si>
    <t>ANTARCTIC BOTTOM WATER; OVERTURNING CIRCULATION; OCEAN CIRCULATION; SOUTHERN-OCEAN; HEAT-FLOW; ABYSSAL; EFFICIENCY; DISSIPATION; TURBULENCE; ADVECTION</t>
  </si>
  <si>
    <t>Water-mass transformation by turbulent mixing is a key part of the deep-ocean overturning, as it drives the upwelling of dense waters formed at high latitudes. Here, we quantify this transformation and its underpinning processes in a small Southern Ocean basin: the Orkney Deep. Observations reveal a focusing of the transport in density space as a deep western boundary current (DWBC) flows through the region, associated with lightening and densification of the current's denser and lighter layers, respectively. These transformations are driven by vigorous turbulent mixing. Comparing this transformation with measurements of the rate of turbulent kinetic energy dissipation indicates that, within the DWBC, turbulence operates with a high mixing efficiency, characterized by a dissipation ratio of 0.6 to 1 that exceeds the common value of 0.2. This result is corroborated by estimates of the dissipation ratio from microstructure observations. The causes of the transformation are unraveled through a decomposition into contributions dependent on the gradients in density space of the: dianeutral mixing rate, isoneutral area, and stratification. The transformation is found to be primarily driven by strong turbulence acting on an abrupt transition from the weakly stratified bottom boundary layer to well-stratified off-boundary waters. The reduced boundary layer stratification is generated by a downslope Ekman flow associated with the DWBC's flow along sloping topography, and is further regulated by submesoscale instabilities acting to restratify near-boundary waters. Our results provide observational evidence endorsing the importance of near-boundary mixing processes to deep-ocean overturning, and highlight the role of DWBCs as hot spots of dianeutral upwelling.</t>
  </si>
  <si>
    <t>[Spingys, Carl P.; Garabato, Alberto C. Naveira; Forryan, Alexander] Univ Southampton, Natl Oceanog Ctr, Ocean &amp; Earth Sci, Southampton, Hants, England; [Legg, Sonya] Princeton Univ, Atmospher &amp; Ocean Sci Program, Princeton, NJ 08544 USA; [Polzin, Kurt L.] Woods Hole Oceanog Inst, Dept Phys Oceanog, Woods Hole, MA 02543 USA; [Abrahamsen, E. Povl] British Antarctic Survey, Cambridge, England; [Buckingham, Christian E.] UBO, IRD, IFREMER, CNRS,Lab Oceanog Phys &amp; Spatiale, Plouzane, France; [Frajka-Williams, Eleanor E.] Natl Oceanog Ctr, Southampton, Hants, England</t>
  </si>
  <si>
    <t>NERC National Oceanography Centre; University of Southampton; National Oceanic Atmospheric Admin (NOAA) - USA; Princeton University; Woods Hole Oceanographic Institution; UK Research &amp; Innovation (UKRI); Natural Environment Research Council (NERC); NERC British Antarctic Survey; Centre National de la Recherche Scientifique (CNRS); Institut de Recherche pour le Developpement (IRD); Ifremer; Universite de Bretagne Occidentale; Institut Universitaire Europeen de la Mer (IUEM); NERC National Oceanography Centre</t>
  </si>
  <si>
    <t>Spingys, CP (corresponding author), Univ Southampton, Natl Oceanog Ctr, Ocean &amp; Earth Sci, Southampton, Hants, England.</t>
  </si>
  <si>
    <t>c.p.spingys@soton.ac.uk</t>
  </si>
  <si>
    <t>Abrahamsen, Povl/B-2140-2008</t>
  </si>
  <si>
    <t>Abrahamsen, Povl/0000-0001-5924-5350; Spingys, Carl/0000-0001-6220-3047</t>
  </si>
  <si>
    <t>U.K. Natural Environment Research Council (NERC) [NE/K013181/1]; Royal Society; Wolfson Foundation; NERC [NE/N018095/1, NE/K012843/1]; MSCA grant from the European Union's Horizon 2020 program [798319]; U.S. National Science Foundation [OCE-1536453, OCE-1536779]; National Oceanic and Atmospheric Administration, U.S. Department of Commerce [NA18OAR4320123]; NERC [NE/K013181/1, NE/K012843/1, NE/N018095/1, bas0100033] Funding Source: UKRI; Marie Curie Actions (MSCA) [798319] Funding Source: Marie Curie Actions (MSCA)</t>
  </si>
  <si>
    <t>U.K. Natural Environment Research Council (NERC)(UK Research &amp; Innovation (UKRI)Natural Environment Research Council (NERC)); Royal Society(Royal Society); Wolfson Foundation; NERC(UK Research &amp; Innovation (UKRI)Natural Environment Research Council (NERC)); MSCA grant from the European Union's Horizon 2020 program; U.S. National Science Foundation(National Science Foundation (NSF)); National Oceanic and Atmospheric Administration, U.S. Department of Commerce(National Oceanic Atmospheric Admin (NOAA) - USA); NERC(UK Research &amp; Innovation (UKRI)Natural Environment Research Council (NERC)); Marie Curie Actions (MSCA)(Marie Curie Actions)</t>
  </si>
  <si>
    <t>CS, ACNG, AF, and EFW were supported by the U.K. Natural Environment Research Council (NERC) Grant NE/K013181/1. ACNG was supported by the Royal Society and Wolfson Foundation. EPA and CEB were supported by NERC Grant NE/K012843/1. CEB was funded by an MSCA grant (No. 798319) from the European Union's Horizon 2020 program. EPA was supported by NERC Grant NE/N018095/1. SL and KP were supported by U.S. National Science Foundation Grants OCE-1536453 and OCE-1536779. SL acknowledges support of Award NA18OAR4320123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We thank the scientists, crew, and technicians of the RRS James Clark Ross for their hard work.</t>
  </si>
  <si>
    <t>10.1175/JPO-D-20-0132.1</t>
  </si>
  <si>
    <t>WOS:000644279200014</t>
  </si>
  <si>
    <t>Rodriguez, M</t>
  </si>
  <si>
    <t>Rodriguez, Michael</t>
  </si>
  <si>
    <t>Madhouse at the End of the Earth: The Belgica's Journey Into the Dark Antarctic Night</t>
  </si>
  <si>
    <t>LIBRARY JOURNAL</t>
  </si>
  <si>
    <t>[Rodriguez, Michael] Univ Connecticut, Storrs, CT 06269 USA</t>
  </si>
  <si>
    <t>University of Connecticut</t>
  </si>
  <si>
    <t>Rodriguez, M (corresponding author), Univ Connecticut, Storrs, CT 06269 USA.</t>
  </si>
  <si>
    <t>REED BUSINESS INFORMATION</t>
  </si>
  <si>
    <t>360 PARK AVENUE SOUTH, NEW YORK, NY 10010 USA</t>
  </si>
  <si>
    <t>0363-0277</t>
  </si>
  <si>
    <t>LIBR J</t>
  </si>
  <si>
    <t>Libr. J.</t>
  </si>
  <si>
    <t>Information Science &amp; Library Science</t>
  </si>
  <si>
    <t>0Z3NY</t>
  </si>
  <si>
    <t>WOS:000790989100174</t>
  </si>
  <si>
    <t>Sequeira, AMM; O'Toole, M; Keates, TR; McDonnell, LH; Braun, CD; Hoenner, X; Jaine, FRA; Jonsen, ID; Newman, P; Pye, J; Bograd, SJ; Hays, GC; Hazen, EL; Holland, M; Tsontos, VM; Blight, C; Cagnacci, F; Davidson, SC; Dettki, H; Duarte, CM; Dunn, DC; Eguíluz, VM; Fedak, M; Gleiss, AC; Hammerschlag, N; Hindell, MA; Holland, K; Janekovic, I; McKinzie, MK; Muelbert, MNMC; Pattiaratchi, C; Rutz, C; Sims, DW; Simmons, SE; Townsend, B; Whoriskey, F; Woodward, B; Costa, DP; Heupel, MR; McMahon, CR; Harcourt, R; Weise, M</t>
  </si>
  <si>
    <t>Sequeira, Ana M. M.; O'Toole, Malcolm; Keates, Theresa R.; McDonnell, Laura H.; Braun, Camrin D.; Hoenner, Xavier; Jaine, Fabrice R. A.; Jonsen, Ian D.; Newman, Peggy; Pye, Jonathan; Bograd, Steven J.; Hays, Graeme C.; Hazen, Elliott L.; Holland, Melinda; Tsontos, Vardis M.; Blight, Clint; Cagnacci, Francesca; Davidson, Sarah C.; Dettki, Holger; Duarte, Carlos M.; Dunn, Daniel C.; Eguiluz, Victor M.; Fedak, Michael; Gleiss, Adrian C.; Hammerschlag, Neil; Hindell, Mark A.; Holland, Kim; Janekovic, Ivica; McKinzie, Megan K.; Muelbert, Monica M. C.; Pattiaratchi, Chari; Rutz, Christian; Sims, David W.; Simmons, Samantha E.; Townsend, Brendal; Whoriskey, Frederick; Woodward, Bill; Costa, Daniel P.; Heupel, Michelle R.; McMahon, Clive R.; Harcourt, Rob; Weise, Michael</t>
  </si>
  <si>
    <t>A standardisation framework for bio-logging data to advance ecological research and conservation</t>
  </si>
  <si>
    <t>METHODS IN ECOLOGY AND EVOLUTION</t>
  </si>
  <si>
    <t>bio‐ logging template; data accessibility and interoperability; data standards; metadata templates; movement ecology; sensors; telemetry; tracking</t>
  </si>
  <si>
    <t>Bio-logging data obtained by tagging animals are key to addressing global conservation challenges. However, the many thousands of existing bio-logging datasets are not easily discoverable, universally comparable, nor readily accessible through existing repositories and across platforms, slowing down ecological research and effective management. A set of universal standards is needed to ensure discoverability, interoperability and effective translation of bio-logging data into research and management recommendations. We propose a standardisation framework adhering to existing data principles (FAIR: Findable, Accessible, Interoperable and Reusable; and TRUST: Transparency, Responsibility, User focus, Sustainability and Technology) and involving the use of simple templates to create a data flow from manufacturers and researchers to compliant repositories, where automated procedures should be in place to prepare data availability into four standardised levels: (a) decoded raw data, (b) curated data, (c) interpolated data and (d) gridded data. Our framework allows for integration of simple tabular arrays (e.g. csv files) and creation of sharable and interoperable network Common Data Form (netCDF) files containing all the needed information for accuracy-of-use, rightful attribution (ensuring data providers keep ownership through the entire process) and data preservation security. We show the standardisation benefits for all stakeholders involved, and illustrate the application of our framework by focusing on marine animals and by providing examples of the workflow across all data levels, including filled templates and code to process data between levels, as well as templates to prepare netCDF files ready for sharing. Adoption of our framework will facilitate collection of Essential Ocean Variables (EOVs) in support of the Global Ocean Observing System (GOOS) and inter-governmental assessments (e.g. the World Ocean Assessment), and will provide a starting point for broader efforts to establish interoperable bio-logging data formats across all fields in animal ecology.</t>
  </si>
  <si>
    <t>[Sequeira, Ana M. M.; O'Toole, Malcolm] Univ Western Australia, Oceans Inst, Crawley, WA, Australia; [Sequeira, Ana M. M.; O'Toole, Malcolm] Univ Western Australia, Sch Biol Sci, Crawley, WA, Australia; [Keates, Theresa R.] Univ Calif Santa Cruz, Dept Ocean Sci, Santa Cruz, CA 95064 USA; [McDonnell, Laura H.; Hammerschlag, Neil] Univ Miami, Leonard &amp; Jayne Abess Ctr Ecosyst Sci &amp; Policy, Coral Gables, FL 33124 USA; [Braun, Camrin D.] Univ Washington, Sch Aqut &amp; Fishery Sci, Seattle, WA 98195 USA; [Braun, Camrin D.] Woods Hole Oceanog Inst, Biol Dept, Woods Hole, MA 02543 USA; [Hoenner, Xavier] CSIRO Oceans &amp; Atmosphere, Hobart, Tas, Australia; [Jaine, Fabrice R. A.; McMahon, Clive R.] Sydney Inst Marine Sci, Integrated Marine Observing Syst IMOS, Anim Tracking Facil, Mosman, NSW, Australia; [Jaine, Fabrice R. A.; Jonsen, Ian D.; Harcourt, Rob] Macquarie Univ, Dept Biol Sci, Sydney, NSW, Australia; [Newman, Peggy] Melbourne Museum, Atlas Living Australia, Carlton, Vic, Australia; [Pye, Jonathan; Townsend, Brendal; Whoriskey, Frederick] Dalhousie Univ, Ocean Tracking Network, Halifax, NS, Canada; [Bograd, Steven J.; Hazen, Elliott L.] Southwest Fisheries Sci Ctr, NOAA Environm Res Div, Monterey, CA USA; [Hays, Graeme C.] Deakin Univ, Sch Life &amp; Environm Sci, Geelong, Vic, Australia; [Holland, Melinda] Wildlife Comp, Redmond, WA USA; [Tsontos, Vardis M.] NASA, Jet Prop Lab, Pasadena, CA USA; [Blight, Clint; Fedak, Michael] Scottish Oceans Inst, SMRU Instrumentat, St Andrews, Fife, Scotland; [Cagnacci, Francesca] Fdn Edmund Mach, Res &amp; Innovat Ctr, Dept Biodivers &amp; Mol Ecol, San Michele All Adige, Trento, Italy; [Davidson, Sarah C.] Max Planck Inst Anim Behav, Dept Migrat, Radolfzell am Bodensee, Germany; [Davidson, Sarah C.] Univ Konstanz, Ctr Adv Study Collect Behav, Constance, Germany; [Dettki, Holger] Swedish Univ Agr Sci, SLU Swedish Species Informat Ctr, Uppsala, Sweden; [Duarte, Carlos M.] King Abdullah Univ Sci &amp; Technol, Red Sea Res Ctr, Thuwal, Saudi Arabia; [Duarte, Carlos M.] King Abdullah Univ Sci &amp; Technol, Computat Biosci Res Ctr, Thuwal, Saudi Arabia; [Dunn, Daniel C.] Univ Queensland, Sch Earth &amp; Environm Sci, St Lucia, Qld, Australia; [Eguiluz, Victor M.] UIB, CSIC, Inst Fis Interdisciplinar Sistemas Complejos IFIS, Palma De Mallorca, Spain; [Gleiss, Adrian C.] Murdoch Univ, Harry Butler Inst, Ctr Sustainable Aqut Ecosyst, Murdoch, WA, Australia; [Hammerschlag, Neil] Rosenstiel Sch Marine &amp; Atmospher Sci, Miami, FL USA; [Hindell, Mark A.; Muelbert, Monica M. C.; McMahon, Clive R.] Univ Tasmania, Inst Antarctic &amp; Marine Studies, Hobart, Tas, Australia; [Holland, Kim] Univ Hawaii, Hawaii Inst Marine Biol, Manoa, HI USA; [Janekovic, Ivica; Pattiaratchi, Chari] Univ Western Australia, Oceans Grad Sch, Crawley, WA, Australia; [Janekovic, Ivica; Pattiaratchi, Chari] Univ Western Australia, UWA Oceans Inst, Crawley, WA, Australia; [McKinzie, Megan K.] Monterey Bay Aquarium Res Inst MBARI, Moss Landing, CA USA; [McKinzie, Megan K.; Woodward, Bill] NOAA Integrated Ocean Observing Syst, US Anim Telemetry Network ATN, Silver Spring, MD USA; [Muelbert, Monica M. C.] Fed Univ Sao Paulo IMar UNIFESP, Inst Marine Sci, Santos, SP, Brazil; [Rutz, Christian] Univ St Andrews, Ctr Biol Diversity, Sch Biol, St Andrews, Fife, Scotland; [Sims, David W.] Marine Biol Assoc UK, Plymouth, Devon, England; [Sims, David W.] Univ Southampton, Natl Oceanog Ctr Southampton, Ocean &amp; Earth Sci, Southampton, Hants, England; [Sims, David W.] Univ Southampton, Ctr Biol Sci, Southampton, Hants, England; [Simmons, Samantha E.] US Marine Mammal Commiss, Bethesda, MD USA; [Costa, Daniel P.] Univ Calif Santa Cruz, Inst Marine Sci, Dept Ecol &amp; Evolutionary Biol, Santa Cruz, CA 95064 USA; [Heupel, Michelle R.] Univ Tasmania, Integrated Marine Observing Syst, Hobart, Tas, Australia; [Weise, Michael] Off Naval Res, Arlington, VA USA</t>
  </si>
  <si>
    <t>University of Western Australia; University of Western Australia; University of California System; University of California Santa Cruz; University of Miami; University of Washington; University of Washington Seattle; Woods Hole Oceanographic Institution; Commonwealth Scientific &amp; Industrial Research Organisation (CSIRO); Sydney Institute of Marine Science; Macquarie University; Dalhousie University; Deakin University; National Aeronautics &amp; Space Administration (NASA); NASA Jet Propulsion Laboratory (JPL); University of St Andrews; Fondazione Edmund Mach; Max Planck Society; University of Konstanz; Swedish University of Agricultural Sciences; King Abdullah University of Science &amp; Technology; King Abdullah University of Science &amp; Technology; University of Queensland; Consejo Superior de Investigaciones Cientificas (CSIC); Universitat de les Illes Balears; Murdoch University; University of Tasmania; University of Hawaii System; University of Hawaii Manoa; University of Western Australia; University of Western Australia; Monterey Bay Aquarium Research Institute; Universidade Federal de Sao Paulo (UNIFESP); University of St Andrews; Marine Biological Association United Kingdom; NERC National Oceanography Centre; University of Southampton; University of Southampton; University of California System; University of California Santa Cruz; University of Tasmania; United States Department of Defense; United States Navy</t>
  </si>
  <si>
    <t>Sequeira, AMM (corresponding author), Univ Western Australia, Oceans Inst, Crawley, WA, Australia.;Sequeira, AMM (corresponding author), Univ Western Australia, Sch Biol Sci, Crawley, WA, Australia.</t>
  </si>
  <si>
    <t>ana.sequeira@uwa.edu.au</t>
  </si>
  <si>
    <t>Janekovic, Ivica/AAD-1434-2019; Sequeira, Ana M M/AAE-9741-2021; Holland, Kim/ABH-1490-2021; Braun, Camrin D/G-8718-2012; Hazen, Elliott/G-4149-2014; Jaine, Fabrice/D-1622-2016; Hindell, Mark A/K-1131-2013; Duarte Quesada, Carlos Manuel/ABD-6208-2021; McMahon, Clive R/D-5713-2013; Cagnacci, Francesca/L-7377-2013; Eguíluz, Víctor M./B-9655-2008; Duarte, Carlos M/A-7670-2013; Hoenner, Xavier/N-7422-2014; Fedak, Michael/B-3987-2009; Pattiaratchi, Charitha/E-6916-2011</t>
  </si>
  <si>
    <t>Janekovic, Ivica/0000-0001-8388-0848; Sequeira, Ana M M/0000-0001-6906-799X; Hazen, Elliott/0000-0002-0412-7178; Jaine, Fabrice/0000-0002-9304-5034; McMahon, Clive R/0000-0001-5241-8917; Cagnacci, Francesca/0000-0002-4954-9980; Eguíluz, Víctor M./0000-0003-1133-1289; Duarte, Carlos M/0000-0002-1213-1361; Blight, Clint/0000-0002-3481-7428; Hoenner, Xavier/0000-0001-5811-1166; TSONTOS, Vardis Maximilian/0000-0002-1723-0860; Rutz, Christian/0000-0001-5187-7417; Fedak, Michael/0000-0002-9569-1128; Newman, Peggy/0000-0002-9084-5992; Braun, Camrin/0000-0002-9317-9489; Keates, Theresa/0000-0002-4833-323X; Jonsen, Ian/0000-0001-5423-6076; Dunn, Daniel/0000-0001-8932-0681; Gleiss, Adrian/0000-0002-9960-2858; Pattiaratchi, Charitha/0000-0003-2229-6183; Harcourt, Robert/0000-0003-4666-2934</t>
  </si>
  <si>
    <t>ONR; UWA OI; ARC [DP210103091]; 2020 Pew Fellowship in Marine Conservation; AIMS; Radcliffe Fellowship at the Radcliffe Institute for Advanced Study, Harvard University</t>
  </si>
  <si>
    <t>ONR(Office of Naval Research); UWA OI; ARC(Australian Research Council); 2020 Pew Fellowship in Marine Conservation; AIMS; Radcliffe Fellowship at the Radcliffe Institute for Advanced Study, Harvard University</t>
  </si>
  <si>
    <t>We are thankful to ONR and UWA OI for funding the workshop, and to ARC for DP210103091. A.M.M.S. was funded by a 2020 Pew Fellowship in Marine Conservation, and also supported by AIMS. C.R. was the recipient of a Radcliffe Fellowship at the Radcliffe Institute for Advanced Study, Harvard University. We thank Suzi Kohin and Matthew Ruthishauser from Wildlife Computers for earlier discussions and feedback on the manuscript.</t>
  </si>
  <si>
    <t>2041-210X</t>
  </si>
  <si>
    <t>2041-2096</t>
  </si>
  <si>
    <t>METHODS ECOL EVOL</t>
  </si>
  <si>
    <t>Methods Ecol. Evol.</t>
  </si>
  <si>
    <t>10.1111/2041-210X.13593</t>
  </si>
  <si>
    <t>SL1YX</t>
  </si>
  <si>
    <t>WOS:000635644300001</t>
  </si>
  <si>
    <t>Steinthorsdottir, M; Coxall, HK; de Boer, AM; Huber, M; Barbolini, N; Bradshaw, CD; Burls, NJ; Feakins, SJ; Gasson, E; Henderiks, J; Holbourn, AE; Kiel, S; Kohn, MJ; Knorr, G; Kürschner, WM; Lear, CH; Liebrand, D; Lunt, DJ; Mörs, T; Pearson, PN; Pound, MJ; Stoll, H; Strömberg, CAE</t>
  </si>
  <si>
    <t>Steinthorsdottir, M.; Coxall, H. K.; de Boer, A. M.; Huber, M.; Barbolini, N.; Bradshaw, C. D.; Burls, N. J.; Feakins, S. J.; Gasson, E.; Henderiks, J.; Holbourn, A. E.; Kiel, S.; Kohn, M. J.; Knorr, G.; Kurschner, W. M.; Lear, C. H.; Liebrand, D.; Lunt, D. J.; Mors, T.; Pearson, P. N.; Pound, M. J.; Stoll, H.; Stromberg, C. A. E.</t>
  </si>
  <si>
    <t>The Miocene: The Future of the Past</t>
  </si>
  <si>
    <t>climate modeling; paleobiota; paleoclimate; paleoenvironments; review; the Miocene</t>
  </si>
  <si>
    <t>ANTARCTIC ICE-SHEET; ATMOSPHERIC CARBON-DIOXIDE; EASTERN EQUATORIAL PACIFIC; STABLE ISOTOPIC EVIDENCE; SOUTH ASIAN MONSOON; CALCAREOUS NANNOPLANKTON EVOLUTION; PLIOMIP EXPERIMENTAL-DESIGN; CENOZOIC CLIMATIC-CHANGE; DEEP-WATER CIRCULATION; LOWER RHINE EMBAYMENT</t>
  </si>
  <si>
    <t>The Miocene epoch (23.03-5.33 Ma) was a time interval of global warmth, relative to today. Continental configurations and mountain topography transitioned toward modern conditions, and many flora and fauna evolved into the same taxa that exist today. Miocene climate was dynamic: long periods of early and late glaciation bracketed a similar to 2 Myr greenhouse interval-the Miocene Climatic Optimum (MCO). Floras, faunas, ice sheets, precipitation, pCO(2), and ocean and atmospheric circulation mostly (but not ubiquitously) covaried with these large changes in climate. With higher temperatures and moderately higher pCO(2) (similar to 400-600 ppm), the MCO has been suggested as a particularly appropriate analog for future climate scenarios, and for assessing the predictive accuracy of numerical climate models-the same models that are used to simulate future climate. Yet, Miocene conditions have proved difficult to reconcile with models. This implies either missing positive feedbacks in the models, a lack of knowledge of past climate forcings, or the need for re-interpretation of proxies, which might mitigate the model-data discrepancy. Our understanding of Miocene climatic, biogeochemical, and oceanic changes on broad spatial and temporal scales is still developing. New records documenting the physical, chemical, and biotic aspects of the Earth system are emerging, and together provide a more comprehensive understanding of this important time interval. Here, we review the state-of-the-art in Miocene climate, ocean circulation, biogeochemical cycling, ice sheet dynamics, and biotic adaptation research as inferred through proxy observations and modeling studies.</t>
  </si>
  <si>
    <t>[Steinthorsdottir, M.; Kiel, S.; Mors, T.] Swedish Museum Nat Hist, Dept Palaeobiol, Stockholm, Sweden; [Steinthorsdottir, M.; Coxall, H. K.; de Boer, A. M.; Barbolini, N.; Kiel, S.; Mors, T.] Stockholm Univ, Bolin Ctr Climate Res, Stockholm, Sweden; [Coxall, H. K.; de Boer, A. M.] Stockholm Univ, Dept Geol Sci, Stockholm, Sweden; [Huber, M.] Purdue Univ, Dept Earth Atmospher &amp; Planetary Sci, W Lafayette, IN 47907 USA; [Barbolini, N.] Stockholm Univ, Dept Ecol Environm &amp; Plant Sci, Stockholm, Sweden; [Bradshaw, C. D.] Univ Exeter, Global Syst Inst, Exeter, Devon, England; [Bradshaw, C. D.] Met Off Hadley Ctr, Exeter, Devon, England; [Burls, N. J.] George Mason Univ, Dept Atmospher Ocean &amp; Earth Sci, Fairfax, VA 22030 USA; [Burls, N. J.] George Mason Univ, Ctr Ocean Land Atmosphere Studies, Fairfax, VA 22030 USA; [Feakins, S. J.] Univ Southern Calif, Dept Earth Sci, Los Angeles, CA 90007 USA; [Gasson, E.; Lunt, D. J.] Univ Bristol, Sch Geog Sci, Bristol, Avon, England; [Henderiks, J.] Uppsala Univ, Dept Earth Sci, Uppsala, Sweden; [Holbourn, A. E.] Univ Kiel, Inst Geosci, Kiel, Germany; [Kohn, M. J.] Boise State Univ, Dept Geosci, Boise, ID 83725 USA; [Knorr, G.] Helmholtz Ctr Polar &amp; Marine Res, Alfred Wegener Inst, Bremerhaven, Germany; [Kurschner, W. M.] Univ Oslo, Dept Geosci, Oslo, Norway; [Lear, C. H.; Pearson, P. N.] Cardiff Univ, Sch Earth &amp; Ocean Sci, Cardiff, Wales; [Liebrand, D.] Univ Bremen, MARUM Ctr Marine &amp; Environm Sci, Bremen, Germany; [Pound, M. J.] Northumbria Univ, Dept Geog Environm Sci, Newcastle Upon Tyne, Tyne &amp; Wear, England; [Stoll, H.] Swiss Fed Inst Technol, Earth Sci Dept, Zurich, Switzerland; [Stromberg, C. A. E.] Univ Washington, Dept Biol, Seattle, WA 98195 USA; [Stromberg, C. A. E.] Univ Washington, Burke Museum Nat Hist &amp; Culture, Seattle, WA 98195 USA</t>
  </si>
  <si>
    <t>Swedish Museum of Natural History; Stockholm University; Purdue University System; Purdue University; Stockholm University; University of Exeter; Met Office - UK; Hadley Centre; George Mason University; George Mason University; Center for Ocean Land Atmosphere Studies; University of Southern California; University of Bristol; Uppsala University; University of Kiel; Idaho; Boise State University; Helmholtz Association; Alfred Wegener Institute, Helmholtz Centre for Polar &amp; Marine Research; University of Oslo; Cardiff University; University of Bremen; Northumbria University; Swiss Federal Institutes of Technology Domain; ETH Zurich; University of Washington; University of Washington Seattle; University of Washington; University of Washington Seattle</t>
  </si>
  <si>
    <t>Steinthorsdottir, M (corresponding author), Swedish Museum Nat Hist, Dept Palaeobiol, Stockholm, Sweden.;Steinthorsdottir, M (corresponding author), Stockholm Univ, Bolin Ctr Climate Res, Stockholm, Sweden.</t>
  </si>
  <si>
    <t>margret.steinthorsdottir@nrm.se</t>
  </si>
  <si>
    <t>Feakins, Sarah/K-4149-2012; Pearson, Paul N/B-2276-2009; De Boer, Agatha M/H-4202-2012; Barbolini, Natasha/JHV-1549-2023; Huber, Matthew/A-7677-2008; Kürschner, Wolfram Michael/B-4724-2009; Kiel, Steffen/C-3150-2009; Kohn, Matthew J/A-2562-2012; Lear, Caroline H/D-2582-2009; Henderiks, Jorijntje/JGL-6527-2023; Stoll, Heather/G-9066-2012; Lunt, Daniel/G-9451-2011</t>
  </si>
  <si>
    <t>Feakins, Sarah/0000-0003-3434-2423; Barbolini, Natasha/0000-0001-7121-3634; Huber, Matthew/0000-0002-2771-9977; Kürschner, Wolfram Michael/0000-0001-6883-6486; Kiel, Steffen/0000-0001-6281-100X; Stoll, Heather/0000-0002-2953-7835; Gasson, Edward/0000-0003-4653-6217; Coxall, Helen/0000-0002-2843-2898; Bradshaw, Catherine/0000-0003-4305-380X; Henderiks, Jorijntje/0000-0001-9486-6275; Burls, Natalie/0000-0002-6950-3808; Lunt, Daniel/0000-0003-3585-6928; Steinthorsdottir, Margret/0000-0002-7893-1142; De Boer, Agatha/0000-0002-3943-7694</t>
  </si>
  <si>
    <t>Bolin Center for Climate Research, Stockholm University; Swedish Research Council [2018-06,618, NT7-2016 04,905, 2016-03,912, 2016-04,434]; United States National Science Foundation (NSF) [1602905]; Atmospheric and Geospace Sciences program - Alfred P. Sloan Foundation; Global Change, Sedimentary Geology &amp; Paleobiology, and Geobiology and Low-temperature Geochemistry programs [1349749, 1561027]; UK Natural Environment Research Council [NE/P019102]; Royal Society fellowship; Division Of Ocean Sciences; Directorate For Geosciences [1602905] Funding Source: National Science Foundation</t>
  </si>
  <si>
    <t>Bolin Center for Climate Research, Stockholm University; Swedish Research Council(Swedish Research Council); United States National Science Foundation (NSF)(National Science Foundation (NSF)); Atmospheric and Geospace Sciences program - Alfred P. Sloan Foundation; Global Change, Sedimentary Geology &amp; Paleobiology, and Geobiology and Low-temperature Geochemistry programs; UK Natural Environment Research Council(UK Research &amp; Innovation (UKRI)Natural Environment Research Council (NERC)); Royal Society fellowship(Royal Society); Division Of Ocean Sciences; Directorate For Geosciences(National Science Foundation (NSF)NSF - Directorate for Geosciences (GEO))</t>
  </si>
  <si>
    <t>The initial workshops that catalyzed this project were supported by The Bolin Center for Climate Research, Stockholm University, and the Swedish Research Council (Conference Grant nr. 2018-06,618 to M. Steinthorsdottir). The authors acknowledge funding from: the Swedish Research Council (VR starting grant nr. NT7-2016 04,905 to M. Steinthorsdottir; VR grants nr. 2016-03,912 to A. M. de Boer and nr. 2016-04,434 to J. Henderiks); the United States National Science Foundation (NSF), through the P2C2 program grant nr. 1602905 to M. Huber, the Atmospheric and Geospace Sciences program grant nr. to N.J.B (who is also supported by the Alfred P. Sloan Foundation as a Research Fellow), and the Global Change, Sedimentary Geology &amp; Paleobiology, and Geobiology and Low-temperature Geochemistry programs grant nrs. 1349749 and1561027 to M. J. Kohn; and the UK Natural Environment Research Council (grant NE/P019102) to C. H. Lear. E. Gasson acknowledges funding from a Royal Society fellowship. Clara Bolton, Peter Bijl, Daniel Breecker, Jeremy Caves Rugenstein, Florence Collioni, Mikael Fortelius, David Lazarus, Eelco Rohling, Francesca Sangiorgi, Maria Seton, Erik Skovbjerg Rasmussen, Appy Sluijs, Lars Werdelin, and Zhongshi Zhang are thanked for their useful comments with respect to Figure 1. M. Huber acknowledges assistance in Miocene work from Nick Herold and Ashley Dicks. No new data were created for this study, and all reviewed data sets are available through the cited original papers. The authors declare no conflict of interest.</t>
  </si>
  <si>
    <t>e2020PA004037</t>
  </si>
  <si>
    <t>10.1029/2020PA004037</t>
  </si>
  <si>
    <t>WOS:000644566400021</t>
  </si>
  <si>
    <t>Ruppel, AS; Jacobs, J; Läufer, A; Ratschbacher, L; Pfänder, JA; Sonntag, BL; Krasniqi, K; Elburg, M; Krohne, N; Damaske, D; Lisker, F</t>
  </si>
  <si>
    <t>Ruppel, Antonia S.; Jacobs, Joachim; Laeufer, Andreas; Ratschbacher, Lothar; Pfaender, Joerg A.; Sonntag, Benita-Lisette; Krasniqi, Katarzyna; Elburg, Marlina; Krohne, Nicole; Damaske, Detlef; Lisker, Frank</t>
  </si>
  <si>
    <t>Protracted late Neoproterozic - early Palaeozoic deformation and cooling history of Sor Rondane, East Antarctica, from 40Ar/39Ar and U-Pb geochronology</t>
  </si>
  <si>
    <t>GEOLOGICAL MAGAZINE</t>
  </si>
  <si>
    <t>U-Pb zircon geochronology; cooling history; accretionary orogen; Dronning Maud Land; Main Shear Zone; East African-Antarctic Orogen; Ar/Ar geochronology</t>
  </si>
  <si>
    <t>DRONNING MAUD LAND; AGE MEASUREMENTS; FISSION-TRACK; MOUNTAINS; METAMORPHISM; EVOLUTION; TECTONICS; EVENTS; ROCKS; CONTINUATION</t>
  </si>
  <si>
    <t>40Ar/39Ar and U-Pb data from five structural domains constrain the late Neoproterozoic - early Palaeozoic tectonothermal history of the eastern part of the East African-Antarctic Orogen in Sor Rondane. A total of 27 new Ar/Ar ages span 570-474 Ma, roughly corresponding to the age range of three generations of syn- to post-tectonic granitoids. The ages are distinct for the five structural domains. The oldest cooling ages come from the weakly deformed southern part of the SW Terrane of Sor Rondane (SW Terrane S), a sliver of a Tonian island arc, which escaped much of the late Neoproterozoic accretionary deformation. This terrane was intruded by the oldest and largest granitoid complex at c. 640-620 Ma. The oldest Ar/Ar amphibole and biotite ages of 570-524 Ma are from the Main Shear Zone, along the northern margin of the SW Terrane S sliver. It hosts granites of age c. 584-570 Ma strung out along the shear zone. Two younger granitoid phases are recorded in the adjacent four terranes to the west, north and east of the SW Terrane S, and correlate with the younger group of Ar/Ar biotite ages spanning 513-474 Ma. We interpret the magmatic and cooling history of duration &gt; 150 Ma to reflect repeated phases of accretion, magmatism and reactivation, that is, collage-style tectonism, partly pre-dating the incorporation of Sor Rondane into Gondwana. The study area first accreted to the cryptic Valkyrie Craton in Tonian times, was then 'sandwiched' between the Kalahari and Indo-Antarctica cratons, and experienced extensional tectonics and elevated heat flux due to lithospheric delamination, which resulted in slow cooling during the Pan-African Orogeny.</t>
  </si>
  <si>
    <t>[Ruppel, Antonia S.; Laeufer, Andreas; Krasniqi, Katarzyna; Damaske, Detlef] Fed Inst Geosci &amp; Nat Resources BGR, Stilleweg 2, D-30655 Hannover, Germany; [Jacobs, Joachim] Univ Bergen, Dept Earth Sci, POB 7800, N-5020 Bergen, Norway; [Ratschbacher, Lothar; Pfaender, Joerg A.; Sonntag, Benita-Lisette] TU Bergakad Freiberg, D-09599 Freiberg, Germany; [Elburg, Marlina] Univ Johannesburg, POB 524, ZA-2006 Johannesburg, South Africa; [Krohne, Nicole; Lisker, Frank] Nivers Bremen, Klagenfurter Str 2, D-28359 Bremen, Germany</t>
  </si>
  <si>
    <t>University of Bergen; Technical University Freiberg; University of Johannesburg</t>
  </si>
  <si>
    <t>Ruppel, AS (corresponding author), Fed Inst Geosci &amp; Nat Resources BGR, Stilleweg 2, D-30655 Hannover, Germany.</t>
  </si>
  <si>
    <t>antonia.ruppel@bgr.de</t>
  </si>
  <si>
    <t>Ratschbacher, Lothar/JJF-0555-2023</t>
  </si>
  <si>
    <t>Ratschbacher, Lothar/0000-0001-9960-2084; Ruppel, Antonia/0000-0001-5101-411X; Elburg, Marlina/0000-0001-7154-1910</t>
  </si>
  <si>
    <t>Deutsche Forschungsgemeinschaft (DFG) [SPP 1158, LA1080/9, LI 745/15]; NRF-SANAP [SNA2011110200002]; NFR-NARE</t>
  </si>
  <si>
    <t>Deutsche Forschungsgemeinschaft (DFG)(German Research Foundation (DFG)); NRF-SANAP; NFR-NARE</t>
  </si>
  <si>
    <t>This study was part of the collaborative research program 'Geodynamic Evolution of East Antarctica' (GEA) of the German Federal Institute of Geosciences and Natural Resources (BGR) and 'West/East Gondwana Amalgamation and Separation' (WEGAS) of the Alfred Wegener Institute, Helmholtz Centre for Polar and Marine Research (AWI). JJ, ME and NK are indebted to BGR for the invitation to participate in the expeditions and to AWI for providing polar equipment. We would like to express our thanks to Alain Hubert and his team at the Belgian Princess Elisabeth station for the productive and enjoyable time there and support in the field. Many thanks go also to the crew of Sky Heli, Germany, who took the geological party safely to the field and back to the station. B. Sperner and M. Ehrenfels are thanked for their contributions to the Ar/Ar dating at Freiberg, and M. Hofmann and U. Linnemann gave access to the Senckenberg Laboratories, Dresden. Part of this study was financially supported by Deutsche Forschungsgemeinschaft (DFG) within the frame of the Collaborative Research Programme SPP 1158 (grants LA1080/9 to AL and LI 745/15 to FL) 'Antarctic Research with comparative investigations in Arctic ice areas'. ME received an NRF-SANAP grant SNA2011110200002 and JJ was supported by NFR-NARE.</t>
  </si>
  <si>
    <t>0016-7568</t>
  </si>
  <si>
    <t>1469-5081</t>
  </si>
  <si>
    <t>GEOL MAG</t>
  </si>
  <si>
    <t>Geol. Mag.</t>
  </si>
  <si>
    <t>PII S0016756820000746</t>
  </si>
  <si>
    <t>10.1017/S0016756820000746</t>
  </si>
  <si>
    <t>RA6IN</t>
  </si>
  <si>
    <t>WOS:000631520600004</t>
  </si>
  <si>
    <t>Gabriel, SM; Patterson, TA; Eveson, JP; Semmens, JM; Harasti, D; Butcher, PA; Spaet, JLY; Bradford, RW</t>
  </si>
  <si>
    <t>Gabriel, Sofia M.; Patterson, T. A.; Eveson, J. P.; Semmens, J. M.; Harasti, D.; Butcher, P. A.; Spaet, J. L. Y.; Bradford, R. W.</t>
  </si>
  <si>
    <t>Determining effective acoustic array design for monitoring presence of white sharks Carcharodon carcharias in nearshore habitats</t>
  </si>
  <si>
    <t>ULTRASONIC TELEMETRY; MOVEMENT PATTERNS; PERFORMANCE; TRACKING; RECEIVERS; RIVERINE</t>
  </si>
  <si>
    <t>Inferences regarding animal presence from passive acoustic receiver arrays are driven by the spatial configuration of receivers. Large, dense arrays provide more information, but maintenance of multiple receivers is costly. Configuring acoustic receiver arrays to maximise coverage while minimising cost is therefore paramount. This study used data from a dense acoustic receiver array within a white shark Carcharodon carcharias nursery area on the east coast of Australia to assess how detection data of tagged white sharks in the area was affected by reducing the array size. Receivers were sub-sampled post hoc by simple random sampling, clustered random sampling, and sampling of the top performing receivers. Using the top performing receivers, array size could be reduced by 60% (10 out of 25 receivers) while still detecting a median of 100% of white sharks detected with the full array. With random and clustered sampling methods, a 40% reduction in array size (15 out of 25 receivers) detected a median of 100% of sharks. Reducing the array size by 60% using the top performing receivers resulted in a 35% decrease in the median number of detections per visit of the tagged sharks (67 out of 102.5 detections). In comparison, reducing the array by the same amount with random and clustered sampling methods resulted in a 57% decrease (44 out of 102.5 detections). The post hoc sampling methods used in this study are an empirical approach for optimising placement of limited receiver resources with broad application for establishing cost-effective monitoring.</t>
  </si>
  <si>
    <t>[Gabriel, Sofia M.] Univ Tasmania, Inst Marine &amp; Antarctic Studies, Quantitat Marine Sci Program, Private Bag 49, Hobart, Tas 7001, Australia; [Gabriel, Sofia M.; Patterson, T. A.; Eveson, J. P.; Bradford, R. W.] CSIRO Oceans &amp; Atmosphere, GPO Box 1538, Hobart, Tas 7001, Australia; [Gabriel, Sofia M.; Semmens, J. M.] Univ Tasmania, Fisheries &amp; Aquaculture Ctr, Inst Marine &amp; Antarctic Studies, Private Bag 49, Hobart, Tas 7001, Australia; [Harasti, D.] Port Stephens Fisheries Inst, NSW Dept Primary Ind, Fisheries Res, Taylors Beach, NSW 2316, Australia; [Butcher, P. A.] Natl Marine Sci Ctr, NSW Dept Primary Ind, Fisheries Res, Coffs Harbour, NSW 2450, Australia; [Butcher, P. A.] Southern Cross Univ, Coffs Harbour, NSW 2450, Australia; [Spaet, J. L. Y.] Univ Cambridge, Dept Zool, Evolutionary Ecol Grp, Cambridge CB2 3EJ, England</t>
  </si>
  <si>
    <t>University of Tasmania; Commonwealth Scientific &amp; Industrial Research Organisation (CSIRO); University of Tasmania; NSW Department of Primary Industries; NSW Department of Primary Industries; Southern Cross University; Southern Cross University; University of Cambridge</t>
  </si>
  <si>
    <t>Gabriel, SM (corresponding author), Univ Tasmania, Inst Marine &amp; Antarctic Studies, Quantitat Marine Sci Program, Private Bag 49, Hobart, Tas 7001, Australia.;Gabriel, SM (corresponding author), CSIRO Oceans &amp; Atmosphere, GPO Box 1538, Hobart, Tas 7001, Australia.;Gabriel, SM (corresponding author), Univ Tasmania, Fisheries &amp; Aquaculture Ctr, Inst Marine &amp; Antarctic Studies, Private Bag 49, Hobart, Tas 7001, Australia.</t>
  </si>
  <si>
    <t>sofia.gabriel@utas.edu.au</t>
  </si>
  <si>
    <t>Butcher, Paul/T-4367-2019; Eveson, Paige/A-1472-2012; Patterson, Toby A/B-3836-2011; Bradford, Russell/N-3442-2015; Spaet, Julia/A-4263-2015</t>
  </si>
  <si>
    <t>Butcher, Paul/0000-0001-7338-6037; Eveson, Paige/0000-0002-1560-2093; Bradford, Russell/0000-0003-0291-3180; Gabriel, Sofia/0000-0003-0487-6133; Harasti, David/0000-0002-2851-9838; Semmens, Jayson/0000-0003-1742-6692; Patterson, Toby/0000-0002-7150-9205; Spaet, Julia/0000-0001-8703-1472</t>
  </si>
  <si>
    <t>CSIRO; Australian Government's National Environmental Science Programme NESP through the Marine Biodiversity Hub; CSIRO-UTAS Quantitative Marine Sciences PhD Program, Institute for Marine and Antarctic Studies, University of Tasmania, Hobart, Tasmania, Australia</t>
  </si>
  <si>
    <t>CSIRO(Commonwealth Scientific &amp; Industrial Research Organisation (CSIRO)); Australian Government's National Environmental Science Programme NESP through the Marine Biodiversity Hub(Australian Government); CSIRO-UTAS Quantitative Marine Sciences PhD Program, Institute for Marine and Antarctic Studies, University of Tasmania, Hobart, Tasmania, Australia</t>
  </si>
  <si>
    <t>This work was jointly funded by the CSIRO and the Australian Government's National Environmental Science Programme NESP through the Marine Biodiversity Hub (Project A3: https://www.nespm arine. edu.au/project/project-a3-national-asses sment-status-white-sharks). Sofia Gabriel was funded through the CSIRO-UTAS Quantitative Marine Sciences PhD Program, Institute for Marine and Antarctic Studies, University of Tasmania, Hobart, Tasmania, Australia.</t>
  </si>
  <si>
    <t>10.1007/s00227-021-03850-x</t>
  </si>
  <si>
    <t>RA5MU</t>
  </si>
  <si>
    <t>WOS:000631463400001</t>
  </si>
  <si>
    <t>Shan, GQ; Xiang, Q; Feng, XM; Wu, W; Yang, LP; Zhu, LY</t>
  </si>
  <si>
    <t>Shan, Guoqiang; Xiang, Qian; Feng, Xuemin; Wu, Wei; Yang, Liping; Zhu, Lingyan</t>
  </si>
  <si>
    <t>Occurrence and sources of per- and polyfluoroalkyl substances in the ice-melting lakes of Larsemann Hills, East Antarctica</t>
  </si>
  <si>
    <t>Antarctica; Ice-melting lake; PFASs; PFOA; 6:2 Cl-PFESA; Sources</t>
  </si>
  <si>
    <t>PERFLUOROALKYL SUBSTANCES; SNOW; ATLANTIC; AIR; ENVIRONMENT; ATMOSPHERE; ISLAND; WATER; PFOA; FATE</t>
  </si>
  <si>
    <t>The contamination and sources of per- and polyfluoroalkyl substances (PFASs) in the Antarctic continent have not been systematically investigated. In this study, 21 PFASs including some new emerging one, were measured in the surface waters collected from 21 ice-melting lakes next to the research stations in Larsemann Hills, East Antarctica (EA). All the PFASs had a median concentration lower than 26.7 pg/L, representing the background levels in EA. The contamination of PFASs in EA was generally lower than in West Antarctica (WA), which might be due to the less on-site human activities in EA than in WA. In the ice-melting lakes, perfluorooctane acid (PFOA) was predominant, and its concentrations in several lakes close to the research stations in EA could be up to 458 pg/L. For the first time, an emerging substitute of perfluorooctane sulfate (PFOS), 6:2 chlorinated polyfluorinated ether sulfonate (Cl-PFESA), was detected in several of the samples. Source apportionment methods including isomer profiling were applied, and the results collectively indicated that the PFASs in the melting lakes in EA were mainly derived from airborne input, but local discharge might also contribute to PFOA in some lakes. The results of this study supplied information about the sources of PFASs in Antarctica, and suggested that caution should be taken in future to control the local discharge due to increasing human activities in EA. (C) 2021 Elsevier B.V. All rights reserved.</t>
  </si>
  <si>
    <t>[Shan, Guoqiang; Xiang, Qian; Feng, Xuemin; Wu, Wei; Yang, Liping; Zhu, Lingyan] Nankai Univ, Coll Environm Sci &amp; Engn, Tianjin Key Lab Environm Remediat &amp; Pollut Contro, Key Lab Pollut Proc &amp; Environm Criteria,Minist Ed, Tianjin 300350, Peoples R China</t>
  </si>
  <si>
    <t>Nankai University</t>
  </si>
  <si>
    <t>Zhu, LY (corresponding author), Nankai Univ, Coll Environm Sci &amp; Engn, Tianjin Key Lab Environm Remediat &amp; Pollut Contro, Key Lab Pollut Proc &amp; Environm Criteria,Minist Ed, Tianjin 300350, Peoples R China.</t>
  </si>
  <si>
    <t>zhuly@nankai.edu.cn</t>
  </si>
  <si>
    <t>yang, liping/HPC-6457-2023</t>
  </si>
  <si>
    <t>yang, liping/0000-0002-9783-8453</t>
  </si>
  <si>
    <t>Natural Science Foundation of China [NSFC 41991313, 21737003]; Ministry of Science and Technology of the People's Republic of China [2019YFC1804203, 2018YFC1801003]; 111 program, Ministry of Education of China [T2017002]; Yangtze River scholar program; Chinese Arctic and Antarctic Administration</t>
  </si>
  <si>
    <t>Natural Science Foundation of China(National Natural Science Foundation of China (NSFC)); Ministry of Science and Technology of the People's Republic of China(Ministry of Science and Technology, China); 111 program, Ministry of Education of China; Yangtze River scholar program; Chinese Arctic and Antarctic Administration</t>
  </si>
  <si>
    <t>We gratefully acknowledge financial support from the Natural Science Foundation of China (NSFC 41991313, 21737003) , Ministry of Science and Technology of the People's Republic of China (2019YFC1804203, 2018YFC1801003) , the 111 program, Ministry of Education of China (T2017002) , and Yangtze River scholar program. We express our sincere gratitude to Dr. Minghong Cai, Dr. Hongyuan Zheng from Ministry of Natural Resources Key Laboratory for Polar Sciences, Polar Research Institute of China, and all the members of the 32nd Chinese National Antarctic Research Expedition and the support from the Chinese Arctic and Antarctic Administration.</t>
  </si>
  <si>
    <t>AUG 10</t>
  </si>
  <si>
    <t>10.1016/j.scitotenv.2021.146747</t>
  </si>
  <si>
    <t>MAR 2021</t>
  </si>
  <si>
    <t>SJ6BQ</t>
  </si>
  <si>
    <t>WOS:000655618600016</t>
  </si>
  <si>
    <t>Singh, RK; Gupta, AK; Das, M; Flower, BP</t>
  </si>
  <si>
    <t>Singh, Raj K.; Gupta, Anil K.; Das, Moumita; Flower, Benjamin P.</t>
  </si>
  <si>
    <t>Paleoceanographic turnovers during the Plio-Pleistocene in the southeastern Indian Ocean: Linkages with Northern Hemisphere glaciation and Indian Monsoon variability</t>
  </si>
  <si>
    <t>PALAEOGEOGRAPHY PALAEOCLIMATOLOGY PALAEOECOLOGY</t>
  </si>
  <si>
    <t>ODP Site 752; ODP Site 757; Mixed-layer; Thermocline; Indonesian Throughflow; Antarctic Intermediate Water</t>
  </si>
  <si>
    <t>SEA BENTHIC FORAMINIFERA; INDONESIAN THROUGHFLOW; SPECIES-DIVERSITY; LATE NEOGENE; ARABIAN SEA; WATER CIRCULATION; BIOGENIC BLOOM; HEAT-TRANSPORT; CLIMATE-CHANGE; ASIAN MONSOON</t>
  </si>
  <si>
    <t>Earth experienced warm temperatures during the Pliocene followed by a substantial cooling that culminated in an ice age climate at the beginning of the Pleistocene. This warmth had a significant impact on global environments and ocean circulation. The collision of the Indian and Eurasian plates further amplified this climatic pattern. The southern Indian Ocean was severely impacted by these changes in ocean circulation and climatic pattern during the Plio-Pleistocene. We reconstruct paleoceanographic turnovers in the southeastern Indian Ocean during the Plio-Pleistocene using benthic foraminiferal assemblages from ODP Sites 752 and 757, combined with relative abundances of selected planktic foraminiferal species and stable isotope ratios (delta O-18 and delta C-13) of surface-dwelling and thermocline planktic foraminifera from Site 757. The influence of southern source Antarctic Intermediate Water (AAIW) since 4.5 Ma is marked by fluctuations in productivity till the intensification of the Northern Hemisphere glaciation (NHG) at similar to 3 Ma. Our isotopic data provide no evidence for cooling during the 4-3 Ma interval either for upper (Gs. ruber) or lower (M. menardii) mixed-layer waters, at a time when a switch in the source of the Indonesian Throughflow may have occurred. The increased mixed-layer species abundances since 4 Ma suggest oligotrophic conditions at low-latitude Site 757 due to thick mixed-layer coinciding with the constriction of the Indonesian Gateway and intensification of the NHG. The intensification of the NHG and monsoon seasonality caused an enhanced inflow of AAIW in the southeastern Indian Ocean since similar to 2.5 Ma.</t>
  </si>
  <si>
    <t>[Singh, Raj K.] Indian Inst Technol, Sch Earth Ocean &amp; Climate Sci, Bhubaneswar 752050, Odisha, India; [Gupta, Anil K.] Indian Inst Technol, Dept Geol &amp; Geophys, Kharagpur 721302, W Bengal, India; [Das, Moumita] Banaras Hindu Univ, Geol Sect, Mahila Mahavidyalaya, Varanasi 221005, Uttar Pradesh, India; [Flower, Benjamin P.] Univ S Florida, Coll Marine Sci, 140 7th Ave South, St Petersburg, FL 33701 USA</t>
  </si>
  <si>
    <t>Indian Institute of Technology System (IIT System); Indian Institute of Technology (IIT) - Bhubaneswar; Indian Institute of Technology System (IIT System); Indian Institute of Technology (IIT) - Kharagpur; Banaras Hindu University (BHU); State University System of Florida; University of South Florida</t>
  </si>
  <si>
    <t>Singh, RK (corresponding author), Indian Inst Technol, Sch Earth Ocean &amp; Climate Sci, Bhubaneswar 752050, Odisha, India.</t>
  </si>
  <si>
    <t>rksingh@iitbbs.ac.in; anilg@gg.iitkgp.ac.in; mdas.mmv@bhu.ac.in</t>
  </si>
  <si>
    <t>SINGH, RAJ K./ABE-4793-2021; SINGH, RAJ K./HGE-7393-2022</t>
  </si>
  <si>
    <t>SINGH, RAJ K./0000-0003-2900-7145; SINGH, RAJ K./0000-0003-2900-7145</t>
  </si>
  <si>
    <t>Council of Scientific and Industrial Research (CSIR), New Delhi [24(0256)/02/EMR-II]; Department of Science and Technology, New Delhi [SR/S2/JCB-80/2011]; DST WOS-A project [SR/WOS-A/ES12/2014(G)]</t>
  </si>
  <si>
    <t>Council of Scientific and Industrial Research (CSIR), New Delhi(Council of Scientific &amp; Industrial Research (CSIR) - India); Department of Science and Technology, New Delhi(Department of Science &amp; Technology (India)); DST WOS-A project</t>
  </si>
  <si>
    <t>The Ocean Drilling Program is thankfully acknowledged for providing core samples to AKG for the present study (ODP Request 13626). The Council of Scientific and Industrial Research (CSIR), New Delhi provided financial support to AKG (No. 24(0256)/02/EMR-II) and RKS. RKS acknowledges IIT Bhubaneswar for infrastructural support. AKG thanks the Department of Science and Technology, New Delhi for funding under J.C. Bose fellowship (Grant no. SR/S2/JCB-80/2011). MD acknowledges MMV, BHU and DST WOS-A project: SR/WOS-A/ES12/2014(G). The stable isotope data were generated at USF, USA under a collaboration, which AKG initiated with the late Benjamin Flower in the year 2002. Ethan A. Goddard is gratefully acknowledged for analysing the isotope data at USF, USA and providing the relevant information. Amelia E. Shevenell of USF, USA is acknowledged for her support. We are grateful to Editor-in-Chief Thomas Algeo, Editor Isabel Montanez, Guest Editor A. D. Singh and reviewer Ann Holbourn and one anonymous reviewer for their constructive suggestions that significantly improved the manuscript. Correspondence and requests for the data should be addressed to RKS (rksingh@iitbbs.ac.in) or AKG (anilg@gg.iitkgp.ac.in).The data can also be accessed at DOI:10.17632/5vcz92gscr.1</t>
  </si>
  <si>
    <t>0031-0182</t>
  </si>
  <si>
    <t>1872-616X</t>
  </si>
  <si>
    <t>PALAEOGEOGR PALAEOCL</t>
  </si>
  <si>
    <t>Paleogeogr. Paleoclimatol. Paleoecol.</t>
  </si>
  <si>
    <t>10.1016/j.palaeo.2021.110374</t>
  </si>
  <si>
    <t>Geography, Physical; Geosciences, Multidisciplinary; Paleontology</t>
  </si>
  <si>
    <t>Physical Geography; Geology; Paleontology</t>
  </si>
  <si>
    <t>RS3MF</t>
  </si>
  <si>
    <t>WOS:000643685200013</t>
  </si>
  <si>
    <t>Halberstadt, ARW; Chorley, H; Levy, RH; Naish, T; DeConto, RM; Gasson, E; Kowalewski, DE</t>
  </si>
  <si>
    <t>Halberstadt, Anna Ruth W.; Chorley, Hannah; Levy, Richard H.; Naish, Timothy; DeConto, Robert M.; Gasson, Edward; Kowalewski, Douglas E.</t>
  </si>
  <si>
    <t>CO2 and tectonic controls on Antarctic climate and ice-sheet evolution in the mid-Miocene</t>
  </si>
  <si>
    <t>Miocene; Antarctic ice sheet; ice sheet model; climate model; Transantarctic Mountain uplift</t>
  </si>
  <si>
    <t>ROSS SEA; TRANSANTARCTIC MOUNTAINS; LANDSCAPE EVOLUTION; CONTINENTAL-SHELF; ATMOSPHERIC CO2; GLACIAL HISTORY; UPLIFT; ONSET; CORE</t>
  </si>
  <si>
    <t>Antarctic ice sheet and climate evolution during the mid-Miocene has direct relevance for understanding ice sheet (in)stability and the long-term response to elevated atmospheric CO2 in the future. Geologic records reconstruct major fluctuations in the volume and extent of marine and terrestrial ice during the mid-Miocene, revealing a dynamic Antarctic ice-sheet response to past climatic variations. We use an ensemble of climate - ice sheet - vegetation model simulations spanning a range of CO2 concentrations, Transantarctic Mountain uplift scenarios, and glacial/interglacial climatic conditions to identify climate and ice-sheet conditions consistent with Antarctic mid-Miocene terrestrial and marine geological records. We explore climatic variability at both continental and regional scales, focusing specifically on Victoria Land and Wilkes Land Basin regions using a high-resolution nested climate model over these domains. We find that peak warmth during the Miocene Climate Optimum is characterized by a thick terrestrial ice sheet receded from the coastline under high CO2 concentrations. During the Middle Miocene Climate Transition, CO2 episodically dropped below a threshold value for marine-based ice expansion. Comparison of model results with geologic data support ongoing Transantarctic Mountain uplift throughout the mid-Miocene. Modeled ice sheet dynamics over the Wilkes Land Basin were highly sensitive to CO2 concentrations. This work provides a continental-wide context for localized geologic paleoclimate and vegetation records, integrating multiple datasets to reconstruct snapshots of ice sheet and climatic conditions during a pivotal period in Earth's history. (C) 2021 Elsevier B.V. All rights reserved.</t>
  </si>
  <si>
    <t>[Halberstadt, Anna Ruth W.; DeConto, Robert M.] Univ Massachusetts, Climate Syst Res Ctr, Amherst, MA 01003 USA; [Chorley, Hannah; Levy, Richard H.; Naish, Timothy] Victoria Univ Wellington, Antarctic Res Ctr, Wellington 6012, New Zealand; [Levy, Richard H.] GNS Sci, Lower Hutt 5040, New Zealand; [Gasson, Edward] Univ Bristol, Sch Geog Sci, Bristol, Avon, England; [Kowalewski, Douglas E.] Worcester State Univ, Dept Earth Environm &amp; Phys, Worcester, MA 01602 USA</t>
  </si>
  <si>
    <t>University of Massachusetts System; University of Massachusetts Amherst; Victoria University Wellington; GNS Science - New Zealand; University of Bristol; Massachusetts System of Public Higher Education; Worcester State University</t>
  </si>
  <si>
    <t>Halberstadt, ARW (corresponding author), Univ Massachusetts, Climate Syst Res Ctr, Amherst, MA 01003 USA.</t>
  </si>
  <si>
    <t>ahalberstadt@umass.edu</t>
  </si>
  <si>
    <t>Halberstadt, Anna Ruth/JPW-9990-2023</t>
  </si>
  <si>
    <t>Kowalewski, Douglas/0000-0002-7847-026X; Halberstadt, Anna Ruth/0000-0003-2582-7074</t>
  </si>
  <si>
    <t>US National Science Foundation [ICER 1664013]; US Antarctic Program; New Zealand Ministry of Business, Innovation and Employment through the Past Antarctic Science Programme [C05X1001]; Antarctic Science Platform [ANTA1801]; Victoria University of Wellington PhD scholarship; Royal Society [URF\R1\180317]; Antarctica New Zealand; [NSF-1638954]</t>
  </si>
  <si>
    <t>US National Science Foundation(National Science Foundation (NSF)); US Antarctic Program; New Zealand Ministry of Business, Innovation and Employment through the Past Antarctic Science Programme(New Zealand Ministry of Business, Innovation and Employment (MBIE)); Antarctic Science Platform; Victoria University of Wellington PhD scholarship; Royal Society(Royal Society); Antarctica New Zealand;</t>
  </si>
  <si>
    <t>We thank Joe Prebble and Sophie Warny for helpful guidance on pollen data interpretation. A.R.W.H. was supported US National Science Foundation Award ICER 1664013. The Friis Hills field season was supported by NSF-1638954, and the US Antarctic Program and Antarctica New Zealand. Funding support for R.L., T.N., and H.C. was provided by the New Zealand Ministry of Business, Innovation and Employment through the Past Antarctic Science Programme (C05X1001) and Antarctic Science Platform (ANTA1801). Additional support for H.C. was provided through a Victoria University of Wellington PhD scholarship. E.G. is supported by a Royal Society Fellowship grant URF\R1\180317.</t>
  </si>
  <si>
    <t>10.1016/j.epsl.2021.116908</t>
  </si>
  <si>
    <t>WOS:000645097600012</t>
  </si>
  <si>
    <t>Nagel, R; Stainfield, C; Fox-Clarke, C; Toscani, C; Forcada, J; Hoffman, JI</t>
  </si>
  <si>
    <t>Nagel, Rebecca; Stainfield, Claire; Fox-Clarke, Cameron; Toscani, Camille; Forcada, Jaume; Hoffman, Joseph I.</t>
  </si>
  <si>
    <t>Evidence for an Allee effect in a declining fur seal population</t>
  </si>
  <si>
    <t>PROCEEDINGS OF THE ROYAL SOCIETY B-BIOLOGICAL SCIENCES</t>
  </si>
  <si>
    <t>Allee effect; density dependence; offspring mortality; body condition; pinniped; Antarctic fur seal (Arctocephalus gazella)</t>
  </si>
  <si>
    <t>Allee effects play an important role in the dynamics of many populations and can increase the risk of local extinction. However, some authors have questioned the weight of evidence for Allee effects in wild populations. We therefore exploited a natural experiment provided by two adjacent breeding colonies of contrasting density to investigate the potential for Allee effects in an Antarctic fur seal (Arctocephalus gazella) population that is declining in response to climate change-induced reductions in food availability. Biometric time-series data were collected from 25 pups per colony during two consecutive breeding seasons, the first of which was among the worst on record in terms of breeding female numbers, pup birth weights and foraging trip durations. In previous decades when population densities were higher, pup mortality was consistently negatively density dependent, with rates of trauma and starvation scaling positively with density. However, we found the opposite, with higher pup mortality at low density and the majority of deaths attributable to predation. In parallel, body condition was depressed at low density, particularly in the poor-quality season. Our findings shed light on Allee effects in wild populations and highlight a potential emerging role of predators in the ongoing decline of a pinniped species.</t>
  </si>
  <si>
    <t>[Nagel, Rebecca; Hoffman, Joseph I.] Bielefeld Univ, Dept Anim Behav, D-33501 Bielefeld, Germany; [Stainfield, Claire; Fox-Clarke, Cameron; Toscani, Camille; Forcada, Jaume; Hoffman, Joseph I.] British Antarctic Survey, Madingley Rd, Cambridge CB3 0ET, England</t>
  </si>
  <si>
    <t>University of Bielefeld; UK Research &amp; Innovation (UKRI); Natural Environment Research Council (NERC); NERC British Antarctic Survey</t>
  </si>
  <si>
    <t>Nagel, R (corresponding author), Bielefeld Univ, Dept Anim Behav, D-33501 Bielefeld, Germany.</t>
  </si>
  <si>
    <t>rebecca.nagel@uni-bielefeld.de</t>
  </si>
  <si>
    <t>Stainfield, Claire/KBB-0316-2024; Forcada, Jaume/GYU-0677-2022; Hoffman, Joseph/K-7725-2012</t>
  </si>
  <si>
    <t>Hoffman, Joseph/0000-0001-5895-8949; Nagel, Rebecca/0000-0002-2925-1028; Stainfield, Claire/0009-0009-6190-4058</t>
  </si>
  <si>
    <t>German Research Foundation (DFG) [SFB TRR 212, 316099922, 396774617]; Natural Environment Research Council, UKRI; NERC [bas0100035] Funding Source: UKRI</t>
  </si>
  <si>
    <t>German Research Foundation (DFG)(German Research Foundation (DFG)); Natural Environment Research Council, UKRI(UK Research &amp; Innovation (UKRI)Natural Environment Research Council (NERC)); NERC(UK Research &amp; Innovation (UKRI)Natural Environment Research Council (NERC))</t>
  </si>
  <si>
    <t>This research was funded by the German Research Foundation (DFG) as part of the SFB TRR 212 (NC3)-Project nos 316099922 and 396774617. It was also supported by core funding from the Natural Environment Research Council, UKRI, to the British Antarctic Survey's Ecosystems Programme.</t>
  </si>
  <si>
    <t>0962-8452</t>
  </si>
  <si>
    <t>1471-2954</t>
  </si>
  <si>
    <t>P ROY SOC B-BIOL SCI</t>
  </si>
  <si>
    <t>Proc. R. Soc. B-Biol. Sci.</t>
  </si>
  <si>
    <t>MAR 31</t>
  </si>
  <si>
    <t>10.1098/rspb.2020.2882</t>
  </si>
  <si>
    <t>Biology; Ecology; Evolutionary Biology</t>
  </si>
  <si>
    <t>Life Sciences &amp; Biomedicine - Other Topics; Environmental Sciences &amp; Ecology; Evolutionary Biology</t>
  </si>
  <si>
    <t>RC7PL</t>
  </si>
  <si>
    <t>Green Published, Bronze, Green Submitted, Green Accepted</t>
  </si>
  <si>
    <t>WOS:000632988100004</t>
  </si>
  <si>
    <t>Trotter, AJ; Vignier, J; Wilson, TK; Douglas, M; Adams, SL; King, N; Cunningham, MP; Carter, CG; Boudry, P; Petton, B; Dégremont, L; Smith, GG; Pernet, F</t>
  </si>
  <si>
    <t>Trotter, Andrew J.; Vignier, Julien; Wilson, Teresa K.; Douglas, Marianne; Adams, Serean L.; King, Nick; Cunningham, Matthew P.; Carter, Chris G.; Boudry, Pierre; Petton, Bruno; Degremont, Lionel; Smith, Greg G.; Pernet, Fabrice</t>
  </si>
  <si>
    <t>Case study of vertical transmission of ostreid herpesvirus-1 in Pacific oysters and biosecurity management based on epidemiological data from French, New Zealand and Australian hatchery-propagated seed</t>
  </si>
  <si>
    <t>AQUACULTURE RESEARCH</t>
  </si>
  <si>
    <t>biosecurity; Crassostrea gigas; epidemiology; ostreid herpesvirus (OsHV‐ 1) μ var; oyster farming; vertical transmission</t>
  </si>
  <si>
    <t>CRASSOSTREA-GIGAS SPAT; OSHV-1 MU-VAR; HORIZONTAL TRANSMISSION; MORTALITY; RESISTANCE; SURVIVAL; FRANCE; SIZE</t>
  </si>
  <si>
    <t>[Trotter, Andrew J.; Carter, Chris G.; Smith, Greg G.] Univ Tasmania, Inst Marine &amp; Antarctic Studies, Private Bag 49, Hobart, Tas 7001, Australia; [Vignier, Julien; Adams, Serean L.; King, Nick] Cawthron Inst, Nelson, New Zealand; [Wilson, Teresa K.; Douglas, Marianne] Dept Primary Ind Water &amp; Environm, Hlth Anim Lab, Launceston, Tas, Australia; [Cunningham, Matthew P.] Australian Seafood Ind Pty Ltd, Tasmanian Technopk, Glenorchy, Tas, Australia; [Boudry, Pierre] IFREMER, Dept Ressources Biol &amp; Environm, Plouzane, France; [Petton, Bruno; Pernet, Fabrice] Univ Brest, IFREMER, CNRS, IRD,LEMAR, Plouzane, France; [Degremont, Lionel] IFREMER, RBE SG2M LGPMM, La Tremblade, France</t>
  </si>
  <si>
    <t>University of Tasmania; Cawthron Institute; Australian Seafood Industries; Ifremer; Universite de Bretagne Occidentale; Centre National de la Recherche Scientifique (CNRS); Ifremer; Institut de Recherche pour le Developpement (IRD); Ifremer</t>
  </si>
  <si>
    <t>Trotter, AJ (corresponding author), Univ Tasmania, Inst Marine &amp; Antarctic Studies, Private Bag 49, Hobart, Tas 7001, Australia.</t>
  </si>
  <si>
    <t>andrew.trotter@utas.edu.au; julien.vignier@cawthron.org.nz</t>
  </si>
  <si>
    <t>Carter, Chris Guy/A-3438-2008; Pernet, Fabrice/B-4051-2008; Smith, Gregory/C-9263-2013; Boudry, Pierre/G-2406-2010</t>
  </si>
  <si>
    <t>Carter, Chris Guy/0000-0001-5210-1282; Pernet, Fabrice/0000-0001-8886-0184; Smith, Gregory/0000-0002-8677-1230; Bruno, Petton/0000-0002-4169-2811; Degremont, Lionel/0000-0001-6759-6791; Boudry, Pierre/0000-0002-5150-2276</t>
  </si>
  <si>
    <t>Future Oysters CRC-P [2016-801]; Sustainable Marine Research Collaboration Agreement (SMRCA); New Zealand's Ministry for Business Innovation and Employment [CAWX1801]; Agence Nationale de la Recherche (French National Research Agency); French 'Direction des peches maritimes et de l'aquaculture'</t>
  </si>
  <si>
    <t>Future Oysters CRC-P; Sustainable Marine Research Collaboration Agreement (SMRCA); New Zealand's Ministry for Business Innovation and Employment(New Zealand Ministry of Business, Innovation and Employment (MBIE)); Agence Nationale de la Recherche (French National Research Agency)(Agence Nationale de la Recherche (ANR)); French 'Direction des peches maritimes et de l'aquaculture'</t>
  </si>
  <si>
    <t>We thank Shellfish Culture Limited for providing OsHV-1 mu var screening results and hatchery records for the Australian data set. The Future Oysters CRC-P (2016-801) is acknowledged for supporting this research. The Sustainable Marine Research Collaboration Agreement (SMRCA) between the Department of Primary Industries, Parks, Water and Environment, Tasmania (DPIPWE), and the University of Tasmania is acknowledged for supporting ASI operations at IMAS. Justin Hulls of IMAS kindly prepared Figure 1. Moana New Zealand and Te Matuku Oysters are acknowledged for supplying broodstock oysters for Cawthron commercial oyster production, and New Zealand's Ministry for Business Innovation and Employment for supporting research through the Shellfish Aquaculture Platform (CAWX1801). Funding from the Agence Nationale de la Recherche (French National Research Agency) and the French 'Direction des peches maritimes et de l'aquaculture' is gratefully acknowledged.</t>
  </si>
  <si>
    <t>1355-557X</t>
  </si>
  <si>
    <t>1365-2109</t>
  </si>
  <si>
    <t>AQUAC RES</t>
  </si>
  <si>
    <t>Aquac. Res.</t>
  </si>
  <si>
    <t>10.1111/are.15219</t>
  </si>
  <si>
    <t>Fisheries</t>
  </si>
  <si>
    <t>TK7EU</t>
  </si>
  <si>
    <t>WOS:000635258400001</t>
  </si>
  <si>
    <t>Naughten, KA; De Rydt, J; Rosier, SHR; Jenkins, A; Holland, PR; Ridley, JK</t>
  </si>
  <si>
    <t>Naughten, Kaitlin A.; De Rydt, Jan; Rosier, Sebastian H. R.; Jenkins, Adrian; Holland, Paul R.; Ridley, Jeff K.</t>
  </si>
  <si>
    <t>Two-timescale response of a large Antarctic ice shelf to climate change</t>
  </si>
  <si>
    <t>SOUTHERN-OCEAN; EXPERIMENTAL-DESIGN; MODEL; SHEET; SEA; CAVITY; IMPACTS</t>
  </si>
  <si>
    <t>A potentially irreversible threshold in Antarctic ice shelf melting would be crossed if the ocean cavity beneath the large Filchner-Ronne Ice Shelf were to become flooded with warm water from the deep ocean. Previous studies have identified this possibility, but there is great uncertainty as to how easily it could occur. Here, we show, using a coupled ice sheet-ocean model forced by climate change scenarios, that any increase in ice shelf melting is likely to be preceded by an extended period of reduced melting. Climate change weakens the circulation beneath the ice shelf, leading to colder water and reduced melting. Warm water begins to intrude into the cavity when global mean surface temperatures rise by approximately 7 degrees C above pre-industrial, which is unlikely to occur this century. However, this result should not be considered evidence that the region is unconditionally stable. Unless global temperatures plateau, increased melting will eventually prevail. New simulations find that one of Antarctica's largest ice shelves, the Filchner-Ronne, may be less vulnerable to climate change than previously thought. Melting of the ice shelf initially decreases for many decades, and only increases when global warming exceeds approximately 7 degrees C.</t>
  </si>
  <si>
    <t>[Naughten, Kaitlin A.; Holland, Paul R.] British Antarctic Survey, Cambridge, England; [De Rydt, Jan; Rosier, Sebastian H. R.; Jenkins, Adrian] Northumbria Univ, Dept Geog &amp; Environm Sci, Newcastle Upon Tyne, Tyne &amp; Wear, England; [Ridley, Jeff K.] Met Off, Exeter, Devon, England</t>
  </si>
  <si>
    <t>UK Research &amp; Innovation (UKRI); Natural Environment Research Council (NERC); NERC British Antarctic Survey; Northumbria University; Met Office - UK</t>
  </si>
  <si>
    <t>Naughten, KA (corresponding author), British Antarctic Survey, Cambridge, England.</t>
  </si>
  <si>
    <t>kaight@bas.ac.uk</t>
  </si>
  <si>
    <t>Holland, Paul R/G-2796-2012; Jenkins, Adrian/IUN-2406-2023; De Rydt, Jan/H-5692-2018</t>
  </si>
  <si>
    <t>De Rydt, Jan/0000-0002-2978-8706; Jenkins, Adrian/0000-0002-9117-0616; Naughten, Kaitlin/0000-0001-9475-9162</t>
  </si>
  <si>
    <t>Filchner Ice Shelf System (FISS) project [NE/L013770/1]</t>
  </si>
  <si>
    <t>Filchner Ice Shelf System (FISS) project</t>
  </si>
  <si>
    <t>The authors are grateful to Hilmar Gudmundsson for developing and maintaining the ua source code, and to Keith Nicholls, Keith Makinson, and John King for helpful discussions while writing this manuscript. David Munday provided advice regarding the MITgcm salt budget analysis, and Markus Janout provided the PS111 observational data for model evaluation. Computational resources were provided by the ARCHER UK National Supercomputing Service as well as the JASMIN data analysis facility. This research is part of the Filchner Ice Shelf System (FISS) project NE/L013770/1.</t>
  </si>
  <si>
    <t>10.1038/s41467-021-22259-0</t>
  </si>
  <si>
    <t>RI4KV</t>
  </si>
  <si>
    <t>WOS:000636879000012</t>
  </si>
  <si>
    <t>Wood, AT; Taylor, RS; Quezada-Rodriguez, PR; Wynne, JW</t>
  </si>
  <si>
    <t>Wood, Andrew T.; Taylor, Richard S.; Quezada-Rodriguez, Petra R.; Wynne, James W.</t>
  </si>
  <si>
    <t>Hydrogen peroxide treatment of Atlantic salmon temporarily decreases oxygen consumption but has negligible effects on hypoxia tolerance and aerobic performance</t>
  </si>
  <si>
    <t>Salmo salar; Parasite treatment; Hydrogen peroxide; Amoebic gill disease; Caligus; Lepeophtheirus; Physiology</t>
  </si>
  <si>
    <t>AMEBIC GILL DISEASE; SUPEROXIDE-DISMUTASE; SALAR L.; CATALASE; STRESS; INTEGRATION; INFECTIONS; RELEVANCE; RESPONSES; PARASITES</t>
  </si>
  <si>
    <t>Hydrogen peroxide is widely used as a treatment of ectoparasite (e.g. salmon lice, amoebic gill disease) affected Atlantic salmon (Salmo salar) in aquaculture but has frequently caused unacceptable levels of mortality. Hydrogen peroxide toxicity increases with dose, exposure duration and temperature, and can cause an acute stress response, oxidative stress, gill damage, respiratory acidosis and altered gas and ion exchange. The combined stress effects have the potential to cause sub-lethal impacts on aerobic capacity that affects hypoxia tolerance and swimming performance. Here, we tested the sub-lethal effects of hydrogen peroxide treatment on the aerobic capacity, hypoxia tolerance and gill histopathology of healthy Atlantic salmon. Hydrogen peroxide treatment (1250 ppm at 12 degrees C for 20 min) caused a significant but negligible reduction in acute hypoxia tolerance (lost equilibrium at slightly higher levels of dissolved oxygen) immediately following treatment, but not in the 14 days afterwards. Immediately following hydrogen peroxide treatment (1250 ppm at 16 degrees C for 20 min) oxygen consumption was reduced for up to 20 min in normoxia and 40 min in hypoxia. However, following transient reductions in oxygen consumption the maximum metabolic rate and Ucrit measured in a swim flume were unaffected by hydrogen peroxide exposure (1250 ppm at 16 degrees C). Resting metabolic rate was unaffected by hydrogen peroxide treatment in all experiments. Hydrogen peroxide exposure caused non-homogenous lamellar epithelium lifting with subepithelial oedema and multi-focal lamellar fusion. The reduction in oxygen consumption following hydrogen peroxide treatment was likely caused by an increase in blood oxygen due to the breakdown of hydrogen peroxide by catalase and other oxidative enzymes in the fish tissues. Ultimately, hydrogen peroxide did not affect aerobic performance and had negligible impacts on hypoxia tolerance, suggesting that hydrogen peroxide has minimal sub-lethal impacts on aerobic performance of healthy Atlantic salmon at the doses used here.</t>
  </si>
  <si>
    <t>[Wood, Andrew T.; Taylor, Richard S.; Quezada-Rodriguez, Petra R.; Wynne, James W.] CSIRO Agr &amp; Food, Hobart, Tas 7001, Australia; [Quezada-Rodriguez, Petra R.] Univ Tasmania, Inst Marine &amp; Antarctic Studies, Launceston, Tas 7250, Australia</t>
  </si>
  <si>
    <t>Commonwealth Scientific &amp; Industrial Research Organisation (CSIRO); University of Tasmania</t>
  </si>
  <si>
    <t>Wood, AT (corresponding author), CSIRO Agr &amp; Food, Hobart, Tas 7001, Australia.</t>
  </si>
  <si>
    <t>Andrew.wood@csiro.au</t>
  </si>
  <si>
    <t>Taylor, Richard S/E-9961-2012; Quezada-Rodriguez, Petra R/O-7965-2018; Wynne, James W/H-7957-2013; Taylor, Richard S./T-7996-2019; Wood, Andrew/A-3837-2014</t>
  </si>
  <si>
    <t>Wynne, James W/0000-0001-6846-757X; Taylor, Richard S./0000-0003-0312-7317; Wood, Andrew/0000-0002-3351-8397</t>
  </si>
  <si>
    <t>Tassal Operations Pty. Ltd.; Commonwealth Scientific and Industrial Research Organisation</t>
  </si>
  <si>
    <t>Tassal Operations Pty. Ltd.; Commonwealth Scientific and Industrial Research Organisation(Commonwealth Scientific &amp; Industrial Research Organisation (CSIRO))</t>
  </si>
  <si>
    <t>This work was supported by a collaborative research agreement between the Commonwealth Scientific and Industrial Research Organisation and Tassal Operations Pty. Ltd.</t>
  </si>
  <si>
    <t>10.1016/j.aquaculture.2021.736676</t>
  </si>
  <si>
    <t>SB0JK</t>
  </si>
  <si>
    <t>WOS:000649689000006</t>
  </si>
  <si>
    <t>Estravis-Barcala, M; Heer, K; Marchelli, P; Ziegenhagen, B; Arana, MV; Bellora, N</t>
  </si>
  <si>
    <t>Estravis-Barcala, Maximiliano; Heer, Katrin; Marchelli, Paula; Ziegenhagen, Birgit; Arana, Maria Veronica; Bellora, Nicolas</t>
  </si>
  <si>
    <t>Deciphering the transcriptomic regulation of heat stress responses in Nothofagus pumilio</t>
  </si>
  <si>
    <t>GENOME-WIDE IDENTIFICATION; BRASSICA-NAPUS REVEALS; DROUGHT TOLERANCE; SALT STRESS; GENE FAMILY; COMPREHENSIVE ANALYSIS; ABIOTIC STRESSES; CIRCADIAN CLOCK; ABSCISIC-ACID; COLD STRESS</t>
  </si>
  <si>
    <t>Global warming is predicted to exert negative impacts on plant growth due to the damaging effect of high temperatures on plant physiology. Revealing the genetic architecture underlying the heat stress response is therefore crucial for the development of conservation strategies, and for breeding heat-resistant plant genotypes. Here we investigated the transcriptional changes induced by heat in Nothofagus pumilio, an emblematic tree species of the sub-Antarctic forests of South America. Through the performance of RNA-seq of leaves of plants exposed to 20 degrees C (control) or 34 degrees C (heat shock), we generated the first transcriptomic resource for the species. We also studied the changes in protein-coding transcripts expression in response to heat. We found 5,214 contigs differentially expressed between temperatures. The heat treatment resulted in a down-regulation of genes related to photosynthesis and carbon metabolism, whereas secondary metabolism, protein re-folding and response to stress were up-regulated. Moreover, several transcription factor families like WRKY or ERF were promoted by heat, alongside spliceosome machinery and hormone signaling pathways. Through a comparative analysis of gene regulation in response to heat in Arabidopsis thaliana, Populus tomentosa and N. pumilio we provide evidence of the existence of shared molecular features of heat stress responses across angiosperms, and identify genes of potential biotechnological application.</t>
  </si>
  <si>
    <t>[Estravis-Barcala, Maximiliano; Bellora, Nicolas] Consejo Nacl Invest Cient &amp; Tecn, Natl Sci &amp; Res Council, INTECNUS, Inst Nucl Technol Hlth, San Carlos De Bariloche, Argentina; [Heer, Katrin; Ziegenhagen, Birgit] Philipps Univ Marburg, Marburg, Germany; [Marchelli, Paula; Arana, Maria Veronica] Consejo Nacl Invest Cient &amp; Tecn, EEA Bariloche, INTA, IFAB, San Carlos De Bariloche, Argentina</t>
  </si>
  <si>
    <t>Consejo Nacional de Investigaciones Cientificas y Tecnicas (CONICET); Philipps University Marburg; Instituto Nacional de Tecnologia Agropecuaria (INTA); Consejo Nacional de Investigaciones Cientificas y Tecnicas (CONICET)</t>
  </si>
  <si>
    <t>Bellora, N (corresponding author), Consejo Nacl Invest Cient &amp; Tecn, Natl Sci &amp; Res Council, INTECNUS, Inst Nucl Technol Hlth, San Carlos De Bariloche, Argentina.;Arana, MV (corresponding author), Consejo Nacl Invest Cient &amp; Tecn, EEA Bariloche, INTA, IFAB, San Carlos De Bariloche, Argentina.</t>
  </si>
  <si>
    <t>arana@agro.uba.ar; nbellora@gmail.com</t>
  </si>
  <si>
    <t>Estravis Barcala, Maximiliano/ABA-6391-2021; ARANA, MARIA/KEH-9587-2024; Heer, Katrin/C-6725-2018; Bellora, Nicolas/E-6356-2014</t>
  </si>
  <si>
    <t>Estravis Barcala, Maximiliano/0000-0002-0337-023X; Marchelli, Paula/0000-0002-6949-0656; Heer, Katrin/0000-0002-1036-599X; Bellora, Nicolas/0000-0001-6637-3465</t>
  </si>
  <si>
    <t>Ministerio de Ciencia y Tecnologia (MINCyT), Argentina [MINCyT-DAAD DA/13/06]; Deutscher Akademischer Austauschdienst (DAAD), Germany; Trees4Future, European Union Seventh Framework Programme [P113]; Agencia Nacional de Promocion de la Investigacion, el Desarrollo Tecnologico y la Innovacion [PICT2016-1116, PICT2017-2656]; Instituto Nacional de Tecnologia Agropecuaria (INTA) [M.V.A. 2019-PD-E6-I116-001]</t>
  </si>
  <si>
    <t>Ministerio de Ciencia y Tecnologia (MINCyT), Argentina; Deutscher Akademischer Austauschdienst (DAAD), Germany(Deutscher Akademischer Austausch Dienst (DAAD)); Trees4Future, European Union Seventh Framework Programme; Agencia Nacional de Promocion de la Investigacion, el Desarrollo Tecnologico y la Innovacion; Instituto Nacional de Tecnologia Agropecuaria (INTA)</t>
  </si>
  <si>
    <t>P.M. and B.Z. MINCyT-DAAD DA/13/06 Ministerio de Ciencia y Tecnologia (MINCyT), Argentina; Deutscher Akademischer Austauschdienst (DAAD), Germany https://www.argentina.gob.ar/ciencia; https://www.daad.de/en/, NO. B.Z. Trees4Future P113, European Union Seventh Framework Programme http://trees4future.eu/, YES, they chose the sequencing technology: IonTorrent, IonProton. P.M and M.V.A PICT2016-1116, Agencia Nacional de Promocion de la Investigacion, el Desarrollo Tecnologico y la Innovacion, https://www.argentina.gob.ar/ciencia/agencia, NO. M.V.A PICT2017-2656 Agencia Nacional de Promocion de la Investigacion, el Desarrollo Tecnologico y la Innovacion, https://www.argentina.gob.ar/ciencia/agencia, NO. M.V.A. 2019-PD-E6-I116-001 Instituto Nacional de Tecnologia Agropecuaria (INTA), https://www.argentina.gob.ar/inta, NO.</t>
  </si>
  <si>
    <t>MAR 30</t>
  </si>
  <si>
    <t>e0246615</t>
  </si>
  <si>
    <t>10.1371/journal.pone.0246615</t>
  </si>
  <si>
    <t>RH6XT</t>
  </si>
  <si>
    <t>Green Submitted, Green Published, gold</t>
  </si>
  <si>
    <t>WOS:000636359600006</t>
  </si>
  <si>
    <t>Barbraud, C; des Monstiers, B; Chaigne, A; Marteau, C; Weimerskirch, H; Delord, K</t>
  </si>
  <si>
    <t>Barbraud, Christophe; des Monstiers, Baudouin; Chaigne, Adrien; Marteau, Cedric; Weimerskirch, Henri; Delord, Karine</t>
  </si>
  <si>
    <t>Predation by feral cats threatens great albatrosses</t>
  </si>
  <si>
    <t>Breeding success; Diomedea exulans; Felis catus; Population control; Population growth rate; Predation behavior</t>
  </si>
  <si>
    <t>SUB-ANTARCTIC MARION; MESOPREDATOR RELEASE; CONSERVATION STATUS; ISLAND; IMPACTS; ERADICATION; BIRDS; L.; TERRITORIES; ABUNDANCE</t>
  </si>
  <si>
    <t>Feral cats (Felis catus) are a potential threat for several seabird species including medium sized albatrosses, but studies documenting predation behavior, demographic impacts and effects of predator control are scarce. Here, we present data on feral cat predation behavior on one of the world's largest seabirds, the wandering albatross (Diomedea exulans) at Kerguelen Island, and show how it affects breeding success and rate of population growth. We assess the effect of a feral cat control experiment on breeding success and population viability. Using 32 camera traps we monitored 25 nests of albatross and detected 295 events showing a potential predator. Of these, 75.2% and 24.8% involved feral cats and giant petrels, respectively. Giant petrels were never implicated in direct predation. We recorded 17 attacks of feral cats on 13 albatross chicks. Attacks lasted in average 52.1 +/- 72.9 min, and resulted in the death of 10 of the 13 (76.9%) monitored chicks. Breeding success where attacks were recorded was low (12%) compared to areas with no attack (86%). Mean breeding success during 3 years before cat control was 26% and increased to 80% during the 3 years following the experiment. According to predation scenarios, population modelling showed that the albatross population would decline by 2.7-4.5% per year without cat control. Following cat control the population would increase at 1.8% per year. Our results demonstrate that feral cats predate and have negative impacts on breeding success and population growth rate of wandering albatrosses at Kerguelen Island. We provide recommendations on feral cat control and eradication to mitigate the risk of population decline or local extinction of large albatrosses.</t>
  </si>
  <si>
    <t>[Barbraud, Christophe; Weimerskirch, Henri; Delord, Karine] CNRS, Ctr Etud Biol Chize, UMR7372, F-79360 Villiers En Bois, France; [des Monstiers, Baudouin; Chaigne, Adrien; Marteau, Cedric] TAAF, Reserve Nat Natl Terres Australes Francaises, TAAF, Rue Gabriel Dejean, F-97458 St Pierre, Reunion, France; [des Monstiers, Baudouin] Isl Conservat, 2161 Delaware Ave,Suite A, Santa Cruz, CA 95060 USA</t>
  </si>
  <si>
    <t>Centre National de la Recherche Scientifique (CNRS); CNRS - Institute of Ecology &amp; Environment (INEE)</t>
  </si>
  <si>
    <t>Barbraud, C (corresponding author), CNRS, Ctr Etud Biol Chize, UMR7372, F-79360 Villiers En Bois, France.</t>
  </si>
  <si>
    <t>barbraud@cebc.cnrs.fr</t>
  </si>
  <si>
    <t>Barbraud, Christophe/A-5870-2012; Weimerskirch, Henri/F-5562-2013</t>
  </si>
  <si>
    <t>Barbraud, Christophe/0000-0003-0146-212X;</t>
  </si>
  <si>
    <t>French Polar Institute (program IPEV) [109]; Reserve Naturelle Nationale des Terres Australes Francaises; Zones Atelier Antarctique (LTSER France, CNRSINEE)</t>
  </si>
  <si>
    <t>French Polar Institute (program IPEV); Reserve Naturelle Nationale des Terres Australes Francaises; Zones Atelier Antarctique (LTSER France, CNRSINEE)</t>
  </si>
  <si>
    <t>The French Polar Institute (program IPEV no 109), Reserve Naturelle Nationale des Terres Australes Francaises, and the Zones Atelier Antarctique (LTSER France, CNRSINEE) logistically and financially supported the study.</t>
  </si>
  <si>
    <t>10.1007/s10530-021-02512-9</t>
  </si>
  <si>
    <t>TL1ZA</t>
  </si>
  <si>
    <t>WOS:000635069100001</t>
  </si>
  <si>
    <t>Jourdan, F; Forman, L; Kennedy, T; Benedix, GK; Eroglu, E; Mayers, C</t>
  </si>
  <si>
    <t>Jourdan, F.; Forman, L.; Kennedy, T.; Benedix, G. K.; Eroglu, E.; Mayers, C.</t>
  </si>
  <si>
    <t>End of magmatism in the upper crust of asteroid 4 Vesta</t>
  </si>
  <si>
    <t>ARGON DIFFUSION; HED METEORITES; THERMAL EVOLUTION; EUCRITE ZIRCONS; CORE DYNAMO; 40AR/39AR; HISTORY; AGE; SOLAR; DIFFERENTIATION</t>
  </si>
  <si>
    <t>Asteroid 4 Vesta is the only largely preserved differentiated asteroid and thus is an excellent proxy to study early magmatism occurring on planets and moons. In this study, we focus on eucrite Pecora Escarpment (PCA) 82502, a medium- to fine-grained eucrite which chemical analyses suggest belongs to the main howardite-eucrite-diogenite clan, albeit with some peculiarities. We carried out backscattered electron and electron backscattered diffraction microscopy analyses of the meteorite along with step-heating 40Ar/39Ar dating analyses of various types of groundmass aliquots. We show that Pecora Escarpment 82502 is composed of medium-grained igneous crystalline clasts and smaller fractured satellite clasts surrounded by approximately 50 mu m wide impact melt veins of the same composition. Our results show that the large crystalline clasts and fine-grained veins both display little evidence of shock processes. Six groundmass aliquots from large crystalline clasts returned concordant plateau (&gt;70% of 39Ar) or mini-plateau (50-70% of 39Ar) 40Ar/39Ar ages with a weighted mean of 4531 +/- 6 Ma (P = 0.67). Thermodynamic cooling and 40Ar diffusion models suggest that the K/Ar system recorded and preserved the igneous age despite subsequent infiltration of hot and quickly quenched melt veins. Our new igneous age, combined with evidence for four other young volcanic and plutonic eucrites of similar age, shows that Vesta was still magmatically active around 4531 Ma. The lack of younger ages suggests that this age might well represent the end of the magmatic activity in the upper crust of Vesta. When combined with existing paleomagnetic constraints, our data suggest that 4 Vesta had an active dynamo that was still active similar to 35 Ma after accretion.</t>
  </si>
  <si>
    <t>[Jourdan, F.; Kennedy, T.; Mayers, C.] Curtin Univ, TIGeR, John de Laeter Ctr, Western Australian Argon Isotope Facil, Perth, WA 6845, Australia; [Jourdan, F.; Forman, L.; Kennedy, T.; Benedix, G. K.] Curtin Univ, Sch Earth &amp; Planetary Sci, Space Sci &amp; Technol Ctr, Perth, WA 6845, Australia; [Forman, L.] Western Australian Museum, Dept Earth &amp; Planetary Sci, Locked Bag 49, Perth, WA 6986, Australia; [Eroglu, E.] Curtin Univ, Sch Mol &amp; Life Sci, Perth, WA 6845, Australia</t>
  </si>
  <si>
    <t>Curtin University; Curtin University; Western Australian Museum; Curtin University</t>
  </si>
  <si>
    <t>Jourdan, F (corresponding author), Curtin Univ, TIGeR, John de Laeter Ctr, Western Australian Argon Isotope Facil, Perth, WA 6845, Australia.;Jourdan, F (corresponding author), Curtin Univ, Sch Earth &amp; Planetary Sci, Space Sci &amp; Technol Ctr, Perth, WA 6845, Australia.</t>
  </si>
  <si>
    <t>f.jourdan@curtin.edu.au</t>
  </si>
  <si>
    <t>Forman, Lucy/X-5663-2018; Eroglu, Ela/B-3323-2013; Benedix, Gretchen/L-1953-2018</t>
  </si>
  <si>
    <t>Forman, Lucy/0000-0002-5759-6517; Benedix, Gretchen/0000-0003-0990-8878; Eroglu, Ela/0000-0002-6080-2879; Jourdan, Fred/0000-0001-5626-4521</t>
  </si>
  <si>
    <t>NSF; NASA; AuScope</t>
  </si>
  <si>
    <t>NSF(National Science Foundation (NSF)); NASA(National Aeronautics &amp; Space Administration (NASA)); AuScope</t>
  </si>
  <si>
    <t>We thank Zdenka Martelli and Adam Frew for technical help with the sample preparation and analysis. Dr Linda Welzenbach of Smithsonian Institute, National Museum of Natural History is thanked for providing aliquots of PCA 82502.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thank AuScope financial support toward A. Frew and C. Mayers's senior technical positions. We acknowledge the use of facilities within the Microscopy &amp; Microanalysis facility in the John de Laeter Centre at Curtin University. M. Trembley and an anonymous reviewer are thanked for their reviews.</t>
  </si>
  <si>
    <t>10.1111/maps.13640</t>
  </si>
  <si>
    <t>RT3LI</t>
  </si>
  <si>
    <t>WOS:000635011000001</t>
  </si>
  <si>
    <t>Pineda-Metz, SEA; Montiel, A</t>
  </si>
  <si>
    <t>Pineda-Metz, Santiago E. A.; Montiel, Americo</t>
  </si>
  <si>
    <t>Seasonal dynamics of meroplankton in a sub-Antarctic fjord (Southern Patagonia, Chile)</t>
  </si>
  <si>
    <t>Benthic invertebrate larvae; Magellan strait; Proglacial fjord; Glacio-marine fjord; sub-polar; Zooplankton</t>
  </si>
  <si>
    <t>BENTHIC MARINE-INVERTEBRATES; BEAGLE CHANNEL; PELAGIC LARVAE; REPRODUCTION; COMMUNITY; MAGELLAN; COLD; ZOOPLANKTON; ABUNDANCE; RECRUITMENT</t>
  </si>
  <si>
    <t>Knowledge of seasonal dynamics and composition of meroplankton (larvae of benthic invertebrates) is rather limited for sub-Antarctic regions. We studied the seasonal dynamics of meroplankton in a sub-Antarctic proglacial basin (Gallegos Sound, Chile), by examining changes in the meroplankton community in relation to hydrographic variables along four sampling cruises between early winter 2010 and late winter 2011. The local meroplankton community was composed of 39 larval morphotypes distributed among 11 major taxa, being polychaetes the best represented (15 larvae morphotypes), and bivalve the most abundant. We found distinct seasonal differences in terms of meroplanktonic composition and abundance, with higher abundance and larval morphotype number during austral spring and late winter, and lower in summer and early winter. The pattern observed for meroplankton was directly related to seasonal variations of fluorescence of chlorophyll a and temperature. We found meroplankton abundances lower than those of other sub- and Polar environments. However, meroplanktonic temporal dynamics showed a common pattern for sub- and Polar fjords, suggesting a strong link between benthic spawning and the occurrence of phytoplankton blooms.</t>
  </si>
  <si>
    <t>[Pineda-Metz, Santiago E. A.] Helmholtz Zentrum Polar &amp; Meeresforsch, Alfred Wegener Inst, D-27568 Bremerhaven, Germany; [Montiel, Americo] Univ Magallanes, Inst Patagonia, Lab Ecol Func, Punta Arenas 6200000, Chile</t>
  </si>
  <si>
    <t>Helmholtz Association; Alfred Wegener Institute, Helmholtz Centre for Polar &amp; Marine Research; Universidad de Magallanes</t>
  </si>
  <si>
    <t>Pineda-Metz, SEA (corresponding author), Helmholtz Zentrum Polar &amp; Meeresforsch, Alfred Wegener Inst, D-27568 Bremerhaven, Germany.</t>
  </si>
  <si>
    <t>santiago.pineda.metz@gmail.com</t>
  </si>
  <si>
    <t>Pineda Metz, Santiago Esteban Agustin/AAB-4814-2022</t>
  </si>
  <si>
    <t>Pineda Metz, Santiago Esteban Agustin/0000-0001-7780-6449; Montiel, Americo/0000-0002-2644-4879</t>
  </si>
  <si>
    <t>Projekt DEAL; project Patterns in benthic communities off the Marinelli glacier (Darwin Ice Field, South Chile: Response to glacier retreat? - National Fund for Science and Technological Development (FONDECYT)-Government of Chile [11090208]</t>
  </si>
  <si>
    <t>Projekt DEAL; project Patterns in benthic communities off the Marinelli glacier (Darwin Ice Field, South Chile: Response to glacier retreat? - National Fund for Science and Technological Development (FONDECYT)-Government of Chile</t>
  </si>
  <si>
    <t>Open Access funding enabled and organized by Projekt DEAL.. This research was supported by the project Patterns in benthic communities off the Marinelli glacier (Darwin Ice Field, South Chile: Response to glacier retreat? funded by the National Fund for Science and Technological Development (FONDECYT 11090208)-Government of Chile.</t>
  </si>
  <si>
    <t>10.1007/s00300-021-02823-6</t>
  </si>
  <si>
    <t>WOS:000635144700003</t>
  </si>
  <si>
    <t>Bokhorst, S; Asplund, J; Convey, P</t>
  </si>
  <si>
    <t>Bokhorst, Stef; Asplund, Johan; Convey, Peter</t>
  </si>
  <si>
    <t>Intra-specific variation in lichen secondary compounds across environmental gradients on Signy Island, maritime Antarctic</t>
  </si>
  <si>
    <t>Article; Early Access</t>
  </si>
  <si>
    <t>Exposure; Nitrogen; Invertebrate; Penguin; Usnea; Umbilicaria</t>
  </si>
  <si>
    <t>USNIC ACID CONCENTRATIONS; LOBARIA-PULMONARIA; NITROGEN; RADIATION; ECOLOGY; GROWTH; WATER; PALATABILITY; DEPSIDONES; MELANINS</t>
  </si>
  <si>
    <t>Lichens produce various carbon-based secondary compounds (CBSCs) in response to abiotic conditions and herbivory. Although lichen CBSCs have received considerable attention with regard to responses to UV-B exposure, very little is known about intra-specific variation across environmental gradients and their role in protection against herbivory in the Antarctic. Here we report on the variation in CBSCs of two widely distributed and common Antarctic lichens, Usnea antarctica and Umbilicaria antarctica, between sites with different solar exposure (NW-SE) and along natural nitrogen (N) gradients which are associated with changing lichen-invertebrate associations on Signy Island (South Orkney Islands, maritime Antarctic). Fumarprotocetraric and usnic acid concentrations in Usnea showed no relationships with solar exposure, lichen-N or associated invertebrate abundance. However, fumarprotocetraric acid concentration was 13 times higher at inland sites compared to coastal sites along the N-gradients. Gyrophoric acid concentration in Umbilicaria was 33% lower in sun-facing (northerly exposed) habitats compared to more shaded (south-facing) rocks and declined with elevation. Gyrophoric acid concentration was positively correlated with the abundance and species richness of associated microarthropods, similar to the patterns found with lichen N. This initial investigation indicates that there can be large intraspecific variation in lichen CBSC concentrations across relative short distances (&lt; 500 m) on Signy Island and raises further questions regarding current understanding of the role of CBSCs in Antarctic lichens in relation to biotic and abiotic pressures.</t>
  </si>
  <si>
    <t>[Bokhorst, Stef] Vrije Univ Amsterdam, Dept Ecol Sci, Boelelaan 1085, NL-1081 HV Amsterdam, Netherlands; [Asplund, Johan] Norwegian Univ Life Sci, Fac Environm Sci &amp; Nat Resource Management, POB 5003, N-1432 As, Norway; [Convey, Peter] British Antarctic Survey, Nat Environm Res Council, Madingley Rd, Cambridge CB3 0ET, England</t>
  </si>
  <si>
    <t>Vrije Universiteit Amsterdam; Norwegian University of Life Sciences; UK Research &amp; Innovation (UKRI); Natural Environment Research Council (NERC); NERC British Antarctic Survey</t>
  </si>
  <si>
    <t>Bokhorst, S (corresponding author), Vrije Univ Amsterdam, Dept Ecol Sci, Boelelaan 1085, NL-1081 HV Amsterdam, Netherlands.</t>
  </si>
  <si>
    <t>s.f.bokhorst@vu.nl</t>
  </si>
  <si>
    <t>Convey, Peter/AAV-5728-2020; Bokhorst, Stef/D-1858-2009</t>
  </si>
  <si>
    <t>Convey, Peter/0000-0001-8497-9903; Bokhorst, Stef/0000-0003-0184-1162; Asplund, Johan/0000-0001-5610-4480</t>
  </si>
  <si>
    <t>Antarctic Science Bursary; Natural Environment Research Council; NERC [bas0100036] Funding Source: UKRI</t>
  </si>
  <si>
    <t>Antarctic Science Bursary; Natural Environment Research Council(UK Research &amp; Innovation (UKRI)Natural Environment Research Council (NERC)); NERC(UK Research &amp; Innovation (UKRI)Natural Environment Research Council (NERC))</t>
  </si>
  <si>
    <t>This work would not have been possible without the logistical support of the British Antarctic Survey. Fieldwork for SB was supported by an Antarctic Science Bursary. PC is supported by Natural Environment Research Council core funding to the British Antarctic Survey `Biodiversity, Evolution and Adaptation' team. We would like to thank the reviewers for their constructive comments that improved this manuscript.</t>
  </si>
  <si>
    <t>2021 MAR 30</t>
  </si>
  <si>
    <t>10.1007/s00300-021-02839-y</t>
  </si>
  <si>
    <t>RF9FY</t>
  </si>
  <si>
    <t>WOS:000635144700002</t>
  </si>
  <si>
    <t>Sauser, C; Delord, K; Barbraud, C</t>
  </si>
  <si>
    <t>Sauser, Christophe; Delord, Karine; Barbraud, Christophe</t>
  </si>
  <si>
    <t>Demographic sensitivity to environmental forcings: a multi-trait, multi-colony approach</t>
  </si>
  <si>
    <t>OIKOS</t>
  </si>
  <si>
    <t>Antarctic; bottom– up; capture– mark– recapture; demography; elasticity; matrix population model; multi-colony; perturbation analysis; seabirds; sea ice; top– down</t>
  </si>
  <si>
    <t>AGE-SPECIFIC REPRODUCTION; ANTARCTIC TOP PREDATOR; CLIMATE-CHANGE; SEA-ICE; POPULATION-DYNAMICS; BOTTOM-UP; INDIVIDUAL HETEROGENEITY; NATURAL-POPULATIONS; RELATIVE ROLES; LIFE</t>
  </si>
  <si>
    <t>Understanding the demographic responses of wild animal populations to different factors is fundamental to make reliable prediction of population dynamics. Both bottom-up processes and top-down regulation operate in terrestrial and marine ecosystems, but their relative contribution remains insufficiently known. In addition, direct weather effects on demographic rates have been overlooked in marine ecosystems and inferences on the demographic effects of environmental drivers were overwhelmingly made from single study sites. Here, we evaluate the relative effects of bottom-up, top-down and weather processes on four vital rates and on population growth rates of a long-lived seabird, the snow petrel Pagodroma nivea, within three different breeding colonies. We used multistate capture-recapture modelling and perturbation analyses from a matrix population model based on a 36-year-long (1981-2017) individual monitoring dataset to quantify the different drivers (predation, climatic and weather covariates) of probabilities of survival, breeding, hatching and fledging according to colony, sex and breeding status of individuals. Results show that bottom-up forces and local weather affected breeding parameters, and that survival was driven by top-down regulation pressure and bottom-up processes. Breeding parameters differed between colonies and survival was sex-specific. Sensitivity analysis revealed that population regulation was mainly driven by bottom-up processes and that top-down processes played a minor role. However, there were major differences between colonies about the importance of how local weather processes affected population growth rate. Our study brings new insights into the drivers of demographic processes in a marine meso-predator, and how these drivers vary according to colonies and individual characteristics. We emphasize the importance of considering multiple study sites to make robust inferences on the effects of environmental drivers on wildlife demography. More generally, robust conclusions about the importance of environmental drivers on demography rely on considering multiple causal effects at multiple sites, while accounting for individual characteristics.</t>
  </si>
  <si>
    <t>[Sauser, Christophe; Delord, Karine; Barbraud, Christophe] CNRS, Ctr Etud Biol Chize, UMR 7372, Villiers En Bois, France</t>
  </si>
  <si>
    <t>Sauser, C (corresponding author), CNRS, Ctr Etud Biol Chize, UMR 7372, Villiers En Bois, France.</t>
  </si>
  <si>
    <t>christophe.sauser@cebc.cnrs.fr</t>
  </si>
  <si>
    <t>Barbraud, Christophe/A-5870-2012</t>
  </si>
  <si>
    <t>Barbraud, Christophe/0000-0003-0146-212X; Sauser, Christophe/0000-0001-8809-781X</t>
  </si>
  <si>
    <t>French Polar Institute IPEV [109]; Fondation BNP Paribas</t>
  </si>
  <si>
    <t>French Polar Institute IPEV; Fondation BNP Paribas</t>
  </si>
  <si>
    <t>We thank the field workers involved in longterm demographic studies since 1981 and Dominique Joubert for invaluable help with data management. The long-term demographic study at Dumont d'Urville station was supported by the French Polar Institute IPEV (programme No. 109, resp. H. Weimerskirch). We thank Jean-Michel Gaillard for helpful comments on a previous version of the manuscript. The Ethics Committee of IPEV and Comite de l'Environnement Polaire approved the field procedures. The study is a contribution to the Projet SENSEI (Sentinels of the sea ice) funded by Fondation BNP Paribas.</t>
  </si>
  <si>
    <t>0030-1299</t>
  </si>
  <si>
    <t>1600-0706</t>
  </si>
  <si>
    <t>Oikos</t>
  </si>
  <si>
    <t>10.1111/oik.07441</t>
  </si>
  <si>
    <t>SK5VY</t>
  </si>
  <si>
    <t>WOS:000634750700001</t>
  </si>
  <si>
    <t>Liu, HW; Liu, SH; Wang, HJ; Chen, KS; Zhang, PY</t>
  </si>
  <si>
    <t>Liu, Hongwei; Liu, Shenghao; Wang, Huijuan; Chen, Kaoshan; Zhang, Pengying</t>
  </si>
  <si>
    <t>The flavonoid 3′-hydroxylase gene from the Antarctic moss Pohlia nutans is involved in regulating oxidative and salt stress tolerance</t>
  </si>
  <si>
    <t>BIOTECHNOLOGY AND APPLIED BIOCHEMISTRY</t>
  </si>
  <si>
    <t>abiotic stress; antioxidant enzyme; bryophyte; flavonoid 3′ ‐ hydroxylase; phenotype</t>
  </si>
  <si>
    <t>EXPRESSION; OVEREXPRESSION; 3-HYDROXYLASE; HOMEOSTASIS; ROLES</t>
  </si>
  <si>
    <t>Flavonoids are the important secondary metabolites. They are thought to play an important role in plant adaptation to terrestrial environment. However, the downstream branching pathway of flavonoids in bryophytes, which are the most ancient of terrestrial plants, remains unclear. Here, we cloned a flavonoid 3 '-hydroxylase gene (PnF3 ' H) from the Antarctic moss Pohlia nutans and studied its function in plant stress tolerance. The Arabidopsis with overexpressing PnF3 ' H (AtOE) were constructed. The AtOE plants had more lateral roots and higher activities of antioxidant enzymes than the wild-type plants under oxidative stress. Meanwhile, the gene expression levels of reactive oxygen species (ROS) scavengers (i.e., AtCAT3, AtFeSOD1, and AtCu-ZnSOD3) were upregulated in the AtOE plants, and the transcription levels of ROS producing enzyme genes were significantly downregulated. The AtOE plans showed increased sensitivity to NaCl stress or abscisic acid (ABA) treatment during seed germination and early root development. Furthermore, several stress-resistant genes in the ABA signaling pathway were also downregulated in the AtOE plants when compared with the wild-type plants. These results suggested that PnF3 ' H participates in regulating the oxidative tolerance and ABA sensitivity to enable P. nutans to adapt to polar environments.</t>
  </si>
  <si>
    <t>[Liu, Hongwei; Wang, Huijuan; Chen, Kaoshan; Zhang, Pengying] Shandong Univ, Sch Life Sci, Natl Glycoengn Res Ctr, 72 Coastal Highway, Qingdao 266237, Shandong, Peoples R China; [Liu, Hongwei] Shinan Dist Hlth Bur, Med Adm Dept, Qingdao, Peoples R China; [Liu, Shenghao] Nat Resources Minist, Inst Oceanog 1, Marine Ecol Res Ctr, Qingdao, Peoples R China</t>
  </si>
  <si>
    <t>Shandong University</t>
  </si>
  <si>
    <t>Zhang, PY (corresponding author), Shandong Univ, Sch Life Sci, Natl Glycoengn Res Ctr, 72 Coastal Highway, Qingdao 266237, Shandong, Peoples R China.</t>
  </si>
  <si>
    <t>zhangpy80@sdu.edu.cn</t>
  </si>
  <si>
    <t>Liu, Shenghao/ISU-3076-2023; wang, hao/HSE-7975-2023; wang, hui/GRS-4730-2022; wang, huimin/HDM-8421-2022; Wang, Hui/HMU-9512-2023; WANG, HUIYUAN/IXX-2427-2023; wang, jian/HRB-9588-2023; wang, hui/HSG-6135-2023</t>
  </si>
  <si>
    <t>Liu, Shenghao/0000-0002-1449-3526;</t>
  </si>
  <si>
    <t>NationalNatural Science Foundation of China [41976225]; Development Project of Shandong Province [2019GSF107064]</t>
  </si>
  <si>
    <t>NationalNatural Science Foundation of China(National Natural Science Foundation of China (NSFC)); Development Project of Shandong Province</t>
  </si>
  <si>
    <t>NationalNatural Science Foundation of China, Grant/Award Number: 41976225; Development Project of Shandong Province, Grant/Award Number: 2019GSF107064.</t>
  </si>
  <si>
    <t>0885-4513</t>
  </si>
  <si>
    <t>1470-8744</t>
  </si>
  <si>
    <t>BIOTECHNOL APPL BIOC</t>
  </si>
  <si>
    <t>Biotechnol. Appl. Biochem.</t>
  </si>
  <si>
    <t>10.1002/bab.2143</t>
  </si>
  <si>
    <t>Biochemistry &amp; Molecular Biology; Biotechnology &amp; Applied Microbiology</t>
  </si>
  <si>
    <t>0O5WJ</t>
  </si>
  <si>
    <t>WOS:000635023500001</t>
  </si>
  <si>
    <t>Holland, MM; Becker, A; Smith, JA; Everett, JD; Suthers, IM</t>
  </si>
  <si>
    <t>Holland, Matthew M.; Becker, Alistair; Smith, James A.; Everett, Jason D.; Suthers, Iain M.</t>
  </si>
  <si>
    <t>Characterizing the three-dimensional distribution of schooling reef fish with a portable multibeam echosounder</t>
  </si>
  <si>
    <t>LIMNOLOGY AND OCEANOGRAPHY-METHODS</t>
  </si>
  <si>
    <t>UNDERWATER VISUAL CENSUS; ARTIFICIAL REEF; CORAL-REEF; HABITAT COMPLEXITY; ECHO INTEGRATION; ASSEMBLAGES; ABUNDANCE; DENSITY; SIZE; IDENTIFICATION</t>
  </si>
  <si>
    <t>Multispecies schools of small planktivorous fishes are important constituents of reefs and coastal infrastructure; however, determining the extent and distribution of these schools is challenging. Here, we describe a novel use of a low-cost portable multibeam echosounder from a small vessel, which can concurrently measure detailed bathymetry and the distribution of mid-water targets with high spatial accuracy, regardless of light availability or water clarity. Fish abundance and biomass are not easily quantified by multibeam echosounders, so we developed a new metric for delineating the gridded horizontal distribution of school thickness, and assessed the metric's efficacy by examining its correlation with mean volume backscattering strength derived from a calibrated 38 kHz split-beam echosounder (R = 0.67). We measured the distribution of fish school thickness around clusters of large concrete modules of an artificial reef using a multibeam echosounder, complemented with underwater video to aid species identification. The mean distribution of school thickness was mapped around the reef field with generalized additive mixed models. Model spatial predictions indicated schools aggregated around module clusters, rather than individual modules. Dynamic schools of fish in relatively shallow coastal waters (similar to 30 m) can be surveyed over 400,000 m(2) at 3 m s(-1) in just 60 min. Portable multibeam echosounders are an accessible and valuable addition to quantifying the dynamic distributions of coastal fishes around features with high vertical relief.</t>
  </si>
  <si>
    <t>[Holland, Matthew M.; Smith, James A.; Everett, Jason D.; Suthers, Iain M.] Univ New South Wales, Sch Biol Earth &amp; Environm Sci, Evolut &amp; Ecol Res Ctr, Sydney, NSW, Australia; [Holland, Matthew M.; Suthers, Iain M.] Sydney Inst Marine Sci, Mosman, NSW, Australia; [Becker, Alistair] Port Stephens Fisheries Inst, New South Wales Dept Primary Ind, Taylors Beach, NSW, Australia; [Smith, James A.] Univ Calif Santa Cruz, Inst Marine Sci, Santa Cruz, CA 95064 USA; [Everett, Jason D.] Univ Queensland, Sch Math &amp; Phys, Ctr Applicat Nat Resource Math, St Lucia, Qld, Australia</t>
  </si>
  <si>
    <t>University of New South Wales Sydney; Sydney Institute of Marine Science; NSW Department of Primary Industries; University of California System; University of California Santa Cruz; University of Queensland</t>
  </si>
  <si>
    <t>Holland, MM (corresponding author), Univ New South Wales, Sch Biol Earth &amp; Environm Sci, Evolut &amp; Ecol Res Ctr, Sydney, NSW, Australia.;Holland, MM (corresponding author), Sydney Inst Marine Sci, Mosman, NSW, Australia.</t>
  </si>
  <si>
    <t>m.holland@unsw.edu.au</t>
  </si>
  <si>
    <t>; Everett, Jason/C-4557-2008; Suthers, Iain/C-4559-2008</t>
  </si>
  <si>
    <t>Smith, James/0000-0002-0496-3221; Everett, Jason/0000-0002-6681-8054; Becker, Alistair/0000-0001-5578-7208; Suthers, Iain/0000-0002-9340-7461; Holland, Matthew/0000-0002-8308-4216</t>
  </si>
  <si>
    <t>Australian Government Research Training Program Scholarship; Australian Research Council (ARC) [LP120100592]; ARC [DP150102656, DP190102293]; NSW Recreational Fishing Saltwater Trust</t>
  </si>
  <si>
    <t>Australian Government Research Training Program Scholarship(Australian GovernmentDepartment of Industry, Innovation and Science); Australian Research Council (ARC)(Australian Research Council); ARC(Australian Research Council); NSW Recreational Fishing Saltwater Trust</t>
  </si>
  <si>
    <t>Many thanks to the dedicated volunteers who helped with data collection. We also thank Hayley Bates (Echoview) for her help in developing the data flow for processing the MBES data in Echoview, and Martin Cox (Australian Antarctic Division) for advising us on the purchase of this instrument. MMH was supported by an Australian Government Research Training Program Scholarship, JAS was supported by an Australian Research Council (ARC) Linkage Project LP120100592 and JDE was supported by ARC Discovery Projects DP150102656 and DP190102293. AB and the collection of EK80 data was funded by the NSW Recreational Fishing Saltwater Trust.</t>
  </si>
  <si>
    <t>1541-5856</t>
  </si>
  <si>
    <t>LIMNOL OCEANOGR-METH</t>
  </si>
  <si>
    <t>Limnol. Oceanogr. Meth.</t>
  </si>
  <si>
    <t>10.1002/lom3.10427</t>
  </si>
  <si>
    <t>SF6AN</t>
  </si>
  <si>
    <t>WOS:000634695600001</t>
  </si>
  <si>
    <t>Galbán, S; Justel, A; González, S; Quesada, A</t>
  </si>
  <si>
    <t>Galban, Sofia; Justel, Ana; Gonzalez, Sergi; Quesada, Antonio</t>
  </si>
  <si>
    <t>Local meteorological conditions, shape and desiccation influence dispersal capabilities for airborne microorganisms</t>
  </si>
  <si>
    <t>Long-range dispersion; Meteorology; Size distribution; Back-trajectories; Equivalent spherical diameter; Desiccation</t>
  </si>
  <si>
    <t>BACTERIAL COMMUNITIES; SEASONAL VARIABILITY; SIZE DISTRIBUTION; DIVERSITY; ABUNDANCE; SPORES; PRECIPITATION; ATMOSPHERE; PARTICLES; TOLERANCE</t>
  </si>
  <si>
    <t>The atmosphere plays an important role in the dispersal of microorganisms, as well as in the connectivity of most of the planet's ecosystems. In recent decades, interest in microbial diversity and dispersion in the atmosphere has increased due to its importance in various fields. However, there are few studies on the abundance of airborne microorganisms and the factors, such as meteorology, that affect their distribution. Likewise, the physical mathematical models attempting to reproduce their possible origins also require integrating some biological features. We collected airborne microorganisms under different meteorological conditions at a sampling station over a 12-day period to expand the knowledge about abundance of airborne microorganisms, their relationship with atmospheric conditions and their possible origins with a biological perspective. Total abundance and size distribution of microorganisms were measured in all samples using epifluorescence techniques. Their possible origins were estimated using refined mathematical simulation models of the air masses back-trajectories considering dry deposition. Our results showed microbial abundance values similar to those found in temperate regions over land surface. In our contribution we report a clear relationship between the abundance and, considered as a whole, local meteorological conditions. Despite most of the captured particles were small spherical microorganisms (diameter &lt; 20 mu m), large filamentous microorganisms, surprisingly up to 400 mu m, were also found. We demonstrate the possibility that these large microorganisms can have their origin at long distances, showing thus probability of remarkable long dispersal, without ruling out a nearby origin, when their equivalent spherical diameter (ESD) and drying capacity are considered. (c) 2021 Elsevier B.V. All rights reserved.</t>
  </si>
  <si>
    <t>[Galban, Sofia; Quesada, Antonio] Univ Autonoma Madrid, Dept Biol, Madrid 28049, Spain; [Justel, Ana] Univ Autonoma Madrid, Dept Math, Madrid 28049, Spain; [Gonzalez, Sergi] Meteorol State Agcy AEMET, Antarctic Grp, Barcelona 08005, Spain</t>
  </si>
  <si>
    <t>Autonomous University of Madrid; Autonomous University of Madrid</t>
  </si>
  <si>
    <t>Quesada, A (corresponding author), Univ Autonoma Madrid, Dept Biol, Madrid 28049, Spain.</t>
  </si>
  <si>
    <t>antonio.quesada@uam.es</t>
  </si>
  <si>
    <t>Quesada, Antonio/L-2430-2013; Gonzalez-Herrero, Sergi/Y-7279-2018; Justel, Ana/A-3955-2010</t>
  </si>
  <si>
    <t>Gonzalez-Herrero, Sergi/0000-0002-2505-2435; Justel, Ana/0000-0003-3335-0579; Galban, Sofia/0000-0003-2540-6894</t>
  </si>
  <si>
    <t>Spanish Agencia Estatal de Investigacion (AEI); Fondo Europeo de Desarrollo Regional (FEDER) [CTM2016-79741-R]; Universidad Autonoma de Madrid</t>
  </si>
  <si>
    <t>Spanish Agencia Estatal de Investigacion (AEI)(Spanish Government); Fondo Europeo de Desarrollo Regional (FEDER)(European Union (EU)Spanish Government); Universidad Autonoma de Madrid</t>
  </si>
  <si>
    <t>This work was supported by the Spanish Agencia Estatal de Investigacion (AEI) and Fondo Europeo de Desarrollo Regional (FEDER), Grant CTM2016-79741-R. SGal was supported by a Fomento de la Investigacion-aid fellowship Master Studies-UAM 2019 from Universidad Autonoma de Madrid.</t>
  </si>
  <si>
    <t>AUG 1</t>
  </si>
  <si>
    <t>10.1016/j.scitotenv.2021.146653</t>
  </si>
  <si>
    <t>SF9TA</t>
  </si>
  <si>
    <t>hybrid, Green Submitted, Green Published</t>
  </si>
  <si>
    <t>WOS:000653088000015</t>
  </si>
  <si>
    <t>Melbourne-Thomas, J; Audzijonyte, A; Brasier, MJ; Cresswell, KA; Fogarty, HE; Haward, M; Hobday, AJ; Hunt, HL; Ling, SD; McCormack, PC; Mustonen, T; Mustonen, K; Nye, JA; Oellermann, M; Trebilco, R; van Putten, I; Villanueva, C; Watson, RA; Pecl, GT</t>
  </si>
  <si>
    <t>Melbourne-Thomas, Jess; Audzijonyte, Asta; Brasier, Madeleine J.; Cresswell, Katherine A.; Fogarty, Hannah E.; Haward, Marcus; Hobday, Alistair J.; Hunt, Heather L.; Ling, Scott D.; McCormack, Phillipa C.; Mustonen, Tero; Mustonen, Kaisu; Nye, Janet A.; Oellermann, Michael; Trebilco, Rowan; van Putten, Ingrid; Villanueva, Cecilia; Watson, Reg A.; Pecl, Gretta T.</t>
  </si>
  <si>
    <t>Poleward bound: adapting to climate-driven species redistribution</t>
  </si>
  <si>
    <t>Climate change; Future seas; Indigenous knowledge; Interdisciplinary; Range shifts; Species redistribution</t>
  </si>
  <si>
    <t>DYNAMIC OCEAN MANAGEMENT; RANGE SHIFTS; MARINE FISHERIES; CITIZEN SCIENCE; CHANGE IMPACTS; BIODIVERSITY; HABITAT; RESPONSES; CONFLICT; NETWORKS</t>
  </si>
  <si>
    <t>One of the most pronounced effects of climate change on the world's oceans is the (generally) poleward movement of species and fishery stocks in response to increasing water temperatures. In some regions, such redistributions are already causing dramatic shifts in marine socioecological systems, profoundly altering ecosystem structure and function, challenging domestic and international fisheries, and impacting on human communities. Such effects are expected to become increasingly widespread as waters continue to warm and species ranges continue to shift. Actions taken over the coming decade (2021-2030) can help us adapt to species redistributions and minimise negative impacts on ecosystems and human communities, achieving a more sustainable future in the face of ecosystem change. We describe key drivers related to climate-driven species redistributions that are likely to have a high impact and influence on whether a sustainable future is achievable by 2030. We posit two different futures-a 'business as usual' future and a technically achievable and more sustainable future, aligned with the Sustainable Development Goals. We then identify concrete actions that provide a pathway towards the more sustainable 2030 and that acknowledge and include Indigenous perspectives. Achieving this sustainable future will depend on improved monitoring and detection, and on adaptive, cooperative management to proactively respond to the challenge of species redistribution. We synthesise examples of such actions as the basis of a strategic approach to tackle this global-scale challenge for the benefit of humanity and ecosystems.</t>
  </si>
  <si>
    <t>[Melbourne-Thomas, Jess; Cresswell, Katherine A.; Hobday, Alistair J.; Trebilco, Rowan; van Putten, Ingrid] CSIRO Oceans &amp; Atmosphere, Hobart, Tas, Australia; [Melbourne-Thomas, Jess; Audzijonyte, Asta; Fogarty, Hannah E.; Haward, Marcus; Hobday, Alistair J.; McCormack, Phillipa C.; Trebilco, Rowan; van Putten, Ingrid; Villanueva, Cecilia; Pecl, Gretta T.] Univ Tasmania, Ctr Marine Socioecol, Hobart, Tas, Australia; [Audzijonyte, Asta; Brasier, Madeleine J.; Cresswell, Katherine A.; Fogarty, Hannah E.; Haward, Marcus; Ling, Scott D.; Oellermann, Michael; Villanueva, Cecilia; Watson, Reg A.; Pecl, Gretta T.] Univ Tasmania, Inst Marine &amp; Antarctic Studies, Hobart, Tas, Australia; [Hunt, Heather L.] Univ New Brunswick, Dept Biol Sci, St John, NB, Canada; [McCormack, Phillipa C.] Univ Tasmania, Fac Law, Hobart, Tas, Australia; [Mustonen, Tero; Mustonen, Kaisu] Snowchange Cooperat, Lehtoi, Finland; [Nye, Janet A.] Univ North Carolina Chapel Hill, Inst Marine Sci, Morehead City, NY USA; [Oellermann, Michael] Tech Univ Munich, Aquat Syst Biol Unit, Freising Weihenstephan, Germany</t>
  </si>
  <si>
    <t>Commonwealth Scientific &amp; Industrial Research Organisation (CSIRO); University of Tasmania; University of Tasmania; University of New Brunswick; University of Tasmania; Technical University of Munich</t>
  </si>
  <si>
    <t>Melbourne-Thomas, J (corresponding author), CSIRO Oceans &amp; Atmosphere, Hobart, Tas, Australia.</t>
  </si>
  <si>
    <t>Jess.Melboume-Thomas@csiro.au</t>
  </si>
  <si>
    <t>Haward, Marcus/G-3369-2014; Melbourne-Thomas, Jess/N-2437-2019; van putten, ingrid/AAV-1301-2021; Hobday, Alistair/A-1460-2012; Audzijonyte, Asta/O-5598-2017; McCormack, Phillipa/GYA-3008-2022; Pecl, Gretta/D-7267-2011; Trebilco, Rowan/I-5311-2012; McCormack, Phillipa C/N-3668-2017; Oellermann, Michael/G-7073-2011</t>
  </si>
  <si>
    <t>Melbourne-Thomas, Jess/0000-0001-6585-876X; van putten, ingrid/0000-0001-8397-9768; Pecl, Gretta/0000-0003-0192-4339; Trebilco, Rowan/0000-0001-9712-8016; McCormack, Phillipa C/0000-0001-6751-8291; Brasier, Madeleine/0000-0003-2844-655X; Oellermann, Michael/0000-0001-5392-6737; Cresswell, Katherine/0000-0003-1692-4964; Hunt, Heather/0000-0002-5500-5015</t>
  </si>
  <si>
    <t>Centre for Marine Socioecology; College of Science and Engineering at UTAS; CSIRO; Snowchange; IMAS; MENZIES; College of Arts, Law and Education</t>
  </si>
  <si>
    <t>Centre for Marine Socioecology; College of Science and Engineering at UTAS; CSIRO(Commonwealth Scientific &amp; Industrial Research Organisation (CSIRO)); Snowchange; IMAS; MENZIES; College of Arts, Law and Education</t>
  </si>
  <si>
    <t>Centre for Marine Socioecology, IMAS, MENZIES, College of Arts, Law and Education, and the College of Science and Engineering at UTAS, CSIRO and Snowchange.</t>
  </si>
  <si>
    <t>10.1007/s11160-021-09641-3</t>
  </si>
  <si>
    <t>WOS:000634725200002</t>
  </si>
  <si>
    <t>Nicklas, RW; Day, JMD; Vaci, Z; Udry, A; Liu, Y; Tait, KT</t>
  </si>
  <si>
    <t>Nicklas, Robert W.; Day, James M. D.; Vaci, Zoltan; Udry, Arya; Liu, Yang; Tait, Kimberly T.</t>
  </si>
  <si>
    <t>Uniform oxygen fugacity of shergottite mantle sources and an oxidized martian lithosphere</t>
  </si>
  <si>
    <t>oxygen fugacity; redox; shergottite; chassignite; Mars</t>
  </si>
  <si>
    <t>HIGHLY SIDEROPHILE ELEMENTS; OXIDATION-STATE; TRACE-ELEMENT; EXPERIMENTAL PETROLOGY; PETROGENETIC LINKAGES; METEORITE FALL; REDOX STATE; OLIVINE; TISSINT; BASALTS</t>
  </si>
  <si>
    <t>Martian meteorites are the only available samples that can be directly measured to constrain the geological evolution of Mars. It has been suggested that the oxygen fugacity (fO(2)) of martian shergottite meteorites, which have low (similar to 7 wt.%) to high-MgO (similar to 30 wt.%) compositions, correlates with incompatible trace element enrichment (i.e., La/Yb), and Sr-87/Sr-86, Nd-143/Nd-144, Os-187/Os-188 and Hf-176/Hf-177 at the time of crystallization. These relationships have been interpreted to result from early magmatic processes segregating enriched and more oxidized from depleted and more reduced reservoirs in Mars. Here we use the V-in-olivine oxybarometer to constrain the fO(2) of shergottites and the dunitic chassignites. These data, utilizing early crystallizing silicate phases, constrain the shergottite fO(2) range to between -3.72 +/- 0.07 and -0.21 +/- 0.55 Delta FMQ (log units relative to the fayalite-magnetite-quartz buffer), with no correlation with trace element enrichment or Nd isotope systematics. Previously employed oxybarometers that use later-formed or multiple mineral phases, and that show such correlations, likely differ from the V-in-olivine oxybarometer in that they record effects from late-stage magmatic processes. In contrast to shergottites, chassignites are relatively oxidized, at +2.1 +/- 0.4 to +2.2 +/- 0.5 Delta FMQ. The chassignites, along with the nakhlites, have been proposed to be sourced from metasomatized lithospheric mantle, and their high fO(2) strengthens this model. The new data implies that the martian mantle sources of shergottites have fO(2) of -2.1 +/- 1.8 Delta FMQ. This estimate indicates that the mantle and core of Mars are not in redox equilibrium and therefore that oxidation of the martian mantle following core formation is required. (C) 2021 Elsevier B.V. All rights reserved.</t>
  </si>
  <si>
    <t>[Nicklas, Robert W.; Day, James M. D.] Univ Calif San Diego, Scripps Inst Oceanog, La Jolla, CA 92093 USA; [Vaci, Zoltan] Univ New Mexico, Inst Meteorit, Dept Earth &amp; Planetary Sci, Albuquerque, NM 87131 USA; [Udry, Arya] Univ Nevada, Dept Geosci, Las Vegas, NV 89154 USA; [Liu, Yang] CALTECH, Jet Prop Lab, 4800 Oak Grove Dr, Pasadena, CA 91109 USA; [Tait, Kimberly T.] Royal Ontario Museum, Dept Nat Hist, Toronto, ON M5S 2C6, Canada</t>
  </si>
  <si>
    <t>University of California System; University of California San Diego; Scripps Institution of Oceanography; University of New Mexico; Nevada System of Higher Education (NSHE); University of Nevada Las Vegas; California Institute of Technology; National Aeronautics &amp; Space Administration (NASA); NASA Jet Propulsion Laboratory (JPL); Royal Ontario Museum</t>
  </si>
  <si>
    <t>Nicklas, RW (corresponding author), Univ Calif San Diego, Scripps Inst Oceanog, La Jolla, CA 92093 USA.</t>
  </si>
  <si>
    <t>rwnicklas@ucsd.edu</t>
  </si>
  <si>
    <t>Liu, Yang/F-3775-2017; Vaci, Zoltan/HGU-5301-2022; Day, James/A-5099-2010</t>
  </si>
  <si>
    <t>Liu, Yang/0000-0003-0308-0942; Day, James/0000-0001-9520-3465</t>
  </si>
  <si>
    <t>NASA Emerging Worlds Program [80NSSC19K0932]; National Science Foundation; NASA</t>
  </si>
  <si>
    <t>NASA Emerging Worlds Program; National Science Foundation(National Science Foundation (NSF)); NASA(National Aeronautics &amp; Space Administration (NASA))</t>
  </si>
  <si>
    <t>This project was supported by the NASA Emerging Worlds Program to JMDD (80NSSC19K0932). We are grateful to two anonymous reviewers for their helpful comments. We thank the Field Museum of Natural History, the Royal Ontario Museum, the Antarctic Search for Meteorites (ANSMET) and the Institute of Meteoritics at the University of New Mexico for provision of meteorites used in this study. The Antarctic Search for Meteorites (ANSMET) program has been funded by the National Science Foundation and NASA, and samples are characterized and curated by the Department of Mineral Sciences of the Smithsonian Institution and the Astromaterials Curation Office at NASA Johnson Space Center.</t>
  </si>
  <si>
    <t>10.1016/j.epsl.2021.116876</t>
  </si>
  <si>
    <t>WOS:000645097600001</t>
  </si>
  <si>
    <t>Kauko, HM; Hattermann, T; Ryan-Keogh, T; Singh, A; de Steur, L; Fransson, A; Chierici, M; Falkenhaug, T; Hallfredsson, EH; Bratbak, G; Tsagaraki, T; Berge, T; Zhou, Q; Moreau, S</t>
  </si>
  <si>
    <t>Kauko, Hanna M.; Hattermann, Tore; Ryan-Keogh, Thomas; Singh, Asmita; de Steur, Laura; Fransson, Agneta; Chierici, Melissa; Falkenhaug, Tone; Hallfredsson, Elvar H.; Bratbak, Gunnar; Tsagaraki, Tatiana; Berge, Terje; Zhou, Qin; Moreau, Sebastien</t>
  </si>
  <si>
    <t>Phenology and Environmental Control of Phytoplankton Blooms in the Kong Hakon VII Hav in the Southern Ocean</t>
  </si>
  <si>
    <t>phytoplankton; Southern Ocean; phenology; bloom; sea ice zone</t>
  </si>
  <si>
    <t>ANTARCTIC SLOPE CURRENT; MARGINAL ICE-ZONE; SEA-ICE; CHLOROPHYLL-A; WEDDELL SEA; SEASONAL CYCLE; MIXED-LAYER; EDGE BLOOMS; MAUD RISE; IRON</t>
  </si>
  <si>
    <t>Knowing the magnitude and timing of pelagic primary production is important for ecosystem and carbon sequestration studies, in addition to providing basic understanding of phytoplankton functioning. In this study we use data from an ecosystem cruise to Kong Hakon VII Hav, in the Atlantic sector of the Southern Ocean, in March 2019 and more than two decades of satellite-derived ocean color to study phytoplankton bloom phenology. During the cruise we observed phytoplankton blooms in different bloom phases. By correlating bloom phenology indices (i.e., bloom initiation and end) based on satellite remote sensing to the timing of changes in environmental conditions (i.e., sea ice, light, and mixed layer depth) we studied the environmental factors that seemingly drive phytoplankton blooms in the area. Our results show that blooms mainly take place in January and February, consistent with previous studies that include the area. Sea ice retreat controls the bloom initiation in particular along the coast and the western part of the study area, whereas bloom end is not primarily connected to sea ice advance. Light availability in general is not appearing to control the bloom termination, neither is nutrient availability based on the autumn cruise where we observed non-depleted macronutrient reservoirs in the surface. Instead, we surmise that zooplankton grazing plays a potentially large role to end the bloom, and thus controls its duration. The spatial correlation of the highest bloom magnitude with marked topographic features indicate that the interaction of ocean currents with sea floor topography enhances primary productivity in this area, probably by natural fertilization. Based on the bloom timing and magnitude patterns, we identified five different bloom regimes in the area. A more detailed understanding of the region will help to highlight areas with the highest relevance for the carbon cycle, the marine ecosystem and spatial management. With this gained understanding of bloom phenology, it will also be possible to study potential shifts in bloom timing and associated trophic mismatch caused by environmental changes.</t>
  </si>
  <si>
    <t>[Kauko, Hanna M.; Hattermann, Tore; de Steur, Laura; Fransson, Agneta; Moreau, Sebastien] Norwegian Polar Res Inst, Fram Ctr, Tromso, Norway; [Ryan-Keogh, Thomas; Singh, Asmita] Council Sci &amp; Ind Res CSIR, Southern Ocean Carbon &amp; Climate Observ SOCCO, Cape Town, South Africa; [Singh, Asmita] Stellenbosch Univ, Dept Earth Sci, Stellenbosch, South Africa; [Chierici, Melissa; Hallfredsson, Elvar H.] Inst Marine Res, Fram Ctr, Tromso, Norway; [Falkenhaug, Tone; Berge, Terje] Inst Marine Res, Flodevigen, Norway; [Bratbak, Gunnar; Tsagaraki, Tatiana] Univ Bergen, Dept Biol Sci, Bergen, Norway; [Zhou, Qin] Akvaplan Niva, Fram Ctr, Tromso, Norway</t>
  </si>
  <si>
    <t>Norwegian Polar Institute; Stellenbosch University; Institute of Marine Research - Norway; Institute of Marine Research - Norway; University of Bergen; Akvaplan-niva</t>
  </si>
  <si>
    <t>Kauko, HM (corresponding author), Norwegian Polar Res Inst, Fram Ctr, Tromso, Norway.</t>
  </si>
  <si>
    <t>hanna.kauko@npolar.no</t>
  </si>
  <si>
    <t>Ryan-Keogh, Thomas/AAS-3716-2021; Bratbak, Gunnar/N-8786-2015; Tsagaraki, Tatiana Margo/Y-5584-2018</t>
  </si>
  <si>
    <t>Ryan-Keogh, Thomas/0000-0001-5144-171X; Bratbak, Gunnar/0000-0001-8388-4945; Falkenhaug, Tone/0000-0003-3617-7724; Tsagaraki, Tatiana Margo/0000-0002-3006-2232; Berge, Terje/0009-0003-3916-8927; Moreau, Sebastien/0000-0001-9446-812X; Singh, Asmita/0000-0002-5165-2602</t>
  </si>
  <si>
    <t>Norwegian Ministry of Foreign Affairs; Research Council of Norway (RCN) [288370]; National Research Foundation, South Africa [UID 118715]; flagship research program Ocean acidification and ecosystem effects in Northern waters at the FRAM - High North Research Centre for Climate and the Environment; Norwegian Research Council [295075]</t>
  </si>
  <si>
    <t>Norwegian Ministry of Foreign Affairs; Research Council of Norway (RCN)(Research Council of Norway); National Research Foundation, South Africa(National Research Foundation - South AfricaSouth African Medical Research Council); flagship research program Ocean acidification and ecosystem effects in Northern waters at the FRAM - High North Research Centre for Climate and the Environment; Norwegian Research Council(Research Council of Norway)</t>
  </si>
  <si>
    <t>The Southern Ocean Ecosystem cruise 2019 with RV Kronprins Haakon was arranged by the Norwegian Polar Institute, with additional financial support from the Norwegian Ministry of Foreign Affairs. This study was partly funded by the Research Council of Norway (RCN) (grant number 288370) and National Research Foundation, South Africa (grant UID 118715) project in the SANOCEAN Norway-South Africa collaboration, and the flagship research program Ocean acidification and ecosystem effects in Northern waters at the FRAM - High North Research Centre for Climate and the Environment. QZ acknowledges support from the Norwegian Research Council project Ocean-ice shelf Interaction and channelized Melting in Dronning Maud Land (iMelt, project number: 295075).</t>
  </si>
  <si>
    <t>MAR 29</t>
  </si>
  <si>
    <t>10.3389/fmars.2021.623856</t>
  </si>
  <si>
    <t>RL9KJ</t>
  </si>
  <si>
    <t>WOS:000639282100001</t>
  </si>
  <si>
    <t>Liu, FC; Wang, R; Yi, F; Huang, WT; Ban, C; Pan, WL; Wang, ZJ; Hu, HQ</t>
  </si>
  <si>
    <t>Liu, Fuchao; Wang, Rui; Yi, Fan; Huang, Wentao; Ban, Chao; Pan, Weilin; Wang, Zhangjun; Hu, Hongqiao</t>
  </si>
  <si>
    <t>Pure rotational Raman lidar for full-day troposphere temperature measurement at Zhongshan Station (69.37 °S, 76.37 °E), Antarctica</t>
  </si>
  <si>
    <t>OPTICS EXPRESS</t>
  </si>
  <si>
    <t>MIDDLE ATMOSPHERE TEMPERATURES; BOUNDARY-LAYER; PROFILES; ALTITUDES; CLOUDS; ANALOG; NORTH; WATER</t>
  </si>
  <si>
    <t>A pure rotational Raman lidar (PRRL) for full-day troposphere temperature measurement was deployed in February 2020 at Zhongshan Station (69.37 degrees S, 76.37 degrees E), Antarctica, by the 36th Chinese National Antarctic Research Expedition. The PRRL emits a 532.23-nm laser light and employs a 203.2-mm telescope to collect atmospheric backscatter. Cubic nonpolarizing beam splitters are introduced to yield a compact optics arrangement. A quasi-single-line-extraction technique is proposed for extracting the molecular Stokes line signals. A lidar container with a window system is customized to house the whole PRRL system for long-term stable operation. An approach using a laser plummet is developed for fast and convenient adjustment of the telescope zenithward. A home-made calibration module is utilized for straightforward visual optics adjustment with similar to 35.3-mu rad angular positioning accuracy. Both typical daytime and nighttime temperature measurement examples are presented to verify the lidar performance. From a 30-h continuous temperature measurement result, it is found the tropopause is located at similar to 10.8 km above ground level with a mean temperature of similar to 203 K; significant temperature variability occurs only at the inversion areas, while off which the 1-h temperature profiles are relatively similar in form with an average lapse rate of -8.3 K/km. (C) 2021 Optical Society of America under the terms of the OSA Open Access Publishing Agreement.</t>
  </si>
  <si>
    <t>[Liu, Fuchao; Yi, Fan] Wuhan Univ, Sch Elect Informat, Wuhan 430072, Peoples R China; [Wang, Rui; Huang, Wentao; Hu, Hongqiao] Polar Res Inst China, Key Lab Polar Sci, Minist Nat Resources, Shanghai 200136, Peoples R China; [Ban, Chao; Pan, Weilin] Chinese Acad Sci, Inst Atmospher Phys, Key Lab Middle Atmosphere &amp; Global Environm Obser, Beijing 100029, Peoples R China; [Wang, Zhangjun] Shandong Acad Sci, Inst Oceanog Instrumentat, Qingdao 266100, Peoples R China</t>
  </si>
  <si>
    <t>Wuhan University; Ministry of Natural Resources of the People's Republic of China; Polar Research Institute of China; Chinese Academy of Sciences; Institute of Atmospheric Physics, CAS; Qilu University of Technology</t>
  </si>
  <si>
    <t>Wang, R (corresponding author), Polar Res Inst China, Key Lab Polar Sci, Minist Nat Resources, Shanghai 200136, Peoples R China.</t>
  </si>
  <si>
    <t>wangrui@pric.org.cn</t>
  </si>
  <si>
    <t>Ban, Chao/AAI-9187-2020</t>
  </si>
  <si>
    <t>Liu, Fuchao/0000-0002-7798-8876</t>
  </si>
  <si>
    <t>National Key Research and Development Program of China [2018YFC1407301, 2016YFC1400301]; National Natural Science Foundation of China [41831072, 41927804]</t>
  </si>
  <si>
    <t>National Key Research and Development Program of China; National Natural Science Foundation of China(National Natural Science Foundation of China (NSFC))</t>
  </si>
  <si>
    <t>National Key Research and Development Program of China (2018YFC1407301, 2016YFC1400301); National Natural Science Foundation of China (41831072, 41927804).</t>
  </si>
  <si>
    <t>Optica Publishing Group</t>
  </si>
  <si>
    <t>2010 MASSACHUSETTS AVE NW, WASHINGTON, DC 20036 USA</t>
  </si>
  <si>
    <t>1094-4087</t>
  </si>
  <si>
    <t>OPT EXPRESS</t>
  </si>
  <si>
    <t>Opt. Express</t>
  </si>
  <si>
    <t>10.1364/OE.418926</t>
  </si>
  <si>
    <t>RG0DW</t>
  </si>
  <si>
    <t>WOS:000635208000027</t>
  </si>
  <si>
    <t>Yang, YK; Zhao, CF; Wang, Q; Cong, ZY; Yang, XC; Fan, H</t>
  </si>
  <si>
    <t>Yang, Yikun; Zhao, Chuanfeng; Wang, Quan; Cong, Zhiyuan; Yang, Xingchuan; Fan, Hao</t>
  </si>
  <si>
    <t>Aerosol characteristics at the three poles of the Earth as characterized by Cloud-Aerosol Lidar and Infrared Pathfinder Satellite Observations</t>
  </si>
  <si>
    <t>OPTICAL-PROPERTIES; BLACK CARBON; TIBETAN PLATEAU; ANTHROPOGENIC AEROSOLS; ATMOSPHERIC TRANSPORT; VERTICAL-DISTRIBUTION; BOUNDARY-LAYER; AIR-POLLUTION; SUMMER DUST; ARCTIC HAZE</t>
  </si>
  <si>
    <t>To better understand the aerosol properties over the Arctic, Antarctic and Tibetan Plateau (TP), the aerosol optical properties were investigated using 13 years of CALIPSO (Cloud-Aerosol Lidar and Infrared Pathfinder Satellite Observations) L3 data, and the back trajectories for air masses were also simulated using the Hybrid Single-Particle Lagrangian Integrated Trajectory (HYS-PLIT) model. The results show that the aerosol optical depth (AOD) has obvious spatial- and seasonal-variation characteristics, and the aerosol loading over Eurasia, Ross Sea and South Asia is relatively large. The annual-average AODs over the Arctic, Antarctic and TP are 0.046, 0.024 and 0.098, respectively. Seasonally, the AOD values are larger from late autumn to early spring in the Arctic, in winter and spring in the Antarctic, and in spring and summer over the TP. There are no significant temporal trends of AOD anomalies in the three study regions. Clean marine and dust-related aerosols are the dominant types over ocean and land, respectively, in both the Arctic and Antarctic, while dust-related aerosol types have greater occurrence frequency (OF) over the TP. The OF of dust-related and elevated smoke is large for a broad range of heights, indicating that they are likely transported aerosols, while other types of aerosols mainly occurred at heights below 2 km in the Antarctic and Arctic. The maximum OF of dust-related aerosols mainly occurs at 6 km altitude over the TP. The analysis of back trajectories of the air masses shows large differences among different regions and seasons. The Arctic region is more vulnerable to mid-latitude pollutants than the Antarctic region, especially in winter and spring, while the air masses in the TP are mainly from the Iranian Plateau, Tarim Basin and South Asia.</t>
  </si>
  <si>
    <t>[Yang, Yikun; Zhao, Chuanfeng; Yang, Xingchuan; Fan, Hao] Beijing Normal Univ, Coll Global Change &amp; Earth Syst Sci, State Key Lab Earth Surface Proc &amp; Resource Ecol, Beijing 100875, Peoples R China; [Yang, Yikun; Zhao, Chuanfeng; Yang, Xingchuan; Fan, Hao] Beijing Normal Univ, Joint Ctr Global Change Studies, Beijing 100875, Peoples R China; [Wang, Quan] Nanjing Univ, Dept Atmospher Phys, Nanjing 210046, Peoples R China; [Cong, Zhiyuan] Chinese Acad Sci, Inst Tibetan Plateau Res, Key Lab Tibetan Environm Changes &amp; Land Surface P, Beijing 100101, Peoples R China</t>
  </si>
  <si>
    <t>Beijing Normal University; Beijing Normal University; Nanjing University; Chinese Academy of Sciences; Institute of Tibetan Plateau Research, CAS</t>
  </si>
  <si>
    <t>Zhao, CF (corresponding author), Beijing Normal Univ, Coll Global Change &amp; Earth Syst Sci, State Key Lab Earth Surface Proc &amp; Resource Ecol, Beijing 100875, Peoples R China.;Zhao, CF (corresponding author), Beijing Normal Univ, Joint Ctr Global Change Studies, Beijing 100875, Peoples R China.</t>
  </si>
  <si>
    <t>czhao@bnu.edu.cn</t>
  </si>
  <si>
    <t>Yang, Yikun/ABE-5167-2021; cong, z/KCF-0053-2024; Fan, Hao/V-6381-2019; Zhao, Chuanfeng/IAO-1378-2023; , yangyikun/AAG-5748-2021; ?, ??/E-5237-2012</t>
  </si>
  <si>
    <t>Yang, Yikun/0000-0001-7427-6876; , yangyikun/0000-0001-7427-6876; Zhao, Chuanfeng/0000-0002-5196-3996; Fan, Hao/0000-0002-6947-9609; ?, ??/0000-0002-7545-5611</t>
  </si>
  <si>
    <t>Strategic Priority Research Program of the Chinese Academy of Sciences [XDA19070202]; National Natural Science Foundation of China [91837204, 41925022]</t>
  </si>
  <si>
    <t>Strategic Priority Research Program of the Chinese Academy of Sciences(Chinese Academy of Sciences); National Natural Science Foundation of China(National Natural Science Foundation of China (NSFC))</t>
  </si>
  <si>
    <t>This research has been supported by the Strategic Priority Research Program of the Chinese Academy of Sciences (grant no. XDA19070202) and the National Natural Science Foundation of China (grant nos. 91837204 and 41925022).</t>
  </si>
  <si>
    <t>10.5194/acp-21-4849-2021</t>
  </si>
  <si>
    <t>RG4XW</t>
  </si>
  <si>
    <t>WOS:000635544200004</t>
  </si>
  <si>
    <t>Goursaud, S; Holloway, M; Sime, L; Wolff, E; Valdes, P; Steig, EJ; Pauling, A</t>
  </si>
  <si>
    <t>Goursaud, Sentia; Holloway, Max; Sime, Louise; Wolff, Eric; Valdes, Paul; Steig, Eric J.; Pauling, Andrew</t>
  </si>
  <si>
    <t>Antarctic Ice Sheet Elevation Impacts on Water Isotope Records During the Last Interglacial</t>
  </si>
  <si>
    <t>climate modeling; effect of the elevation; Last Interglacial; water stable isotopes</t>
  </si>
  <si>
    <t>SEA-LEVEL; PROBABILISTIC ASSESSMENT; ATMOSPHERIC CIRCULATION; SOUTHERN-HEMISPHERE; CLIMATE; COLLAPSE; VARIABILITY; HOLOCENE; HISTORY; RETREAT</t>
  </si>
  <si>
    <t>Changes of the topography of the Antarctic Ice Sheet (AIS) can complicate the interpretation of ice core water stable isotope measurements in terms of temperature. Here, we use a set of idealized AIS elevation change scenarios to investigate this for the warm Last Interglacial (LIG). We show that LIG delta O-18 against elevation relationships is not uniform across Antarctica and that the LIG response to elevation is lower than the preindustrial response. The effect of LIG elevation-induced sea ice changes on delta O-18 is small, allowing us to isolate the effect of elevation change alone. Our results help to define the effect of AIS changes on the LIG delta O-18 signals and should be invaluable to those seeking to use AIS ice core measurements for these purposes. Especially, our simulations strengthen the conclusion that ice core measurements from the Talos Dome core exclude the loss of the Wilkes Basin at around 128 kyr.</t>
  </si>
  <si>
    <t>[Goursaud, Sentia; Wolff, Eric] Univ Cambridge, Dept Earth Sci, Cambridge, England; [Holloway, Max] Scottish Assoc Marine Sci, Oban, Argyll, Scotland; [Sime, Louise] British Antarctic Survey, Ice Dynam &amp; Paleoclimate, Cambridge, England; [Valdes, Paul] Univ Bristol, Sch Geog Sci, Bristol, Avon, England; [Steig, Eric J.; Pauling, Andrew] Univ Washington, Dept Atmospher Sci, Seattle, WA 98195 USA</t>
  </si>
  <si>
    <t>University of Cambridge; UHI Millennium Institute; UK Research &amp; Innovation (UKRI); Natural Environment Research Council (NERC); NERC British Antarctic Survey; University of Bristol; University of Washington; University of Washington Seattle</t>
  </si>
  <si>
    <t>Holloway, M (corresponding author), Scottish Assoc Marine Sci, Oban, Argyll, Scotland.</t>
  </si>
  <si>
    <t>Max.Holloway@sams.ac.uk</t>
  </si>
  <si>
    <t>Sime, Louise/AAX-7730-2021; Steig, Eric J/G-9088-2015; Wolff, Eric W/D-7925-2014</t>
  </si>
  <si>
    <t>Sime, Louise/0000-0002-9093-7926; Wolff, Eric W/0000-0002-5914-8531; Pauling, Andrew/0000-0003-4545-0809; Valdes, Paul/0000-0002-1902-3283; Holloway, Max/0000-0003-0709-3644</t>
  </si>
  <si>
    <t>European Research Council under the Horizon 2020 research and innovation program [742224]; Royal Society Professorship; EU-TiPES; European Union [820970]; [NE/P013279/1]; [NE/P009271/1]; European Research Council (ERC) [742224] Funding Source: European Research Council (ERC); NERC [bas0100034, NE/P009271/1] Funding Source: UKRI</t>
  </si>
  <si>
    <t>European Research Council under the Horizon 2020 research and innovation program(European Research Council (ERC)); Royal Society Professorship(Royal Society); EU-TiPES; European Union(European Union (EU)); ; ; European Research Council (ERC)(European Research Council (ERC)Spanish Government); NERC(UK Research &amp; Innovation (UKRI)Natural Environment Research Council (NERC))</t>
  </si>
  <si>
    <t>S.G., E.W., and L.S were funding through the European Research Council under the Horizon 2020 research and innovation program (grant agreement no. 742224, WACSWAIN). E.W. is also supported by a Royal Society Professorship. L.S. and M.H. acknowledge support through NE/P013279/1, NE/P009271/1, and EU-TiPES. The project has received funding from the European Union's Horizon 2020 research and innovation program under grant agreement number 820970. This material reflects only the author's views and the Commission is not liable for any use that may be made of the information contained therein.</t>
  </si>
  <si>
    <t>MAR 28</t>
  </si>
  <si>
    <t>e2020GL091412</t>
  </si>
  <si>
    <t>10.1029/2020GL091412</t>
  </si>
  <si>
    <t>RG0EH</t>
  </si>
  <si>
    <t>hybrid, Green Submitted, Green Accepted</t>
  </si>
  <si>
    <t>WOS:000635209100085</t>
  </si>
  <si>
    <t>England, MR</t>
  </si>
  <si>
    <t>England, Mark R.</t>
  </si>
  <si>
    <t>Are Multi-Decadal Fluctuations in Arctic and Antarctic Surface Temperatures a Forced Response to Anthropogenic Emissions or Part of Internal Climate Variability?</t>
  </si>
  <si>
    <t>aerosols; Antarctic; Arctic; large ensembles; polar climate change; single‐ forcing ensembles</t>
  </si>
  <si>
    <t>In this study, we investigate the drivers of observed multi-decadal fluctuations in Arctic and Antarctic surface temperatures using multiple large ensembles of climate simulations and single-forcing ensembles. We find that the observed oscillation in Arctic surface temperature around a linear trend since 1920 is a forced response to emissions of anthropogenic aerosols and greenhouse gases. In contrast, we show that observed multi-decadal Antarctic surface temperature fluctuations are partially related to Pacific decadal variability which influences the climate of West Antarctica. Lastly, we demonstrate that internally driven multi-decadal fluctuations at the two poles are not systematically correlated in any climate model examined here, as had been previously suggested. We conclude by discussing the implications of these results for understanding projections of Arctic and Antarctic surface climate of the coming decades.</t>
  </si>
  <si>
    <t>[England, Mark R.] Univ North Carolina Wilmington, Dept Phys &amp; Phys Oceanog, Wilmington, NC 28401 USA; [England, Mark R.] Scripps Inst Oceanog, Dept Climate Atmospher Sci &amp; Phys Oceanog, La Jolla, CA 92093 USA</t>
  </si>
  <si>
    <t>University of North Carolina; University of North Carolina Wilmington; University of California System; University of California San Diego; Scripps Institution of Oceanography</t>
  </si>
  <si>
    <t>England, MR (corresponding author), Univ North Carolina Wilmington, Dept Phys &amp; Phys Oceanog, Wilmington, NC 28401 USA.;England, MR (corresponding author), Scripps Inst Oceanog, Dept Climate Atmospher Sci &amp; Phys Oceanog, La Jolla, CA 92093 USA.</t>
  </si>
  <si>
    <t>mengland@ucsd.edu</t>
  </si>
  <si>
    <t>England, Mark/0000-0003-3882-872X</t>
  </si>
  <si>
    <t>NSF [OPP-1744835, OPP-1643445]</t>
  </si>
  <si>
    <t>This work was supported by NSF grants OPP-1744835 and OPP-1643445.</t>
  </si>
  <si>
    <t>e2020GL090631</t>
  </si>
  <si>
    <t>10.1029/2020GL090631</t>
  </si>
  <si>
    <t>WOS:000635209100087</t>
  </si>
  <si>
    <t>Meredith, NP; Bortnik, J; Horne, RB; Li, W; Shen, XC</t>
  </si>
  <si>
    <t>Meredith, Nigel P.; Bortnik, Jacob; Horne, Richard B.; Li, Wen; Shen, Xiao-Chen</t>
  </si>
  <si>
    <t>Statistical Investigation of the Frequency Dependence of the Chorus Source Mechanism of Plasmaspheric Hiss</t>
  </si>
  <si>
    <t>plasmaspheric hiss; radiation belts; whistler mode chorus</t>
  </si>
  <si>
    <t>GENERATION; ELECTRONS; ORIGIN; THEMIS</t>
  </si>
  <si>
    <t>We use data from eight satellites to statistically examine the role of chorus as a potential source of plasmaspheric hiss. We find that the strong equatorial (|lambda(m)| &lt; 6 degrees) chorus wave power in the frequency range 50 f &lt; 200 Hz does not extend to high latitudes in any magnetic local time sector and is unlikely to be the source of the low frequency plasmaspheric hiss in this frequency range. In contrast, strong equatorial chorus wave power in the medium frequency range 200 f &lt; 2,000 Hz is observed to extend to high latitudes and low altitudes in the pre-noon sector, consistent with ray tracing modeling from a chorus source and supporting the chorus to hiss generation mechanism. At higher frequencies, chorus may contribute to the weak plasmaspheric hiss seen on the dayside in the frequency range 2,000 f &lt; 3,000 Hz band but is not responsible for the weak plasmaspheric hiss on the nightside in the frequency range 3,000 f &lt; 4,000 Hz.</t>
  </si>
  <si>
    <t>[Meredith, Nigel P.; Horne, Richard B.] British Antarctic Survey, Nat Environm Res Council, Cambridge, England; [Bortnik, Jacob] Univ Calif Los Angeles, Dept Atmospher &amp; Ocean Sci, Los Angeles, CA USA; [Li, Wen; Shen, Xiao-Chen] Boston Univ, Ctr Space Phys, Boston, MA 02215 USA</t>
  </si>
  <si>
    <t>UK Research &amp; Innovation (UKRI); Natural Environment Research Council (NERC); NERC British Antarctic Survey; University of California System; University of California Los Angeles; Boston University</t>
  </si>
  <si>
    <t>Meredith, NP (corresponding author), British Antarctic Survey, Nat Environm Res Council, Cambridge, England.</t>
  </si>
  <si>
    <t>nmer@bas.ac.uk</t>
  </si>
  <si>
    <t>Horne, Richard B/U-3764-2019</t>
  </si>
  <si>
    <t>Horne, Richard B/0000-0002-0412-6407; Meredith, Nigel/0000-0001-5032-3463</t>
  </si>
  <si>
    <t>NASA [NAS5-02099, NNX14AI18G, RBSP-ECT, 80NSSC20K0698, 80NSSC19K0845]; Natural Environment Research Council Highlight Topic grant [NE/P01738X/1]; NERC [NE/V00249X/1, NE/R016038/1]; JHU/APL under NASA [967399, 921647, NAS5-01072]; NSF [AGS-1847818]; Alfred P. Sloan Research Fellowship [FG-2018-10936]; NERC [NE/R016038/1, NE/P01738X/1] Funding Source: UKRI</t>
  </si>
  <si>
    <t>NASA(National Aeronautics &amp; Space Administration (NASA)); Natural Environment Research Council Highlight Topic grant; NERC(UK Research &amp; Innovation (UKRI)Natural Environment Research Council (NERC)); JHU/APL under NASA; NSF(National Science Foundation (NSF)); Alfred P. Sloan Research Fellowship(Alfred P. Sloan Foundation); NERC(UK Research &amp; Innovation (UKRI)Natural Environment Research Council (NERC))</t>
  </si>
  <si>
    <t>We acknowledge the CDAWeb (https://cdaweb.sci.gsfc.nasa.gov/index.html/) for the provision of the DE-1 wave data. The authors thank LPCEE laboratory (Orleans, France) for their help in the analysis of this wave data. The authors thank the STAFF-DWP instrument team for provision of the Double Star TC1 data which is available at the Cluster Science Archive (https://www.cosmos.esa.int/web/csa).The authors thank NASA contract NAS5-02099 and V. Angelopoulos for use of data from THEMIS Mission. Specifically, the authors thank O. Le Contel and A. Roux for use of SCM data, which is available from http://themis.ssl.berkeley.edu/data/themis/.The authors are grateful for the Van Allen Probes data from the EMFISIS instrument obtained from https://emfisis.physics.uiowa.edu/data/index.The authors acknowledge the NSSDC Omniweb for the provision of the geomagnetic activity indices used in this report. The research leading to these results has received funding from the Natural Environment Research Council Highlight Topic grant NE/P01738X/1 (Rad-Sat) and the NERC grants NE/V00249X/1 (Sat-Risk) and NE/R016038/1. J. Bortnik would like to acknowledge support from NASA grant NNX14AI18G, and RBSP-ECT and EMFISIS funding provided by JHU/APL contracts 967399 and 921647 under NASA's prime contract NAS5-01072. W. Li and X.-C. Shen would like to acknowledge support from NASA grants 80NSSC20K0698 and 80NSSC19K0845, NSF grant AGS-1847818, and the Alfred P. Sloan Research Fellowship FG-2018-10936.</t>
  </si>
  <si>
    <t>e2021GL092725</t>
  </si>
  <si>
    <t>10.1029/2021GL092725</t>
  </si>
  <si>
    <t>WOS:000635209100046</t>
  </si>
  <si>
    <t>Wen, Q; Zhu, CY; Han, ZX; Liu, ZY; Yang, HJ</t>
  </si>
  <si>
    <t>Wen, Qin; Zhu, Chenyu; Han, Zixuan; Liu, Zhengyu; Yang, Haijun</t>
  </si>
  <si>
    <t>Can the Topography of Tibetan Plateau Affect the Antarctic Bottom Water?</t>
  </si>
  <si>
    <t>Antarctic bottom water; Bellingshausen Sea; Tibetan Plateau; Weddell Sea</t>
  </si>
  <si>
    <t>The Tibetan Plateau (TP) plays a vital role in shaping global climate. So far, however, few studies have focused on the impact of the TP on Southern Ocean (SO) circulation. Through fully coupled model experiments with and without the TP, we find that removing the TP could eventually enhance Antarctic bottom water (AABW) circulation by generating Rossby wave trains that propagate from the tropical Indo-Pacific to Amundsen-Bellingshausen Sea. The surface air temperature (SAT) cools over the Antarctic Peninsula, which then leads to increased brine injection and thus the initial enhancement of AABW. Later on, the increased horizontal salinity transport and oceanic vertical mixing over Bellingshausen Sea further strengthen the AABW. These findings imply that long term changes of AABW can be affected by not only local process but also remote forcing, including those from the Asian highland regions.</t>
  </si>
  <si>
    <t>[Wen, Qin] Nanjing Normal Univ, Key Lab Virtual Geog Environm, Jiangsu Ctr Collaborat Innovat Geog Informat Reso, Minist Educ,Sch Geog, Nanjing, Peoples R China; [Zhu, Chenyu] Ocean Univ China, Key Lab Phys Oceanog, Pilot Natl Lab Marine Sci &amp; Technol, Open Studio Ocean Climate Isotope Modeling, Qingdao, Peoples R China; [Han, Zixuan] Hohai Univ, Key Lab Marine Hazards Forecasting, Minist Educ Coastal Disaster &amp; Protect, Coll Oceanog,Minist Nat Resources,Key Lab, Nanjing, Peoples R China; [Liu, Zhengyu] Ohio State Univ, Dept Geog, Columbus, OH 43210 USA; [Yang, Haijun] Fudan Univ, Inst Atmospher Sci, Dept Atmospher &amp; Ocean Sci, Shanghai, Peoples R China; [Yang, Haijun] Fudan Univ, CMA FDU Joint Lab Marine Meteorol, Shanghai, Peoples R China</t>
  </si>
  <si>
    <t>Nanjing Normal University; Laoshan Laboratory; Ocean University of China; Hohai University; Ministry of Natural Resources of the People's Republic of China; University System of Ohio; Ohio State University; Fudan University; Fudan University</t>
  </si>
  <si>
    <t>Wen, Q (corresponding author), Nanjing Normal Univ, Key Lab Virtual Geog Environm, Jiangsu Ctr Collaborat Innovat Geog Informat Reso, Minist Educ,Sch Geog, Nanjing, Peoples R China.;Yang, HJ (corresponding author), Fudan Univ, Inst Atmospher Sci, Dept Atmospher &amp; Ocean Sci, Shanghai, Peoples R China.;Yang, HJ (corresponding author), Fudan Univ, CMA FDU Joint Lab Marine Meteorol, Shanghai, Peoples R China.</t>
  </si>
  <si>
    <t>wenq@pku.edu.cn; yanghj@fudan.edu.cn</t>
  </si>
  <si>
    <t>Wen, Qin/GQO-9487-2022; Zhu, Chenyu/GNM-9706-2022; Zhu, Chenyu/JAC-9261-2023</t>
  </si>
  <si>
    <t>Wen, Qin/0000-0003-0858-3864; Han, Zixuan/0000-0002-7035-0351; Zhu, Chenyu/0000-0002-9330-4294</t>
  </si>
  <si>
    <t>NSF of China [91737204, 41725021, 41376007, 41630527]</t>
  </si>
  <si>
    <t>NSF of China(National Natural Science Foundation of China (NSFC))</t>
  </si>
  <si>
    <t>This work is supported by the NSF of China (Nos. 91737204, 41725021, 41376007, and 41630527). We greatly thank the two anonymous reviewers for helpful comments on this work. The experiments were performed on the supercomputers at the Chinese National Supercomputer Centre in Tianjin (Tian-He No. 1).</t>
  </si>
  <si>
    <t>e2021GL092448</t>
  </si>
  <si>
    <t>10.1029/2021GL092448</t>
  </si>
  <si>
    <t>WOS:000635209100038</t>
  </si>
  <si>
    <t>Chae, H; Kim, EJ; Lim, S; Kim, HS; Choi, HG; Kim, S; Kim, JH</t>
  </si>
  <si>
    <t>Chae, Hyunsik; Kim, Eun Jae; Lim, Sooyeon; Kim, Han Soon; Choi, Han-Gu; Kim, Sanghee; Kim, Ji Hee</t>
  </si>
  <si>
    <t>Morphology and phylogenetic relationships of two new Antarctic species in phylogroup Chloromonadinia (Volvocales, Chlorophyceae)</t>
  </si>
  <si>
    <t>PHYCOLOGIA</t>
  </si>
  <si>
    <t>Chloromonas deceptionensis; Internal transcribed spacer 2; Molecular phylogeny; Ostravamonas greenwichensis</t>
  </si>
  <si>
    <t>TAXONOMIC REASSESSMENT</t>
  </si>
  <si>
    <t>The phylogroup Chloromonadinia (Volvocales, Chlorophyceae) comprises green microalgae that inhabit a variety of environments, including freshwater, soil, and snow. Two strains were isolated from two sites in the South Shetland Islands in maritime Antarctica, and their morphological and molecular characteristics were studied. Light microscopy of the strain KSF0090 revealed ellipsoidal or broad ellipsoidal, sometimes almost spherical cells with a chloroplast without a pyrenoid, a prominent eyespot, and a hemispherical papilla. The vegetative cells of KSF0208 were ellipsoidal to ovoid cells with a chloroplast with a central pyrenoid, a linear eyespot, and a papilla. The two strains differed from other closely related species based on size and the aforementioned morphological characteristics. Nuclear small subunit rDNA sequence data indicated that each strain formed a distinct well-supported lineage within the phylogroup Chloromonadinia. In addition, comparative analyses of the secondary structures of internal transcribed spacer 2 and compensatory base changes were used to identify and characterize the two strains. Based on their morphological and molecular characteristics, we propose KSF0090 and KSF0208 as two new species, Chloromonas deceptionensis sp. nov. and Ostravamonas greenwichensis sp. nov., respectively.</t>
  </si>
  <si>
    <t>[Chae, Hyunsik; Kim, Eun Jae; Choi, Han-Gu; Kim, Sanghee; Kim, Ji Hee] Korea Polar Res Inst, Div Life Sci, Incheon 21990, South Korea; [Chae, Hyunsik; Kim, Han Soon] Kyungpook Natl Univ, Sch Life Sci, Daegu 41566, South Korea; [Lim, Sooyeon] Geninus, Genome Analysing Team, Seoul 05836, South Korea</t>
  </si>
  <si>
    <t>Korea Polar Research Institute (KOPRI); Kyungpook National University</t>
  </si>
  <si>
    <t>Kim, JH (corresponding author), Korea Polar Res Inst, Div Life Sci, Incheon 21990, South Korea.</t>
  </si>
  <si>
    <t>jhalgae@kopri.re.kr</t>
  </si>
  <si>
    <t>Chae, Hyunsik/0000-0003-0491-4662</t>
  </si>
  <si>
    <t>Korea Polar Research Institute (KORRI) project [PE21130]</t>
  </si>
  <si>
    <t>Korea Polar Research Institute (KORRI) project(Korea Polar Research Institute of Marine Research Placement (KOPRI))</t>
  </si>
  <si>
    <t>This work was supported by the Korea Polar Research Institute (KORRI) project PE21130.</t>
  </si>
  <si>
    <t>0031-8884</t>
  </si>
  <si>
    <t>2330-2968</t>
  </si>
  <si>
    <t>Phycologia</t>
  </si>
  <si>
    <t>10.1080/00318884.2021.1893005</t>
  </si>
  <si>
    <t>Plant Sciences; Marine &amp; Freshwater Biology</t>
  </si>
  <si>
    <t>SD9LC</t>
  </si>
  <si>
    <t>WOS:000635411200001</t>
  </si>
  <si>
    <t>Nakata, K; Ohshima, KI; Nihashi, S</t>
  </si>
  <si>
    <t>Nakata, K.; Ohshima, K. I.; Nihashi, S.</t>
  </si>
  <si>
    <t>Mapping of Active Frazil for Antarctic Coastal Polynyas, With an Estimation of Sea-Ice Production</t>
  </si>
  <si>
    <t>coastal polynya; frazil ice; ice type; passive microwaves; sea ice production; Southern Ocean</t>
  </si>
  <si>
    <t>The importance of the area of active frazil and associated high sea-ice production in Antarctic coastal polynyas has been increasingly recognized in recent in situ and high-resolution satellite observations. However, the occurrence and spatial distribution of active-frazil area are not well understood. We present the first mapping of active-frazil area for Antarctic coastal polynyas, based on the thin ice algorithm of AMSR-E that discriminates active-frazil area. Mapping of sea-ice production is presented by taking account of active-frazil area. Active-frazil area is predominant along East Antarctica, particularly very close to the coast, locally leading to very high ice-production rates exceeding 20 m/yr. For frazil-dominant polynyas, estimated ice production is similar to 20%-50% higher compared with previous studies. Analyses of all the major polynyas suggest that active-frazil extent depends on offshore wind and air temperature, while ice production is determined by offshore wind only.</t>
  </si>
  <si>
    <t>[Nakata, K.; Ohshima, K. I.] Hokkaido Univ, Inst Low Temp Sci, Sapporo, Hokkaido, Japan; [Ohshima, K. I.] Hokkaido Univ, Arctic Res Ctr, Sapporo, Hokkaido, Japan; [Nihashi, S.] Tomakomai Coll, Natl Inst Technol, Dept Engn Innovat, Tomakomai, Japan</t>
  </si>
  <si>
    <t>Hokkaido University; Hokkaido University</t>
  </si>
  <si>
    <t>Nakata, K (corresponding author), Hokkaido Univ, Inst Low Temp Sci, Sapporo, Hokkaido, Japan.</t>
  </si>
  <si>
    <t>nakata_kazuki@lowtem.hokudai.ac.jp</t>
  </si>
  <si>
    <t>Ohshima, Kay I/D-6909-2012</t>
  </si>
  <si>
    <t>Nakata, Kazuki/0000-0002-4298-1148</t>
  </si>
  <si>
    <t>Ministry of Education, Culture, Sports, Science and Technology in Japan [17H01157, 17H06317, 18H05052, 20H04976, 20H05707]; research fund for Global Change Observation Mission Water 1 (GCOM-W1) of the Japan Aerospace Exploration Agency (JAXA) [RA1W403, ER2GWF404]; Grants-in-Aid for Scientific Research [18H05052, 17H06317, 17H01157, 20H04976, 20K20933, 20H05707] Funding Source: KAKEN</t>
  </si>
  <si>
    <t>Ministry of Education, Culture, Sports, Science and Technology in Japan(Ministry of Education, Culture, Sports, Science and Technology, Japan (MEXT)); research fund for Global Change Observation Mission Water 1 (GCOM-W1) of the Japan Aerospace Exploration Agency (JAXA); Grants-in-Aid for Scientific Research(Ministry of Education, Culture, Sports, Science and Technology, Japan (MEXT)Japan Society for the Promotion of ScienceGrants-in-Aid for Scientific Research (KAKENHI))</t>
  </si>
  <si>
    <t>We thank Pat Langhorne and the one anonymous reviewer for their insightful comments and corrections that have improved this paper. The authors express their gratitude to Kyoko Kitagawa for their support. This work was supported by Grants-in-Aids for Scientific Research (17H01157, 17H06317, 18H05052, 20H04976, and 20H05707) from the Ministry of Education, Culture, Sports, Science and Technology in Japan. This work was also supported by a research fund for Global Change Observation Mission Water 1 (GCOM-W1) of the Japan Aerospace Exploration Agency (JAXA) (PI No. RA1W403 and ER2GWF404).</t>
  </si>
  <si>
    <t>e2020GL091353</t>
  </si>
  <si>
    <t>10.1029/2020GL091353</t>
  </si>
  <si>
    <t>WOS:000635209100034</t>
  </si>
  <si>
    <t>Iglésias, SP; Kemper, JM; Naylor, GJP</t>
  </si>
  <si>
    <t>Iglesias, Samuel P.; Kemper, Jenny M.; Naylor, Gavin J. P.</t>
  </si>
  <si>
    <t>Chimaera compacta, a new species from southern Indian Ocean, and an estimate of phylogenetic relationships within the genus Chimaera (Chondrichthyes: Chimaeridae)</t>
  </si>
  <si>
    <t>ICHTHYOLOGICAL RESEARCH</t>
  </si>
  <si>
    <t>New species; Holocephali; DNA barcoding; Phylogeny; Saint-Paul and Amsterdam Islands</t>
  </si>
  <si>
    <t>FISHES HOLOCEPHALI; N. SP.; CHIMAERIFORMES; REDESCRIPTION; ATLANTIC</t>
  </si>
  <si>
    <t>Chimaera compacta sp. nov., a new species of shortnose chimaera (Holocephali: Chimaeriformes: Chimaeridae), is described from a single specimen collected at 595-655 m depth, off Amsterdam Island, in the southern Indian Ocean. The species is easily distinguished from its congeners by the combination of the following characters: massive head with short snout; stocky and relatively long trunk 44% BDL, short tail with second dorsal fin base 72% BDL; long pelvic fin anterior margin 26% BDL. Caudal fin dorsal origin slightly posterior to caudal fin ventral origin. Firm, non-deciduous skin; brown color with yellow blotches. Chimaera compacta sp. nov. is morphologically close to Chimaera lignaria Didier 2002 from New Zealand and Chimaera willwatchi Clerkin, Ebert and Kemper 2017 from south western Indian Ocean. The new species can be distinguished from other Chimaera species based on DNA sequences divergence of the COI and NADH2 genes. This species has a nucleotide sequence divergence (uncorrected p distances) for the studied genes of 4.2 and 4.1%, respectively, with its closest relatives. Phylogenetically, Chimaera compacta sp. nov. is nested within a well-supported group including Chimaera carophila Kemper, Ebert, Naylor and Didier 2014, Chimaera didierae Clerkin, Ebert and Kemper 2017, C. lignaria, Chimaera macrospina Didier, Last and White 2008, Chimaera notafricana Kemper, Ebert, Compagno and Didier 2010, Chimaera opalescens Luchetti, Iglesias and Sellos 2011, and C. willwatchi. It is the first Chimaeridae described for the Territory of the French Southern and Antarctic Lands.</t>
  </si>
  <si>
    <t>[Iglesias, Samuel P.] Univ Antilles, Inst Systemat Evolut Biodiversite ISYEB, Museum Natl Hist Nat, CNRS,Sorbonne Univ,EPHE,Stn Marine Concarneau, Pl Croix, F-29900 Concarneau, France; [Kemper, Jenny M.] Med Univ South Carolina, Hollings Marine Lab, 331 Ft Johnson Rd, Charleston, SC 29412 USA; [Naylor, Gavin J. P.] Univ Florida, Florida Museum Nat Hist, 1659 Museum Rd, Gainesville, FL 32611 USA</t>
  </si>
  <si>
    <t>Museum National d'Histoire Naturelle (MNHN); Sorbonne Universite; Universite PSL; Ecole Pratique des Hautes Etudes (EPHE); Centre National de la Recherche Scientifique (CNRS); Medical University of South Carolina; State University System of Florida; University of Florida</t>
  </si>
  <si>
    <t>Iglésias, SP (corresponding author), Univ Antilles, Inst Systemat Evolut Biodiversite ISYEB, Museum Natl Hist Nat, CNRS,Sorbonne Univ,EPHE,Stn Marine Concarneau, Pl Croix, F-29900 Concarneau, France.</t>
  </si>
  <si>
    <t>samuel.iglesias@mnhn.fr</t>
  </si>
  <si>
    <t>Iglesias, Samuel/0000-0002-2926-9770; Kemper, Jenny/0009-0005-1764-6646</t>
  </si>
  <si>
    <t>NSF [DEB 1132229]</t>
  </si>
  <si>
    <t>We are grateful to the captain and the crew of the commercial trawler Austral for collecting the material; the fishery observer Jean-Marie Lepetitcorps (dagger) for preserving the specimen; Guy Duhamel for having enabled and encouraged the analyses of the specimen, the 'Service Peche des TAAF' to support the repatriation of the voucher; Daniel Y. Sellos and Lei Yang, for help with DNA sequencing; Pauline Gacon for the drawing of the head. This project was supported in part by NSF grant DEB 1132229 to GJPN.</t>
  </si>
  <si>
    <t>1341-8998</t>
  </si>
  <si>
    <t>1616-3915</t>
  </si>
  <si>
    <t>ICHTHYOL RES</t>
  </si>
  <si>
    <t>Ichthyol. Res.</t>
  </si>
  <si>
    <t>10.1007/s10228-021-00810-9</t>
  </si>
  <si>
    <t>Fisheries; Marine &amp; Freshwater Biology; Zoology</t>
  </si>
  <si>
    <t>YD7ZQ</t>
  </si>
  <si>
    <t>WOS:000634310500002</t>
  </si>
  <si>
    <t>Kostrova, SS; Biskaborn, BK; Pestryakova, LA; Fernandoy, F; Lenz, MM; Meyer, H</t>
  </si>
  <si>
    <t>Kostrova, Svetlana S.; Biskaborn, Boris K.; Pestryakova, Luidmila A.; Fernandoy, Francisco; Lenz, Marlene M.; Meyer, Hanno</t>
  </si>
  <si>
    <t>Climate and environmental changes of the Lateglacial transition and Holocene in northeastern Siberia: Evidence from diatom oxygen isotopes and assemblage composition at Lake Emanda</t>
  </si>
  <si>
    <t>Stable isotopes; Diatoms; Climate changes; Lake sediments</t>
  </si>
  <si>
    <t>LATE QUATERNARY VEGETATION; ICE-RICH PERMAFROST; EASTERN SIBERIA; CENTRAL YAKUTIA; VERKHOYANSK MOUNTAINS; STABLE-ISOTOPE; LIMNOLOGICAL CHARACTERISTICS; THERMOKARST LAKE; POLLEN RECORD; RIVER-BASIN</t>
  </si>
  <si>
    <t>A new dataset from Lake Emanda provides insights into climate and environmental dynamics in an extreme continental setting in northeastern Siberia. The delta O-18(diatom) record is supported by diatom assemblage analysis, modern isotope hydrology and atmospheric circulation patterns. The data reveal a relatively cold oligotrophic freshwater lake system persisting for the last similar to 13.2 cal ka BP. Most recent delta O-18(diatom) (+21.5 parts per thousand) combined with present-day average delta O-18(lake) (-16.5 parts per thousand) allows calculating T-lake (similar to 21 degrees C), reflecting summer conditions. Nonetheless, the delta O-18(diatom) variability is associated with changes in delta O-18(lake) rather than with T-lake. An obvious shift of similar to 2 parts per thousand in the delta O-18(diatom) record at 11.7-11.5 cal ka BP accompanied by significant changes in diatom assemblages reflects the onset of the Holocene. Relatively high delta O-18(diatom) during the Early Holocene suggests relatively warm and/or dry climate with associated evaporation effects. The absolute maximum in delta O-18(diatom) of +27.7 parts per thousand consistent with high values of diatom indices at similar to 7.9-7.0 cal ka BP suggests a Mid Holocene Thermal Maximum. A continuous depletion in delta O-18(diatom) since similar to 5.0 cal ka BP is interpreted as Middle to Late Holocene cooling reaching the absolute minimum at 0.4 cal ka BP (i.e. the Little Ice Age). An overall cooling trend (similar to 0.3 parts per thousand 1000 yr(-1)) throughout the Holocene follows decreasing solar insolation. The pattern of the Lake Emanda delta O-18(diatom) record is similar to that obtained from Lake El'gygytgyn suggesting a common eastern regional signal in both records, despite their hydrological differences. Presently, atmospheric moisture reaches the study region from the west and east with similar to 40% each, as well as similar to 20% from the north. (C) 2021 The Author(s). Published by Elsevier Ltd.</t>
  </si>
  <si>
    <t>[Kostrova, Svetlana S.; Biskaborn, Boris K.; Meyer, Hanno] Helmholtz Ctr Polar &amp; Marine Res, Res Unit Potsdam, Alfred Wegener Inst, Telegrafenberg A45, D-14473 Potsdam, Germany; [Kostrova, Svetlana S.] Russian Acad Sci, Vinogradov Inst Geochem, Siberian Branch, Favorsky Str 1a, Irkutsk 664033, Russia; [Pestryakova, Luidmila A.] North Eastern Fed Univ Yakutsk, Inst Nat Sci, Belinskogo Str 58, Yakutsk 677000, Russia; [Fernandoy, Francisco] Univ Andres Bello, Fac Ingn, Lab Anal Isotop, 980 Quillota St, Vina Del Mar 2531015, Chile; [Lenz, Marlene M.] Univ Cologne, Inst Geol &amp; Mineral, Zulpicher Str 49a, D-50674 Cologne, Germany</t>
  </si>
  <si>
    <t>Helmholtz Association; Alfred Wegener Institute, Helmholtz Centre for Polar &amp; Marine Research; Russian Academy of Sciences; Irkutsk Science Centre of the Russian Academy of Sciences; A.P. Vinogradov Institute of Geochemistry of the Siberian Branch of the RAS; North-Eastern Federal University in Yakutsk; Universidad Andres Bello; University of Cologne</t>
  </si>
  <si>
    <t>Kostrova, SS (corresponding author), Helmholtz Ctr Polar &amp; Marine Res, Res Unit Potsdam, Alfred Wegener Inst, Telegrafenberg A45, D-14473 Potsdam, Germany.</t>
  </si>
  <si>
    <t>Svetlana.Kostrova@awi.de; Boris.Biskaborn@awi.de; lapest@mail.ru; francisco.fernandoy@unab.cl; mbaumer@uni-koeln.de; Hanno.Meyer@awi.de</t>
  </si>
  <si>
    <t>Pestryakova, Luidmila/Q-9900-2016; Meyer, Hanno/AAQ-4260-2021; Biskaborn, Boris K./D-2419-2011</t>
  </si>
  <si>
    <t>Pestryakova, Luidmila/0000-0001-5347-4478; Meyer, Hanno/0000-0003-4129-4706; Kostrova, Svetlana/0000-0003-1124-5559; Biskaborn, Boris K./0000-0003-2378-0348; Lenz (nee Baumer), Marlene Margit/0000-0002-5352-3900</t>
  </si>
  <si>
    <t>German Federal Ministry of Education and Research; Germany (BMBF) [03G0859]; Russian Foundation for Basic Research; Russia (RFBR) [1845-140053 r_a]; IGC SB RAS [0284-2021-0003]; Ministry of Science and Higher Education of the Russian Federation; Russia [FSRG-2020-0019]</t>
  </si>
  <si>
    <t>German Federal Ministry of Education and Research; Germany (BMBF)(Federal Ministry of Education &amp; Research (BMBF)); Russian Foundation for Basic Research; Russia (RFBR)(Russian Foundation for Basic Research (RFBR)); IGC SB RAS; Ministry of Science and Higher Education of the Russian Federation; Russia</t>
  </si>
  <si>
    <t>This study was performed as part of the 'PLOTePaleolimnological Transect' project funded by the German Federal Ministry of Education and Research; Germany (BMBF; grant 03G0859). We appreciate Prof. Dmitry Bolshiyanov from the Arctic and Antarctic Research Institute in St. Petersburg for his help during the field campaign. We thank Ilona Burghardt from the German Research Center for Geosciences (GFZ) in Potsdam for the EDS analyses. Mikaela Weiner is acknowledged for technical support during sample preparation and isotope measurements at the AWI Potsdam stable isotope facility. Research of Dr. Svetlana Kostrova contributes to the State Research Program of IGC SB RAS 0284-2021-0003. Research of Dr. Luidmila Pestryakova has been partly supported by the Russian Foundation for Basic Research; Russia (RFBR; grant 1845-140053 r_a) and the YMinistry of Science and Higher Education of the Russian Federation; Russia (grant FSRG-2020-0019). We are grateful to Prof. Anson W. Mackay and an anonymous reviewer for their helpful and constructive comments on the manuscript.</t>
  </si>
  <si>
    <t>10.1016/j.quascirev.2021.106905</t>
  </si>
  <si>
    <t>WOS:000644423800008</t>
  </si>
  <si>
    <t>Ishino, S; Hattori, S; Legrand, M; Chen, Q; Alexander, B; Shao, J; Huang, J; Jaeglé, L; Jourdain, B; Preunkert, S; Yamada, A; Yoshida, N; Savarino, J</t>
  </si>
  <si>
    <t>Ishino, S.; Hattori, S.; Legrand, M.; Chen, Q.; Alexander, B.; Shao, J.; Huang, J.; Jaegle, L.; Jourdain, B.; Preunkert, S.; Yamada, A.; Yoshida, N.; Savarino, J.</t>
  </si>
  <si>
    <t>Regional Characteristics of Atmospheric Sulfate Formation in East Antarctica Imprinted on 17O-Excess Signature</t>
  </si>
  <si>
    <t>aerosols; Antarctica; isotope; methanesulfonate; sulfate</t>
  </si>
  <si>
    <t>SEA-SALT AEROSOL; SIZE-SEGREGATED AEROSOL; TEMPERATURE-DEPENDENT KINETICS; NONMETAL REDOX KINETICS; COASTAL DUMONT DURVILLE; AQUEOUS-PHASE REACTIONS; BOUNDARY-LAYER; REACTIVE NITROGEN; DIMETHYL SULFIDE; SURFACE OZONE</t>
  </si>
  <si>
    <t>O-17-excess (Delta O-17 = delta O-17 - 0.52 x delta O-18) of sulfate trapped in Antarctic ice cores has been proposed as a potential tool for assessing past oxidant chemistry, while insufficient understanding of atmospheric sulfate formation around Antarctica hampers its interpretation. To probe influences of regional specific chemistry, we compared year-round observations of Delta O-17 of non-sea-salt sulfate in aerosols (Delta O-17(SO42-)(nss)) at Dome C and Dumont d'Urville, inland and coastal sites in East Antarctica, throughout the year 2011. Although Delta O-17(SO42-)(nss) at both sites showed consistent seasonality with summer minima (similar to 1.0 parts per thousand) and winter maxima (similar to 2.5 parts per thousand) owing to sunlight-driven changes in the relative importance of O-3 oxidation to OH and H2O2 oxidation, significant intersite differences were observed in austral spring-summer and autumn. The cooccurrence of higher Delta O-17(SO42-)(nss) at inland (2.0 parts per thousand +/- 0.1 parts per thousand) than the coastal site (1.2 parts per thousand +/- 0.1 parts per thousand) and chemical destruction of methanesulfonate (MS-) in aerosols at inland during spring-summer (October-December), combined with the first estimated Delta O-17(MS-) of similar to 16 parts per thousand, implies that MS- destruction produces sulfate with high Delta O-17(SO42-)(nss) of similar to 12 parts per thousand. If contributing to the known postdepositional decrease of MS- in snow, this process should also cause a significant postdepositional increase in Delta O-17(SO42-)(nss) over 1 parts per thousand, that can reconcile the discrepancy between Delta O-17(SO42-)(nss) in the atmosphere and ice. The higher Delta O-17(SO42-)(nss) at the coastal site than inland during autumn (March-May) may be associated with oxidation process involving reactive bromine and/or sea-salt particles around the coastal region.</t>
  </si>
  <si>
    <t>[Ishino, S.; Hattori, S.; Yoshida, N.] Tokyo Inst Technol, Sch Mat &amp; Chem Technol, Dept Chem Sci &amp; Engn, Yokohama, Kanagawa, Japan; [Ishino, S.] Res Org Informat &amp; Syst, Natl Inst Polar Res, Tokyo, Japan; [Legrand, M.; Jourdain, B.; Preunkert, S.; Savarino, J.] Univ Grenoble Pes, CNRS, IRD, Grenoble INP,Inst Geosci Environm IGE, Grenoble, France; [Chen, Q.; Alexander, B.; Shao, J.; Huang, J.; Jaegle, L.] Univ Washington, Dept Atmospher Sci, Seattle, WA 98195 USA; [Shao, J.] Civil Aviat Univ China, Coll Flight Technol, Tianjin, Peoples R China; [Yamada, A.] Toshima Elect Ltd, Tokyo, Japan; [Yoshida, N.] Tokyo Inst Technol, Earth Life Sci Inst, Tokyo, Japan</t>
  </si>
  <si>
    <t>Tokyo Institute of Technology; Research Organization of Information &amp; Systems (ROIS); National Institute of Polar Research (NIPR) - Japan; Institut de Recherche pour le Developpement (IRD); Communaute Universite Grenoble Alpes; Institut National Polytechnique de Grenoble; Centre National de la Recherche Scientifique (CNRS); University of Washington; University of Washington Seattle; Civil Aviation University of China; Tokyo Institute of Technology</t>
  </si>
  <si>
    <t>Hattori, S (corresponding author), Tokyo Inst Technol, Sch Mat &amp; Chem Technol, Dept Chem Sci &amp; Engn, Yokohama, Kanagawa, Japan.</t>
  </si>
  <si>
    <t>hattori.s.ab@m.titech.ac.jp</t>
  </si>
  <si>
    <t>Ishino, Sakiko/HJX-9385-2023; Hattori, Shohei/KGK-4865-2024; Yoshida, Naohiro/A-8335-2010; Alexander, Becky/N-7048-2013; Jaegle, Lyatt/M-6536-2015; savarino, joel/H-9730-2012</t>
  </si>
  <si>
    <t>Ishino, Sakiko/0000-0002-5897-7063; Hattori, Shohei/0000-0002-4438-5462; Yoshida, Naohiro/0000-0003-0454-3849; Alexander, Becky/0000-0001-9915-4621; Jaegle, Lyatt/0000-0003-1866-801X; Chen, Qianjie/0000-0003-4737-5179; savarino, joel/0000-0002-6708-9623</t>
  </si>
  <si>
    <t>Institut Polaire Francais Paul Emile Victor (IPEV) [CAPOXI 35-75]; IPEV; National Institute of Sciences of the Universe (INSU-CNRS); JSPS KAKENHI from the Ministry of Education, Culture, Sports, Science and Technology (MEXT), Japan [JP17J08978, JP19J00682, JP16H05884, JP18H05050, JP20H04305, JP20H04969, JP17H06105]; Labex OSUG@2020 [ANR10 LABX56]; French Agence Nationale de la Recherche (ANR) [ANR-14-CE33-0009-01, ANR-16-CE01-0011-01]; NSF [1343077, 1702266]; NASA [80NSSC19K1273]; BNP-Paribas foundation; Institut National des Sciences de l'Univers/CNRS; CNRS/INSU [207394]; PH-SAKURA program of the French Embassy in Japan [31897PM]; Agence Nationale de la Recherche (ANR) [ANR-14-CE33-0009] Funding Source: Agence Nationale de la Recherche (ANR); Grants-in-Aid for Scientific Research [20H04969, 20H04305] Funding Source: KAKEN; Div Atmospheric &amp; Geospace Sciences; Directorate For Geosciences [1702266, 1343077] Funding Source: National Science Foundation</t>
  </si>
  <si>
    <t>Institut Polaire Francais Paul Emile Victor (IPEV); IPEV; National Institute of Sciences of the Universe (INSU-CNRS); JSPS KAKENHI from the Ministry of Education, Culture, Sports, Science and Technology (MEXT), Japan; Labex OSUG@2020; French Agence Nationale de la Recherche (ANR)(Agence Nationale de la Recherche (ANR)); NSF(National Science Foundation (NSF)); NASA(National Aeronautics &amp; Space Administration (NASA)); BNP-Paribas foundation; Institut National des Sciences de l'Univers/CNRS(Centre National de la Recherche Scientifique (CNRS)); CNRS/INSU(Centre National de la Recherche Scientifique (CNRS)); PH-SAKURA program of the French Embassy in Japan; Agence Nationale de la Recherche (ANR)(Agence Nationale de la Recherche (ANR)); Grants-in-Aid for Scientific Research(Ministry of Education, Culture, Sports, Science and Technology, Japan (MEXT)Japan Society for the Promotion of ScienceGrants-in-Aid for Scientific Research (KAKENHI)); Div Atmospheric &amp; Geospace Sciences; Directorate For Geosciences(National Science Foundation (NSF)NSF - Directorate for Geosciences (GEO))</t>
  </si>
  <si>
    <t>We thank Shuting Zhai for providing support to S.I. and S.H. for handling the GEOS-Chem model. We acknowledge financial supports and field supplies for winter and summer campaigns at Dome C and DDU by the Institut Polaire Francais Paul Emile Victor (IPEV) from program 1011 (SUNITEDC) and program 1177 (CAPOXI 35-75). We also thank aerosol data provided via the French Environmental Observation Service CESOA, which was supported by IPEV and the National Institute of Sciences of the Universe (INSU-CNRS). We acknowledge JSPS KAKENHI (JP17J08978 [S.I.], JP19J00682 [S.I.], JP16H05884 [S.H.], JP18H05050 [S.H.], JP20H04305 [S.H.], JP20H04969 [S.H.], and JP17H06105 [N.Y. and S.H.]) from the Ministry of Education, Culture, Sports, Science and Technology (MEXT), Japan. We acknowledge Labex OSUG@2020 (Investissements d'avenir -ANR10 LABX56), the French Agence Nationale de la Recherche (ANR) FOFAMIFS project (grant ANR-14-CE33-0009-01) and EAIIST project (grant ANR-16-CE01-0011-01) (J.S.), NSF AGS award 1343077 and 1702266 (B.A.), and NASA award 80NSSC19K1273 (L.J.). The BNP-Paribas foundation is also acknowledged for its financial support under its climate initiative (J.S.). AppSILAS, a scientific program of LEFE-CHAT from the Institut National des Sciences de l'Univers/CNRS, has also provided partial funding for this study (J.S.). S.H. acknowledges JSPS and CNRS under the JSPS-CNRS Joint Research Program. J.S. acknowledges the CNRS/INSU (PRC program 207394) and the PH-SAKURA program of the French Embassy in Japan (project 31897PM) for financial support. This is publication 3 of PANDA platform. Meteo France is acknowledged for providing meteorological data at DDU and IPEV/PNRA for providing routine meteorological observation at station Concordia (www.climantartide.it).</t>
  </si>
  <si>
    <t>MAR 27</t>
  </si>
  <si>
    <t>e2020JD033583</t>
  </si>
  <si>
    <t>10.1029/2020JD033583</t>
  </si>
  <si>
    <t>RF4CV</t>
  </si>
  <si>
    <t>Green Submitted, hybrid, Green Published</t>
  </si>
  <si>
    <t>WOS:000634788300022</t>
  </si>
  <si>
    <t>Jiang, B; Xie, ZQ; Lam, PKS; He, PZ; Yue, FG; Wang, LQ; Huang, YK; Kang, H; Yu, XW; Wu, XD</t>
  </si>
  <si>
    <t>Jiang, Bei; Xie, Zhouqing; Lam, Paul K. S.; He, Pengzhen; Yue, Fange; Wang, Longquan; Huang, Yikang; Kang, Hui; Yu, Xiawei; Wu, Xudong</t>
  </si>
  <si>
    <t>Spatial and Temporal Distribution of Sea Salt Aerosol Mass Concentrations in the Marine Boundary Layer From the Arctic to the Antarctic</t>
  </si>
  <si>
    <t>GEOS‐ Chem model; marine boundary layer; sea salt aerosols; sea‐ air temperature difference; spatiotemporal distribution</t>
  </si>
  <si>
    <t>GENERAL-CIRCULATION MODEL; SOUTHERN-OCEAN CLOUD; SPRAY AEROSOL; ISOTOPIC CONSTRAINTS; CHEMICAL-COMPOSITION; WIND-SPEED; ICE; PARAMETERIZATION; SNOW; WAVE</t>
  </si>
  <si>
    <t>Global warming, increases in sea surface temperatures (SST), and reductions in sea ice may lead to changes in the distribution of global sea salt aerosol (SSA) concentrations, which may in turn affect the global climate. However, there are few global-scale observations of SSA over marine environments. Here, we report SSA mass concentrations observed along the cruise tracks of the Chinese Polar Research Expedition in summer 2008-2018. We found the following: (1) There are significant differences between SSA concentrations in sea areas at different latitudes, and that of the Arctic Ocean was significantly lower than other sea areas; (2) over the last 10 years, the SSA concentrations in the Bering Sea were significantly higher in 2016 than in 2012, and trends from the Arctic Ocean and Southern Ocean are similar, as both showed a minimum in 2014; (3) the sea-air temperature differences among the various marine regions studied may contribute to the different distribution of SSA concentrations; (4) sea ice fraction and SST are probably the main factors controlling the interannual changes in SSA concentrations in the Arctic Ocean and Bering Sea, respectively; and (5) The large sea-air temperature difference in the Southern Ocean may promote the emission of SSA. Therefore, the SST parameterization of GEOS Chem model in the low SST sea area (the Southern Ocean) may have an excessively large effect on suppressing SSA emission resulting in a significant underestimation of the GEOS-Chem model in the Southern Ocean (-62%).</t>
  </si>
  <si>
    <t>[Jiang, Bei; Xie, Zhouqing; He, Pengzhen; Yue, Fange; Wang, Longquan; Huang, Yikang; Kang, Hui; Yu, Xiawei; Wu, Xudong] Univ Sci &amp; Technol China, Dept Environm Sci &amp; Engn, Anhui Key Lab Polar Environm &amp; Global Change, Hefei, Anhui, Peoples R China; [Jiang, Bei] Univ Sci &amp; Technol China, Suzhou Inst Adv Study, Suzhou, Jiangsu, Peoples R China; [Xie, Zhouqing] Chinese Acad Sci, Ctr Excellence Urban Atmospher Environm, Inst Urban Environm, Xiamen, Peoples R China; [Lam, Paul K. S.] City Univ Hong Kong, Dept Chem, State Key Lab Marine Pollut, Hong Kong, Peoples R China</t>
  </si>
  <si>
    <t>Chinese Academy of Sciences; University of Science &amp; Technology of China, CAS; Chinese Academy of Sciences; University of Science &amp; Technology of China, CAS; Chinese Academy of Sciences; Institute of Urban Environment, CAS; City University of Hong Kong</t>
  </si>
  <si>
    <t>Xie, ZQ (corresponding author), Univ Sci &amp; Technol China, Dept Environm Sci &amp; Engn, Anhui Key Lab Polar Environm &amp; Global Change, Hefei, Anhui, Peoples R China.;Xie, ZQ (corresponding author), Chinese Acad Sci, Ctr Excellence Urban Atmospher Environm, Inst Urban Environm, Xiamen, Peoples R China.</t>
  </si>
  <si>
    <t>zqxie@ustc.edu.cn</t>
  </si>
  <si>
    <t>wu, xudong/KGL-1857-2024; LAM, Paul Kwan Sing/B-9121-2008; Jiang, Bei/JDC-9899-2023</t>
  </si>
  <si>
    <t>LAM, Paul Kwan Sing/0000-0002-2134-3710; Jiang, Bei/0000-0001-5223-6742; He, Pengzhen/0000-0003-2939-7630</t>
  </si>
  <si>
    <t>National Natural Science Foundation of China (NSFC) [41676173, 41941014, 41176170, 41025020]; Ministry of Natural Resources of the People's Republic of China [01-01-01]</t>
  </si>
  <si>
    <t>National Natural Science Foundation of China (NSFC)(National Natural Science Foundation of China (NSFC)); Ministry of Natural Resources of the People's Republic of China</t>
  </si>
  <si>
    <t>This study was funded by National Natural Science Foundation of China (NSFC) (41676173, 41941014, 41176170, 41025020), and Ministry of Natural Resources of the People's Republic of China (IRASCC2020-2022-No.01-01-01). The authors thank the Chinese Arctic and Antarctic Administration for supporting the field campaign. The authors thank Lin Zhang and Xiaolin Wang at the Peking University for help in the use of the GEOS-Chem model. The MERRA-2 data used in this study were provided by the Global Modeling and Assimilation Office (GMAO) at the NASA Goddard Space Flight Center. The authors thank Zheng Li, Juan Yu, Shidong Fan, Ming Li, Qihou Hu, Lulu Zhang, Jie Xing, Chen Sun, Jiancheng Wang, Bokun Li, and Haicong Zhan for sampling during field campaign.</t>
  </si>
  <si>
    <t>e2020JD033892</t>
  </si>
  <si>
    <t>10.1029/2020JD033892</t>
  </si>
  <si>
    <t>WOS:000634788300031</t>
  </si>
  <si>
    <t>McErlich, C; McDonald, A; Schuddeboom, A; Silber, I</t>
  </si>
  <si>
    <t>McErlich, Cameron; McDonald, Adrian; Schuddeboom, Alex; Silber, Israel</t>
  </si>
  <si>
    <t>Comparing Satellite- and Ground-Based Observations of Cloud Occurrence Over High Southern Latitudes</t>
  </si>
  <si>
    <t>The 2B-CLDCLASS-LIDAR R05 (2BCL5) and the raDAR/liDAR (DARDAR) satellite retrievals of cloud occurrence are compared as a function of altitude and latitude. The largest disparities are observed at low altitudes over high southern latitudes. These data sets are cross referenced to ground-based measurements from the Atmospheric Radiation Measurement (ARM) West Antarctic Radiation Experiment (AWARE) campaign at McMurdo Station, Antarctica. Compared with AWARE observations, both 2BCL5 and DARDAR underestimate cloud occurrence below 1.5 km, with 2BCL5 and DARDAR distinguishing roughly one third of cloud occurrences observed by AWARE at 0.5 km. While DARDAR identifies greater cloud occurrences than 2BCL5 below 1.5 km, cloud occurrence values for the two data sets have similar differences relative to ground-based measurements. Therefore, the DARDAR retrievals of greater cloud occurrence at low altitudes are likely due to a larger quantity of false positives associated with radar ground clutter or attenuated lidar retrievals. DARDAR cloud occurrences match better with AWARE than 2BCL5 above 5 km. However, the likely underestimation of ground-based measurements at higher altitudes suggests DARDAR may underestimate high level cloud occurrence. Finally, both data sets indicate the presence of liquid containing clouds at temperatures within the homogeneous freezing regime, despite the fact that the ECMWF-AUX data set implemented in their processing clearly indicates temperatures below -38 degrees C. Using AWARE radiosonde (ECMWF-AUX) temperature data, we find that 2BCL5 detects 13.3% (13.8%) of mixed phase clouds below -38 degrees C, while DARDAR detects 5.7% (6.6%) of mixed phase and 1.1% (1.3%) of liquid phase clouds below -38 degrees C.</t>
  </si>
  <si>
    <t>[McErlich, Cameron; McDonald, Adrian; Schuddeboom, Alex] Univ Canterbury, Sch Phys &amp; Chem Sci, Christchurch, New Zealand; [McDonald, Adrian] Univ Canterbury, Gateway Antarct, Christchurch, New Zealand; [Silber, Israel] Penn State Univ, Dept Meteorol &amp; Atmospher Sci, University Pk, PA 16802 USA</t>
  </si>
  <si>
    <t>University of Canterbury; University of Canterbury; Pennsylvania Commonwealth System of Higher Education (PCSHE); Pennsylvania State University; Pennsylvania State University - University Park</t>
  </si>
  <si>
    <t>McErlich, C (corresponding author), Univ Canterbury, Sch Phys &amp; Chem Sci, Christchurch, New Zealand.</t>
  </si>
  <si>
    <t>cameron.mcerlich@pg.canterbury.ac.nz</t>
  </si>
  <si>
    <t>Schuddeboom, Alex/0000-0002-0487-7470; Silber, Israel/0000-0001-6588-2145; McDonald, Adrian/0000-0002-1456-6254; McErlich, Cameron/0000-0002-1897-9195</t>
  </si>
  <si>
    <t>Deep South National Science Challenge; DOE [DE-SC0017981, DE-SC0018046]; U.S. Department of Energy (DOE) [DE-SC0017981, DE-SC0018046] Funding Source: U.S. Department of Energy (DOE)</t>
  </si>
  <si>
    <t>Deep South National Science Challenge; DOE(United States Department of Energy (DOE)); U.S. Department of Energy (DOE)(United States Department of Energy (DOE))</t>
  </si>
  <si>
    <t>We would like to acknowledge funding from the Deep South National Science Challenge which has partially supported this research. Israel Silber was supported by the DOE grants DE-SC0017981 and DE-SC0018046.</t>
  </si>
  <si>
    <t>e2020JD033607</t>
  </si>
  <si>
    <t>10.1029/2020JD033607</t>
  </si>
  <si>
    <t>WOS:000634788300013</t>
  </si>
  <si>
    <t>Snels, M; Cairo, F; Di Liberto, L; Scoccione, A; Bracaglia, M; Deshler, T</t>
  </si>
  <si>
    <t>Snels, Marcel; Cairo, Francesco; Di Liberto, Luca; Scoccione, Andrea; Bracaglia, Marco; Deshler, Terry</t>
  </si>
  <si>
    <t>Comparison of Coincident Optical Particle Counter and Lidar Measurements of Polar Stratospheric Clouds Above McMurdo (77.85°S, 166.67°E) From 1994 to 1999</t>
  </si>
  <si>
    <t>lidar; OPC; PSC</t>
  </si>
  <si>
    <t>NITRIC-ACID TRIHYDRATE; REFRACTIVE-INDEXES; HETEROGENEOUS FORMATION; SIZE DISTRIBUTIONS; NAT FORMATION; AEROSOL; ICE; ANTARCTICA; EXTINCTION; NUCLEATION</t>
  </si>
  <si>
    <t>Macroscopic stratospheric aerosol properties such as surface area density (SAD) and volume density (VD) are required by modern chemistry climate models. These quantities are in continuous need of validation by observations. Direct observation of these parameters is not possible, but they can be derived from optical particle counters (OPCs) which provide concentration (number density) and size distributions of aerosol particles, and possibly from ground-based and satellite-borne lidar observations of particle backscatter coefficients and aerosol type. When such measurements are obtained simultaneously by OPCs and lidars, they can be used to calculate backscatter and extinction coefficients, as well as SAD and VD. Empirical relations can thus be derived between particle backscatter coefficient, extinction coefficient, and SAD and VD for a variety of aerosols (desert dust, maritime aerosols, stratospheric aerosols) and be used to approximate SAD and VD from lidar measurements. Here we apply this scheme to coincident measurements of polar stratospheric clouds above McMurdo Station, Antarctica, by ground-based lidar and balloon-borne OPCs. The relationships derived from these measurements will provide a means to obtain values of SAD and VD for supercooled ternary solutions (STS) and nitric acid trihydrate (NAT) PSCs from the backscatter coefficients measured by lidar. Coincident lidar and OPC measurements provided 15 profile comparisons. Empirical expressions of SAD and VD as a function of particle backscatter coefficient, beta, were calculated from fits of the form log(SAD/VD) = A + B log(beta) using beta from the lidar and SAD/VD from the OPC. The PSCs were classified as STS and NAT mixtures, ice being absent.</t>
  </si>
  <si>
    <t>[Snels, Marcel; Cairo, Francesco; Di Liberto, Luca; Scoccione, Andrea; Bracaglia, Marco] Natl Res Council Italy, Inst Atmospher Sci &amp; Climate CNR ISAC, Rome, Italy; [Deshler, Terry] Univ Wyoming, Laramie, WY 82071 USA</t>
  </si>
  <si>
    <t>Consiglio Nazionale delle Ricerche (CNR); Istituto di Scienze dell'Atmosfera e del Clima (ISAC-CNR); University of Wyoming</t>
  </si>
  <si>
    <t>Snels, M (corresponding author), Natl Res Council Italy, Inst Atmospher Sci &amp; Climate CNR ISAC, Rome, Italy.</t>
  </si>
  <si>
    <t>m.snels@isac.cnr.it</t>
  </si>
  <si>
    <t>Di Liberto, Luca/AAY-4560-2020; Snels, Marcel/J-2324-2012; cairo, francesco/C-7460-2015</t>
  </si>
  <si>
    <t>Bracaglia, Marco/0000-0002-5673-5212; Snels, Marcel/0000-0002-3025-5237; cairo, francesco/0000-0002-2886-2601</t>
  </si>
  <si>
    <t>PNRA in the framework of the projects POAS (Particles and Ozone in the Stratosphere of Antarctica); ACLIM (Antarctic Clouds Investigation by Multi-instrument measurements and modeling); US National Science Foundation (NSF) [9316774, 9615198, 9980594]; Short-Time-Mobility program of CNR; Office of Polar Programs; Office Of The Director [9316774] Funding Source: National Science Foundation; Office of Polar Programs (OPP); Directorate For Geosciences [9615198] Funding Source: National Science Foundation; Office of Polar Programs (OPP); Directorate For Geosciences [9980594] Funding Source: National Science Foundation</t>
  </si>
  <si>
    <t>PNRA in the framework of the projects POAS (Particles and Ozone in the Stratosphere of Antarctica); ACLIM (Antarctic Clouds Investigation by Multi-instrument measurements and modeling); US National Science Foundation (NSF)(National Science Foundation (NSF)); Short-Time-Mobility program of CNR; Office of Polar Programs; Office Of The Director(National Science Foundation (NSF)NSF - Directorate for Geosciences (GEO)NSF - Office of the Director (OD)); Office of Polar Programs (OPP); Directorate For Geosciences(National Science Foundation (NSF)NSF - Directorate for Geosciences (GEO)); Office of Polar Programs (OPP); Directorate For Geosciences(National Science Foundation (NSF)NSF - Directorate for Geosciences (GEO))</t>
  </si>
  <si>
    <t>The authors acknowledge the financial support by PNRA in the framework of the projects POAS (Particles and Ozone in the Stratosphere of Antarctica) and ACLIM (Antarctic Clouds Investigation by Multi-instrument measurements and modeling). The OPC measurements were supported by awards from the US National Science Foundation (NSF) which include OPP award numbers 9316774, 9615198, 9980594. Terry Deshler and Luca Di Liberto acknowledge a grant from the Short-Time-Mobility program of CNR, respectively in 2016 and 2009.</t>
  </si>
  <si>
    <t>e2020JD033572</t>
  </si>
  <si>
    <t>10.1029/2020JD033572</t>
  </si>
  <si>
    <t>WOS:000634788300021</t>
  </si>
  <si>
    <t>Yi, W; Xue, XH; Reid, IM; Murphy, DJ; Hall, CM; Tsutsumi, M; Ning, BQ; Li, GZ; Yang, GT; Li, N; Chen, TD; Dou, XK</t>
  </si>
  <si>
    <t>Yi, Wen; Xue, Xianghui; Reid, Iain M.; Murphy, Damian J.; Hall, Chris M.; Tsutsumi, Masaki; Ning, Baiqi; Li, Guozhu; Yang, Guotao; Li, Na; Chen, Tingdi; Dou, Xiankang</t>
  </si>
  <si>
    <t>Climatology of Interhemispheric Mesopause Temperatures Using the High-Latitude and Middle-Latitude Meteor Radars</t>
  </si>
  <si>
    <t>climatology; mesopause; meteor radar; temperature</t>
  </si>
  <si>
    <t>LOWER THERMOSPHERE REGION; MESOSPHERIC TEMPERATURES; DIFFUSION-COEFFICIENTS; DENSITY; HEIGHTS; DAVIS; PRESSURE; WAVES; SABER; MOHE</t>
  </si>
  <si>
    <t>We present the climatology of mesopause temperatures using high-latitude and middle-latitude meteor radars. The daily mesopause temperatures are estimated using ambipolar diffusion coefficient data from the meteor radars at Davis Station (68.6 degrees S, 77.9 degrees E), in Antarctica, Svalbard (78.3 degrees N, 16 degrees E), Tromso (69.6 degrees N, 19.2 degrees E) in the Arctic, and Mohe (53.5 degrees N, 122.3 degrees E) and Beijing (40.3 degrees N, 116.2 degrees E) in the northern middle latitudes. The seasonal variations in the meteor radar-derived temperatures are in good agreement with the temperatures from the Sounding of the Atmosphere using Broadband Emission Radiometry (SABER) instrument onboard the TIMED satellite. Interhemispheric observations indicate that the mesopause temperatures over the southern and northern polar regions show a clear seasonal asymmetry. The seasonal variations in the Davis Station meteor radar temperatures in the southern polar mesopause are dominated by an annual oscillation (AO) with a relatively weak semiannual oscillation (SAO), which show a clear minimum during summer and a maximum during winter. The mesopause temperatures in the northern high and middle latitudes observed by the Svalbard, Tromso, Mohe, and Beijing meteor radars mainly show an AO, with a maximum during winter and a minimum during summer. The AO in the northern polar regions is stronger than that in the southern polar regions, while the SAO in the southern polar regions is relatively strong compared to that in the northern polar regions.</t>
  </si>
  <si>
    <t>[Yi, Wen; Xue, Xianghui; Chen, Tingdi; Dou, Xiankang] Univ Sci &amp; Technol China, Sch Earth &amp; Space Sci, CAS Key Lab Geospace Environm, Hefei, Peoples R China; [Yi, Wen; Yang, Guotao] Chinese Acad Sci, State Key Lab Space Weather, Beijing, Peoples R China; [Yi, Wen; Xue, Xianghui; Chen, Tingdi] CAS Ctr Excellence Comparat Planetol, Hefei, Peoples R China; [Yi, Wen; Xue, Xianghui; Chen, Tingdi] Univ Sci &amp; Technol China, Sch Earth &amp; Space Sci, Mengcheng Natl Geophys Observ, Hefei, Peoples R China; [Reid, Iain M.] ATRAD Pty Ltd, Thebarton, SA, Australia; [Reid, Iain M.] Univ Adelaide, Sch Phys Sci, Adelaide, SA, Australia; [Murphy, Damian J.] Australian Antarctic Div, Kingston, Tas, Australia; [Hall, Chris M.] UiT Arctic Univ Norway, Tromso Geophys Observ, Tromso, Norway; [Tsutsumi, Masaki] Natl Inst Polar Res, Tachikawa, Tokyo, Japan; [Ning, Baiqi; Li, Guozhu] Chinese Acad Sci, Inst Geol &amp; Geophys, Key Lab Earth &amp; Planetary Phys, Beijing, Peoples R China; [Li, Na] China Res Inst Radiowave Propagat, Natl Key Lab Electromagnet Environm, Qingdao, Peoples R China; [Dou, Xiankang] Wuhan Univ, Elect Informat Sch, Wuhan, Peoples R China</t>
  </si>
  <si>
    <t>Chinese Academy of Sciences; University of Science &amp; Technology of China, CAS; Chinese Academy of Sciences; Chinese Academy of Sciences; University of Science &amp; Technology of China, CAS; ATRAD Pty Ltd.; University of Adelaide; Australian Antarctic Division; UiT The Arctic University of Tromso; Research Organization of Information &amp; Systems (ROIS); National Institute of Polar Research (NIPR) - Japan; Chinese Academy of Sciences; Institute of Geology &amp; Geophysics, CAS; Wuhan University</t>
  </si>
  <si>
    <t>Xue, XH (corresponding author), Univ Sci &amp; Technol China, Sch Earth &amp; Space Sci, CAS Key Lab Geospace Environm, Hefei, Peoples R China.;Xue, XH (corresponding author), CAS Ctr Excellence Comparat Planetol, Hefei, Peoples R China.;Xue, XH (corresponding author), Univ Sci &amp; Technol China, Sch Earth &amp; Space Sci, Mengcheng Natl Geophys Observ, Hefei, Peoples R China.</t>
  </si>
  <si>
    <t>xuexh@ustc.edu.cn</t>
  </si>
  <si>
    <t>Yi, Wen/M-4896-2019; Yang, Guotao/N-8854-2013; Reid, Iain/B-5681-2012; Ning, Baiqi/A-2573-2012; Xue, Xianghui/S-5789-2019; Dou, xiankang/M-9106-2013; Li, Guozhu/D-4322-2009</t>
  </si>
  <si>
    <t>Yi, Wen/0000-0003-3717-6811; Reid, Iain/0000-0003-2340-9047; Xue, Xianghui/0000-0002-4541-9900; Li, Guozhu/0000-0002-7669-3590; Murphy, Damian/0000-0003-1738-5560; Hall, Chris/0000-0001-7308-5859</t>
  </si>
  <si>
    <t>B-type Strategic Priority Program of CAS [XDB41000000]; National Natural Science Foundation of China [41904135, 41774158, 41974174, 41831071]; CNSA preresearch Project on Civil Aerospace Technologies [D020105]; Fundamental Research Funds for the Central Universities [WK2080000125]; China Postdoctoral Science Foundation [2019M652195]; Large Research Infrastructures of CAS Study on the interaction between low/midatitude atmosphere and ionosphere based on the Chinese Meridian Project; AAS project [2529, 2668, 4025, 4445]; Joint Open Fund of Mengcheng National Geophysical Observatory [MENGO-202009]</t>
  </si>
  <si>
    <t>B-type Strategic Priority Program of CAS; National Natural Science Foundation of China(National Natural Science Foundation of China (NSFC)); CNSA preresearch Project on Civil Aerospace Technologies; Fundamental Research Funds for the Central Universities(Fundamental Research Funds for the Central Universities); China Postdoctoral Science Foundation(China Postdoctoral Science Foundation); Large Research Infrastructures of CAS Study on the interaction between low/midatitude atmosphere and ionosphere based on the Chinese Meridian Project; AAS project; Joint Open Fund of Mengcheng National Geophysical Observatory</t>
  </si>
  <si>
    <t>This work was supported by the B-type Strategic Priority Program of CAS Grant No. XDB41000000, the National Natural Science Foundation of China (41904135, 41774158, 41974174, and 41831071), the CNSA preresearch Project on Civil Aerospace Technologies No. D020105, the Fundamental Research Funds for the Central Universities (WK2080000125), the China Postdoctoral Science Foundation (2019M652195), the Joint Open Fund of Mengcheng National Geophysical Observatory (MENGO-202009), and the Open Research Project of Large Research Infrastructures of CAS Study on the interaction between low/midatitude atmosphere and ionosphere based on the Chinese Meridian Project. The authors also acknowledge support the provision of Davis meteor radar data by the Australian Antarctic Division, the provision of Nippon/Norway Svalbard and TromsO meteor radar data by the National Institute of Polar Research and UiT-The Arctic University of Norway, the provision of Mohe and Beijing meteor radar data by the Chinese Meridian Project and STERN (the Solar: Terrestrial Environment Research Network), the data resources from National Space Science Data Center, National Science &amp; Technology Infrastructure of China (). Operation of the Davis meteor radar was supported under AAS project 2529, 2668, 4025, and 4445. The authors thank the NASA EOS Aura MLS team and the TIMED/SABER team for providing free access to their data.</t>
  </si>
  <si>
    <t>e2020JD034301</t>
  </si>
  <si>
    <t>10.1029/2020JD034301</t>
  </si>
  <si>
    <t>WOS:000634788300011</t>
  </si>
  <si>
    <t>Gargiulo, JD; Chaparro, MAE; Marié, DC; Böhnel, HN</t>
  </si>
  <si>
    <t>Gargiulo, Jose D.; Chaparro, Marcos A. E.; Marie, Debora C.; Bohnel, Harald N.</t>
  </si>
  <si>
    <t>Magnetic monitoring of anthropogenic pollution in Antarctic soils (Marambio Station) and the spatial-temporal changes over a decade</t>
  </si>
  <si>
    <t>Antarctic Peninsula; Magnetic proxy; Magnetic susceptibility; Pollution index; Soil remediation practices</t>
  </si>
  <si>
    <t>HEAVY-METAL; SUSCEPTIBILITY; CONTAMINATION; PARAMETERS; SEDIMENTS</t>
  </si>
  <si>
    <t>Marambio Station is one of the most important human settling in the Antarctic Peninsula, which has been polluted by human activities since the 1970s. Following the first magnetic monitoring in Antarctic soils (austral summer Antarctic campaign SAC 2006), a new soil survey was performed during the SAC 2014. We determined elemental contents, observed particles, and measured magnetic parameters of topsoil samples, as well as compared these results with previous ones in order to evaluate changes in pollution (from fuel combustion, solid waste disposal, etc.) over a decade after remediation practices. Magnetic results reveal the presence of magnetite minerals as main carriers with similar grain size and mineralogy-dependent magnetic parameters for both campaigns. In particular, we focus on the well-known proxy for pollution mass-specific magnetic susceptibility chi and geostatistical analysis for studying the spatial-temporal distribution of magnetic minerals for soil sites (n = 238 for SAC 2006; n = 185 for SAC 2014) around the station. The present environmental magnetism approach, combined with geostatistical techniques and the pollution index PLI, reveals a significant pollution decrease as consequence of a national remediation plan.</t>
  </si>
  <si>
    <t>[Gargiulo, Jose D.; Chaparro, Marcos A. E.; Marie, Debora C.] UNCPBA, Ctr Invest Fis &amp; Ingn Ctr Prov Buenos Aires CIFIC, CONICET, Pinto 399, RA-7000 Tandil, Argentina; [Bohnel, Harald N.] Univ Nacl Autonoma Mexico, Ctr Geociencias CGeo, Blvd Juriquilla 3001, Queretaro 76230, Mexico</t>
  </si>
  <si>
    <t>Consejo Nacional de Investigaciones Cientificas y Tecnicas (CONICET); Universidad Nacional Autonoma de Mexico</t>
  </si>
  <si>
    <t>Chaparro, MAE (corresponding author), UNCPBA, CIFICEN, CONICET, Pinto 399, Tandil, Argentina.</t>
  </si>
  <si>
    <t>chapator@exa.unicen.edu.ar</t>
  </si>
  <si>
    <t>Chaparro, Marcos A.E./O-9042-2019</t>
  </si>
  <si>
    <t>Chaparro, Marcos A.E./0000-0003-2832-2151; Bohnel, Harald/0000-0002-3833-225X; Gargiulo, Jose Daniel/0000-0002-8285-3634</t>
  </si>
  <si>
    <t>Agencia Nacional de Promocion Cientifica y Tecnologica Project [PICTO-2010-0096]; Bilateral CONICET/CONACYT [207149, 1001/14 - 5131/15]</t>
  </si>
  <si>
    <t>Agencia Nacional de Promocion Cientifica y Tecnologica Project(ANPCyT); Bilateral CONICET/CONACYT</t>
  </si>
  <si>
    <t>This contribution was supported by Agencia Nacional de Promocion Cientifica y Tecnologica Project PICTO-2010-0096, and the Bilateral CONICET/CONACYT Project No. 207149 (Harald Bohnel) and Res. 1001/14 -5131/15 (Marcos Chaparro).</t>
  </si>
  <si>
    <t>10.1016/j.catena.2021.105289</t>
  </si>
  <si>
    <t>WOS:000654354000007</t>
  </si>
  <si>
    <t>Niu, L; Lohmann, G; Gierz, P; Gowan, EJ; Knorr, G</t>
  </si>
  <si>
    <t>Niu, Lu; Lohmann, Gerrit; Gierz, Paul; Gowan, Evan J.; Knorr, Gregor</t>
  </si>
  <si>
    <t>Coupled climate-ice sheet modelling of MIS-13 reveals a sensitive Cordilleran Ice Sheet</t>
  </si>
  <si>
    <t>GLOBAL AND PLANETARY CHANGE</t>
  </si>
  <si>
    <t>MIS-13 climates; Cordilleran Ice Sheet; Coupled climate-ice sheet model; Orbital configurations; Ice sheet dynamic surge</t>
  </si>
  <si>
    <t>LAST GLACIAL INCEPTION; SUMMER MONSOON; ANTARCTIC CLIMATE; ISOTOPE STAGES; PART I; VARIABILITY; INSOLATION; CYCLE; SIMULATIONS; TEMPERATURE</t>
  </si>
  <si>
    <t>Previous modelling efforts have investigated climate responses to different Milankovitch forcing during Marine Isotope Stage (MIS) 13. During this time the climate has been highly variable at atmospheric CO2 concentrations of -240 ppm. As yet, ice sheet-climate feedbacks were missing in previous studies. Therefore we use the state-ofthe-art coupled climate-ice sheet model, AWI-ESM-1.2, to investigate the MIS-13 climate and corresponding Northern Hemisphere ice sheet (NHIS) evolution by performing simulations under three different astronomical configurations representing 495, 506 and 517 kyr BP. The simulated excess ice compared to present-day is mainly over the Cordillera, Arctic islands and Tibet. The global mean surface air temperature for the MIS-13 experiments have the same magnitude. At 506 kyr BP with boreal summer at perihelion, the Northern Hemisphere continents are warmer during summer than the other experiments, which could potentially inhibit the development of the ice sheets. The Cordilleran Ice Sheet is found to be especially sensitive to orbital (precession) forcing, at an intermediate CO2 level. This is probably due to its high elevation where the freezing point could be easily maintained. The other ice sheets over northeast America and Eurasia, however, are absent in our simulations. We propose that the alpine-based Cordilleran Ice Sheet is more sensitive and easier to build up than other NHISs in response to the astronomical controlled summer insolation. Dynamic surges are simulated for the Cordilleran Ice Sheet under fixed low orbital forcing. These surges due to internal ice sheet-climate feedbacks could potentially be the mechanism for the millennial scale H-like events.</t>
  </si>
  <si>
    <t>[Niu, Lu; Lohmann, Gerrit; Gierz, Paul; Gowan, Evan J.; Knorr, Gregor] Alfred Wegener Inst, Helmholtz Zentrum Polar &amp; Meeresforsch, Bussestr 24, D-27570 Bremerhaven, Germany</t>
  </si>
  <si>
    <t>Niu, L (corresponding author), Alfred Wegener Inst, Helmholtz Zentrum Polar &amp; Meeresforsch, Bussestr 24, D-27570 Bremerhaven, Germany.</t>
  </si>
  <si>
    <t>lu.niu@awi.de</t>
  </si>
  <si>
    <t>Gowan, Evan James/ABE-7098-2020</t>
  </si>
  <si>
    <t>Gowan, Evan James/0000-0002-0119-9440; Niu, Lu/0000-0002-8314-7416</t>
  </si>
  <si>
    <t>NASA [NNX17AG65G]; NSF [PLR-1603799, PLR-1644277]; AWI via the PACES program; Impuls-und Vernetzungsfonds; HelmholtzExzellenznetzwerke [ExNet-0001-Phase 2-3]; Helmholtz Climate Initiative REKLIM (Regional Climate Change), a joint research project at the Helmholtz Association of German research centers (HGF); PACES-II program at the Alfred Wegener Institute; Bundesministerium fur Bildung und Forschung; Federal Ministry for Education and Research initiative PalMod (project PalMod1.1, BMBF) [01LP1915A]</t>
  </si>
  <si>
    <t>NASA(National Aeronautics &amp; Space Administration (NASA)); NSF(National Science Foundation (NSF)); AWI via the PACES program; Impuls-und Vernetzungsfonds; HelmholtzExzellenznetzwerke; Helmholtz Climate Initiative REKLIM (Regional Climate Change), a joint research project at the Helmholtz Association of German research centers (HGF); PACES-II program at the Alfred Wegener Institute; Bundesministerium fur Bildung und Forschung(Federal Ministry of Education &amp; Research (BMBF)); Federal Ministry for Education and Research initiative PalMod (project PalMod1.1, BMBF)(Federal Ministry of Education &amp; Research (BMBF))</t>
  </si>
  <si>
    <t>We thank the Max-Planck Institute in Hamburg (Germany) and colleagues from the Alfred-Wegener Institute (AWI) for making ECHAM6JSBACH and FESOM available to us. The development of PISM is supported by NASA grant NNX17AG65G and NSF grants PLR-1603799 and PLR-1644277. The coupled simulations presented in this study are performed using the esm-tools (Barbi et al., 2020; https://www.esmtools.net).We acknowledge support from AWI via the PACES program. EJG was funded by Impuls-und Vernetzungsfonds, HelmholtzExzellenznetzwerke (grant no. ExNet-0001-Phase 2-3) The Polar System and its Effects on the Ocean Floor (POSY), Helmholtz Climate Initiative REKLIM (Regional Climate Change), a joint research project at the Helmholtz Association of German research centers (HGF), the PACES-II program at the Alfred Wegener Institute and the Bundesministerium fur Bildung und Forschung funded project, PalMod. LN is funded by the Federal Ministry for Education and Research initiative PalMod (project PalMod1.1, BMBF grant no. 01LP1915A). We thank our colleague Dr. Lennert Stap for helpful discussions. We thank the reviewers for helpful suggestions.</t>
  </si>
  <si>
    <t>0921-8181</t>
  </si>
  <si>
    <t>1872-6364</t>
  </si>
  <si>
    <t>GLOBAL PLANET CHANGE</t>
  </si>
  <si>
    <t>Glob. Planet. Change</t>
  </si>
  <si>
    <t>10.1016/j.gloplacha.2021.103474</t>
  </si>
  <si>
    <t>RN5KE</t>
  </si>
  <si>
    <t>WOS:000640389200002</t>
  </si>
  <si>
    <t>Paul, S; Huntemann, M</t>
  </si>
  <si>
    <t>Paul, Stephan; Huntemann, Marcus</t>
  </si>
  <si>
    <t>Improved machine-learning-based open-water-sea-ice-cloud discrimination over wintertime Antarctic sea ice using MODIS thermal-infrared imagery</t>
  </si>
  <si>
    <t>NEURAL-NETWORKS; THICKNESS; POLYNYA</t>
  </si>
  <si>
    <t>The frequent presence of cloud cover in polar regions limits the use of the Moderate Resolution Imaging Spectroradiometer (MODIS) and similar instruments for the investigation and monitoring of sea-ice polynyas compared to passive-microwave-based sensors. The very low thermal contrast between present clouds and the sea-ice surface in combination with the lack of available visible and near-infrared channels during polar nighttime results in deficiencies in the MODIS cloud mask and dependent MODIS data products. This leads to frequent misclassifications of (i) present clouds as sea ice or open water (false negative) and (ii) open-water and/or thin-ice areas as clouds (false positive), which results in an underestimation of actual polynya area and subsequently derived information. Here, we present a novel machine-learning-based approach using a deep neural network that is able to reliably discriminate between clouds, sea-ice, and open-water and/or thin-ice areas in a given swath solely from thermal-infrared MODIS channels and derived additional information. Compared to the reference MODIS sea-ice product for the year 2017, our data result in an overall increase of 20% in annual swath-based coverage for the Brunt Ice Shelf polynya, attributed to an improved cloud-cover discrimination and the reduction of false-positive classifications. At the same time, the mean annual polynya area decreases by 44% through the reduction of false-negative classifications of warm clouds as thin ice. Additionally, higher spatial coverage results in an overall better subdaily representation of thin-ice conditions that cannot be reconstructed with current state-of-the-art cloud-cover compensation methods.</t>
  </si>
  <si>
    <t>[Paul, Stephan] Alfred Wegener Inst, Helmholtz Ctr Polar &amp; Marine Res, Bremerhaven, Germany; [Paul, Stephan] Tech Univ Munich, Deutsch Geodat Forschungsinst DGFI, Munich, Germany; [Huntemann, Marcus] Univ Bremen, Dept Environm Phys, Bremen, Germany</t>
  </si>
  <si>
    <t>Helmholtz Association; Alfred Wegener Institute, Helmholtz Centre for Polar &amp; Marine Research; Technical University of Munich; University of Bremen</t>
  </si>
  <si>
    <t>Paul, S (corresponding author), Alfred Wegener Inst, Helmholtz Ctr Polar &amp; Marine Res, Bremerhaven, Germany.;Paul, S (corresponding author), Tech Univ Munich, Deutsch Geodat Forschungsinst DGFI, Munich, Germany.</t>
  </si>
  <si>
    <t>stephan.paul@awi.de</t>
  </si>
  <si>
    <t>Paul, Stephan/I-5918-2019</t>
  </si>
  <si>
    <t>Paul, Stephan/0000-0002-5136-714X</t>
  </si>
  <si>
    <t>Research Centre of the Helmholtz Association</t>
  </si>
  <si>
    <t>Research Centre of the Helmholtz Association(Helmholtz Association)</t>
  </si>
  <si>
    <t>The article processing charges for this open-access publication were covered by a Research Centre of the Helmholtz Association.</t>
  </si>
  <si>
    <t>MAR 26</t>
  </si>
  <si>
    <t>10.5194/tc-15-1551-2021</t>
  </si>
  <si>
    <t>RG3EC</t>
  </si>
  <si>
    <t>WOS:000635424700002</t>
  </si>
  <si>
    <t>Raitzsch, M; Bijma, J; Bickert, T; Schulz, M; Holbourn, A; Kucera, M</t>
  </si>
  <si>
    <t>Raitzsch, Markus; Bijma, Jelle; Bickert, Torsten; Schulz, Michael; Holbourn, Ann; Kucera, Michal</t>
  </si>
  <si>
    <t>Atmospheric carbon dioxide variations across the middle Miocene climate transition</t>
  </si>
  <si>
    <t>The middle Miocene climate transition similar to 14 Ma marks a fundamental step towards the current ice-house climate, with a similar to 1 parts per thousand delta O-18 increase and a similar to 1 parts per thousand transient delta(3C) rise in the deep ocean, indicating rapid expansion of the East Antarctic Ice Sheet associated with a change in the operation of the global carbon cycle. The variation of atmospheric CO2 across the carbon-cycle perturbation has been intensely debated as proxy records of pCO(2) for this time interval are sparse and partly contradictory. Using boron isotopes (delta B-11) in planktonic foraminifers from Ocean Drilling Program (ODP) Site 1092 in the South Atlantic, we show that long-term pCO(2) varied at 402 kyr periodicity between similar to 14.3 and 13.2 Ma and follows the global delta C-13 variation remarkably well. This suggests a close link to precessional insolation forcing modulated by eccentricity, which governs the monsoon and hence weathering intensity, with enhanced weathering and decreasing pCO(2) at high eccentricity and vice versa. The similar to 50 kyr lag of delta C-13 and pCO(2) behind eccentricity in our records may be related to the slow response of weathering to orbital forcing. A pCO(2) drop of similar to 200 mu atm before 13.9Ma may have facilitated the inception of ice-sheet expansion on Antarctica, which accentuated monsoon-driven carbon cycle changes through a major sea-level fall, invigorated deep-water ventilation, and shelf-to-basin shift of carbonate burial. The temporary rise in pCO(2) following Antarctic glaciation would have acted as a negative feedback on the progressing glaciation and helped to stabilize the climate system on its way to the late Cenozoic ice-house world.</t>
  </si>
  <si>
    <t>[Raitzsch, Markus; Bickert, Torsten; Schulz, Michael; Kucera, Michal] Univ Bremen, MARUM Zentrum Marine Umweltwissensch, Leobener Str 8, D-28359 Bremen, Germany; [Raitzsch, Markus; Bijma, Jelle] Alfred Wegener Inst, Helmholtz Zentrum Polar &amp; Meeresforsch, Handelshafen 12, D-27570 Bremerhaven, Germany; [Holbourn, Ann] Univ Kiel, Inst Geowissensch, D-24118 Kiel, Germany</t>
  </si>
  <si>
    <t>University of Bremen; Helmholtz Association; Alfred Wegener Institute, Helmholtz Centre for Polar &amp; Marine Research; University of Kiel</t>
  </si>
  <si>
    <t>Raitzsch, M (corresponding author), Univ Bremen, MARUM Zentrum Marine Umweltwissensch, Leobener Str 8, D-28359 Bremen, Germany.;Raitzsch, M (corresponding author), Alfred Wegener Inst, Helmholtz Zentrum Polar &amp; Meeresforsch, Handelshafen 12, D-27570 Bremerhaven, Germany.</t>
  </si>
  <si>
    <t>mraitzsch@marum.de</t>
  </si>
  <si>
    <t>Kucera, Michal/ABH-6065-2020; Kucera, Michal/B-9277-2009; Schulz, Michael/P-7276-2016</t>
  </si>
  <si>
    <t>Kucera, Michal/0000-0002-7817-9018; Raitzsch, Markus/0000-0003-4214-358X; Bijma, Jelle/0000-0003-4371-1438; Schulz, Michael/0000-0001-6500-2697</t>
  </si>
  <si>
    <t>Deutsche Forschungsgemeinschaft [RA 2068/3-1]</t>
  </si>
  <si>
    <t>Deutsche Forschungsgemeinschaft(German Research Foundation (DFG))</t>
  </si>
  <si>
    <t>This research has been supported by the Deutsche Forschungsgemeinschaft (grant no. RA 2068/3-1).</t>
  </si>
  <si>
    <t>10.5194/cp-17-703-2021</t>
  </si>
  <si>
    <t>RG3BV</t>
  </si>
  <si>
    <t>WOS:000635418800001</t>
  </si>
  <si>
    <t>Provant, Z; Elderbrock, E; Willingham, A; Carey, M; Antonello, A; Moffat, C; Sutherland, D; Shahid, S</t>
  </si>
  <si>
    <t>Provant, Zachary; Elderbrock, Evan; Willingham, Andrea; Carey, Mark; Antonello, Alessandro; Moffat, Carlos; Sutherland, Dave; Shahid, Sakina</t>
  </si>
  <si>
    <t>Reframing Antarctica's ice loss: impacts of cryospheric change on local human activity</t>
  </si>
  <si>
    <t>Antarctic tourism; Antarctic conservation; Local human activities; Cryospheric change; Climate change impacts</t>
  </si>
  <si>
    <t>CLIMATE-CHANGE; SOUTHERN-OCEAN; MARINE ECOSYSTEM; REPRODUCTIVE SUCCESS; CHINSTRAP PENGUINS; EUPHAUSIA-SUPERBA; KRILL; TOURISM; PENINSULA; TRENDS</t>
  </si>
  <si>
    <t>Physical scientists, social scientists, humanities scholars, and journalists have all framed Antarctica as a place of global importance-as a laboratory for scientific research, as a strategic site for geopolitical agendas, and more recently as a source of melting ice that could catastrophically inundate populations worldwide. Yet, the changing cryosphere impacts society within Antarctica as well, and this article expands the focus of Antarctic ice research to include human activities on and around the continent. It reframes Antarctica as a place with human history and local activities that are being affected by melting ice, even if the consequences are much smaller in scale than the effects of global sea level rise. Specifically focused on tourism and conservation along the west Antarctica Peninsula (wAP), this article demonstrates the impacts of changing glaciers and sea ice on the timing, location, and type of tourism as well as the ability of changing ice to mediate human experiences through conservation agendas. As future ice conditions influence Antarctic tourism and conservation, an attention to issues emerging within the wAP region offers a new perspective on climate change impacts and the management of Antarctic activities in the 21st-century Anthropocene.</t>
  </si>
  <si>
    <t>[Provant, Zachary; Carey, Mark; Shahid, Sakina] Univ Oregon, Environm Studies Program, Eugene, OR 97403 USA; [Elderbrock, Evan] Univ Oregon, Dept Landscape Architecture, Eugene, OR 97403 USA; [Willingham, Andrea] Univ Oregon, Museum Nat &amp; Cultural Hist, Eugene, OR 97403 USA; [Carey, Mark] Univ Oregon, Robert D Clark Honors Coll, Eugene, OR 97403 USA; [Antonello, Alessandro] Flinders Univ S Australia, Coll Humanities Arts &amp; Social Sci, Adelaide, SA, Australia; [Moffat, Carlos] Univ Delaware, Sch Marine Sci &amp; Policy, Newark, DE 19716 USA; [Sutherland, Dave] Univ Oregon, Dept Earth Sci, Eugene, OR 97403 USA</t>
  </si>
  <si>
    <t>University of Oregon; University of Oregon; University of Oregon; University of Oregon; Flinders University South Australia; University of Delaware; University of Oregon</t>
  </si>
  <si>
    <t>Carey, M (corresponding author), Univ Oregon, Environm Studies Program, Eugene, OR 97403 USA.;Carey, M (corresponding author), Univ Oregon, Robert D Clark Honors Coll, Eugene, OR 97403 USA.</t>
  </si>
  <si>
    <t>carey@uoregon.edu</t>
  </si>
  <si>
    <t>Moffat, Carlos F/B-3565-2015</t>
  </si>
  <si>
    <t>Moffat, Carlos F/0000-0002-7768-8275; Antonello, Alessandro/0000-0002-7549-1436; Provant, Zachary/0000-0002-8715-682X</t>
  </si>
  <si>
    <t>US National Science Foundation Office of Polar Programs [1543012, 1703310]; Australian Research Council [DE190100922]; Directorate For Geosciences; Office of Polar Programs (OPP) [1543012] Funding Source: National Science Foundation; Directorate For Geosciences; Office of Polar Programs (OPP) [1703310] Funding Source: National Science Foundation; Australian Research Council [DE190100922] Funding Source: Australian Research Council</t>
  </si>
  <si>
    <t>US National Science Foundation Office of Polar Programs(National Science Foundation (NSF)); Australian Research Council(Australian Research Council); Directorate For Geosciences; Office of Polar Programs (OPP)(National Science Foundation (NSF)NSF - Directorate for Geosciences (GEO)); Directorate For Geosciences; Office of Polar Programs (OPP)(National Science Foundation (NSF)NSF - Directorate for Geosciences (GEO)); Australian Research Council(Australian Research Council)</t>
  </si>
  <si>
    <t>This work is partially supported by the US National Science Foundation Office of Polar Programs under Grants #1543012 and #1703310 and by an Australian Research Council Discovery Early Career Award (DE190100922).</t>
  </si>
  <si>
    <t>e13</t>
  </si>
  <si>
    <t>10.1017/S0032247421000024</t>
  </si>
  <si>
    <t>RC2SZ</t>
  </si>
  <si>
    <t>WOS:000632656100001</t>
  </si>
  <si>
    <t>Rendall, AR; Sutherland, DR; Baker, CM; Raymond, B; Cooke, R; White, JG</t>
  </si>
  <si>
    <t>Rendall, Anthony R.; Sutherland, Duncan R.; Baker, Christopher M.; Raymond, Ben; Cooke, Raylene; White, John G.</t>
  </si>
  <si>
    <t>Managing ecosystems in a sea of uncertainty: invasive species management and assisted colonizations</t>
  </si>
  <si>
    <t>ECOLOGICAL APPLICATIONS</t>
  </si>
  <si>
    <t>bandicoot; black rat; ecosystem management; ecosystem model; ensemble model; feral cat; invasive species; Phillip Island; qualitative model</t>
  </si>
  <si>
    <t>Managing ecosystems in the face of complex species interactions, and the associated uncertainty, presents a considerable ecological challenge. Altering those interactions via actions such as invasive species management or conservation translocations can result in unintended consequences, supporting the need to be able to make more informed decisions in the face of this uncertainty. We demonstrate the utility of ecosystem models to reduce uncertainty and inform future ecosystem management. We use Phillip Island, Australia, as a case study to investigate the impacts of two invasive species management options and consider whether a critically endangered mammal is likely to establish a population in the presence of invasive species. Qualitative models are used to determine the effects of apex predator removal (feral cats) and invasive prey removal (rabbits, rats, and mice). We extend this approach using Ensemble Ecosystem Models to consider how suppression, rather than eradication influences the species community; and consider whether an introduction of the critically endangered eastern barred bandicoot is likely to be successful in the presence of invasive species. Our analysis revealed the potential for unintended outcomes associated with feral cat control operations, with rats and rabbits expected to increase in abundance. A strategy based on managing prey species appeared to have the most ecosystem-wide benefits, with rodent control showing more favorable responses than a rabbit control strategy. Eastern barred bandicoots were predicted to persist under all feral cat control levels (including no control). Managing ecosystems is a complex and imprecise process. However, qualitative modeling and ensemble ecosystem modeling address uncertainty and are capable of improving and optimizing management practices. Our analysis shows that the best conservation outcomes may not always be associated with the top-down control of apex predators, and land managers should think more broadly in relation to managing bottom-up processes as well. Challenges faced in continuing to conserve biodiversity mean new, bolder, conservation actions are needed. We suggest that endangered species are capable of surviving in the presence of feral cats, potentially opening the door for more conservation translocations.</t>
  </si>
  <si>
    <t>[Rendall, Anthony R.; Cooke, Raylene; White, John G.] Deakin Univ, Sch Life &amp; Environm Sci, Geelong, Vic 3220, Australia; [Rendall, Anthony R.] Fac Sci Engn &amp; Built Environm, Sch Life &amp; Environm Sci, Ctr Integrat Ecol, Burwood Campus, Burwood, Vic 3125, Australia; [Sutherland, Duncan R.] Phillip Isl Nat Parks, Conservat Dept, Cowes, Vic 3922, Australia; [Baker, Christopher M.] Univ Melbourne, Sch Math &amp; Stat, Melbourne, Vic 3010, Australia; [Baker, Christopher M.] Univ Melbourne, Melbourne Ctr Data Sci, Melbourne, Vic 3010, Australia; [Baker, Christopher M.] Univ Melbourne, Ctr Excellence Biosecur Risk Anal, Melbourne, Vic 3010, Australia; [Raymond, Ben] Dept Agr Water &amp; Environm, Australian Antarctic Div, Kingston, Tas 7050, Australia; [Raymond, Ben] Univ Tasmania, Inst Marine &amp; Antarctic Studies, Hobart, Tas 7000, Australia</t>
  </si>
  <si>
    <t>Deakin University; Melbourne Genomics Health Alliance; University of Melbourne; University of Melbourne; Melbourne Genomics Health Alliance; Melbourne Genomics Health Alliance; University of Melbourne; Australian Antarctic Division; University of Tasmania</t>
  </si>
  <si>
    <t>Rendall, AR (corresponding author), Deakin Univ, Sch Life &amp; Environm Sci, Geelong, Vic 3220, Australia.</t>
  </si>
  <si>
    <t>a.rendall@deakin.edu.au</t>
  </si>
  <si>
    <t>Rendall, Anthony/JKJ-0074-2023; White, John G/A-4285-2008; Sutherland, Duncan/E-7763-2011</t>
  </si>
  <si>
    <t>Rendall, Anthony/0000-0002-7286-9288; Baker, Christopher/0000-0001-9449-3632; White, John/0000-0002-7375-5944; Sutherland, Duncan/0000-0003-0893-4425</t>
  </si>
  <si>
    <t>Holsworth Wildlife Research Endowment; Centre for Integrative Ecology; Phillip Island Nature Parks</t>
  </si>
  <si>
    <t>The authors declare no conflicts of interest. This study was supported by the Holsworth Wildlife Research Endowment, the Centre for Integrative Ecology, and Phillip Island Nature Parks. We would also like to thank Calvin Lee for his technical support. A. Rendall, D. Sutherland, J. White, and R. Cooke conceived the ideas and designed methodology; A. Rendall generated the data; A. Rendall, C. Baker, and B. Raymond analysed the data; A. Rendall led the writing of the manuscript. All authors contributed critically to the drafts and gave final approval for publication.</t>
  </si>
  <si>
    <t>1051-0761</t>
  </si>
  <si>
    <t>1939-5582</t>
  </si>
  <si>
    <t>ECOL APPL</t>
  </si>
  <si>
    <t>Ecol. Appl.</t>
  </si>
  <si>
    <t>e02306</t>
  </si>
  <si>
    <t>10.1002/eap.2306</t>
  </si>
  <si>
    <t>SK9KQ</t>
  </si>
  <si>
    <t>WOS:000632877600001</t>
  </si>
  <si>
    <t>Abrehdary, M; Sjöberg, LE</t>
  </si>
  <si>
    <t>Abrehdary, M.; Sjoberg, L. E.</t>
  </si>
  <si>
    <t>Moho density contrast in Antarctica determined by satellite gravity and seismic models</t>
  </si>
  <si>
    <t>GEOPHYSICAL JOURNAL INTERNATIONAL</t>
  </si>
  <si>
    <t>Antarctica; Gravity; Isostasy; Moho density contrast; uncertainty</t>
  </si>
  <si>
    <t>CRUSTAL THICKNESS; VELOCITY STRUCTURE; INVERSE PROBLEM</t>
  </si>
  <si>
    <t>As recovering the crust-mantle/Moho density contrast (MDC) significantly depends on the properties of the Earth's crust and upper mantle, varying from place to place, it is an oversimplification to define a constant standard value for it. It is especially challenging in Antarctica, where almost all the bedrock is covered with a thick layer of ice, and seismic data cannot provide a sufficient spatial resolution for geological and geophysical applications. As an alternative, we determine the MDC in Antarctica and its surrounding seas with a resolution of 1 degrees x 1 degrees by the Vening Meinesz-Moritz gravimetric-isostatic technique using the XGM2019e Earth Gravitational Model and Earth2014 topographic/bathymetric information along with CRUST1.0 and CRUST19 seismic crustal models. The numerical results show that our model, named HVMDC20, varies from 81 kg m(-3) in the Pacific Antarctic mid-oceanic ridge to 579 kg m(-3) in the Gamburtsev Mountain Range in the central continent with a general average of 403 kg m(-3). To assess our computations, we compare our estimates with those of some other gravimetric as well as seismic models (KTH11, GEMMA12C, KTH15C and CRUST1.0), illustrating that our estimates agree fairly well with KTH15C and CRUST1.0 but rather poor with the other models. In addition, we compare the geological signatures with HVMDC20, showing how the main geological structures contribute to the MDC. Finally, we study the remaining glacial isostatic adjustment effect on gravity to figure out how much it affects the MDC recovery, yielding a correlation of the optimum spectral window (7 &lt;= n &lt;= 12) between XGM2019e and W12a GIA models of the order of similar to 0.6 contributing within a negligible +/- 14 kg m(-3) to the MDC.</t>
  </si>
  <si>
    <t>[Abrehdary, M.; Sjoberg, L. E.] Univ West HV, Div Math Comp &amp; Surveying Engn, SE-46186 Trollhattan, Sweden; [Sjoberg, L. E.] Royal Inst Technol KTH, Div Geodesy &amp; Satellite Positioning, SE-10044 Stockholm, Sweden</t>
  </si>
  <si>
    <t>Royal Institute of Technology</t>
  </si>
  <si>
    <t>Abrehdary, M (corresponding author), Univ West HV, Div Math Comp &amp; Surveying Engn, SE-46186 Trollhattan, Sweden.</t>
  </si>
  <si>
    <t>majabr@hv.se</t>
  </si>
  <si>
    <t>Swedish National Space Agency (SNSA) [187/18]</t>
  </si>
  <si>
    <t>Swedish National Space Agency (SNSA)(Swedish National Space Agency (SNSA))</t>
  </si>
  <si>
    <t>This study was supported by project no. 187/18 of the Swedish National Space Agency (SNSA). Prof. John Goodge from the University of Minnesota is acknowledged for providing the geology map of Antarctica.</t>
  </si>
  <si>
    <t>0956-540X</t>
  </si>
  <si>
    <t>1365-246X</t>
  </si>
  <si>
    <t>GEOPHYS J INT</t>
  </si>
  <si>
    <t>Geophys. J. Int.</t>
  </si>
  <si>
    <t>10.1093/gji/ggab069</t>
  </si>
  <si>
    <t>TU1WK</t>
  </si>
  <si>
    <t>WOS:000680830400029</t>
  </si>
  <si>
    <t>Guler, MV; Estebenet, MSG; Navarro, EL; Fuentes, S; Cuitiño, JI; Palazzesi, L; Panera, JPP; Barreda, V</t>
  </si>
  <si>
    <t>Veronica Guler, M.; Gonzalez Estebenet, M. Sol; Navarro, Edgardo L.; Fuentes, Sabrina; Ignacio Cuitino, Jose; Palazzesi, Luis; Perez Panera, Juan P.; Barreda, Viviana</t>
  </si>
  <si>
    <t>Miocene Atlantic transgressive-regressive events in northeastern and offshore Patagonia: A palynological perspective</t>
  </si>
  <si>
    <t>Palynology; Miocene; Biostratigraphy; Paleoenvironmets; Patagonia</t>
  </si>
  <si>
    <t>OLIGOCENE DINOFLAGELLATE CYSTS; SANTA-CRUZ PROVINCE; MIDDLE MIOCENE; COLORADO BASIN; SEA-LEVEL; NORTHERN BELGIUM; AUSTRAL BASIN; LATE PLIOCENE; LATE EOCENE; BIOSTRATIGRAPHY</t>
  </si>
  <si>
    <t>Key information for regional biostratigraphic, climatic and environmental reconstructions for the Miocene of the southwestern Atlantic margin can be obtained by qualitative and quantitative palynological analysis at the onshore YPF-CH-PV.es-1 borehole (PV borehole) in the Valde ' s Basin, combined with previously documented organic-walled dinoflagellate cyst data from the Colorado Basin and well-dated outcropping sections on the east coast of Patagonia. A sequence of eleven significant dinocyst bioevents (highest occurrence, HO; highest common occurrence, HCOs) is recognized across the Valde ' s and Colorado basins. The bioevents occur in the same stratigraphic order and seem to be synchronous across both basins. From the oldest to the youngest, these are: HO of Emmetrocysta urnaformis, HO of Cannosphaeropsis quattrocchiae, HCO and HO of Hystrichokolpoma rigaudiae, HO of Cousteaudinium auybriae, HCO and HO of Dapsilidinium pseudocolligerum, HO of Cleistosphaeridium ancyreum, HO of Labyrinthodinium truncatum, HO of Operculodinium piaseckii and HO of Reticulatosphaera actinocoronata. The presumed climatically-driven extinctions of Dapsilidinum pseudocolligerum and Hystrichokolpoma rigaudiae around the Burdigalian to earliest Langhian, may be linked to global cooling and the re-establishments of the Antarctic ice-sheets since -14 Ma. Two maximum flooding episodes, characterized by warm, outer (distal) neritic environmental conditions were identified at the PV borehole, presumably related to glacio-eustatic sea level rise. The older occurred in the Burdigalian - earliest Langhian and the younger, in the Tortonian. The latter maximum flooding is followed by environmental and/or climatically-driven change, implying abrupt shifting from neritic to nearshore conditions, the extinction of the warm-water taxa, and dinocysts being largely replaced by acritarchs.</t>
  </si>
  <si>
    <t>[Veronica Guler, M.; Gonzalez Estebenet, M. Sol; Fuentes, Sabrina] Univ Nacl Sur UNS, Inst Geol Sur INGEOSUR CONICET, San Juan 670, RA-8000 Bahia Blanca, Buenos Aires, Argentina; [Navarro, Edgardo L.] Univ Nacl Sur UNS, Dept Geol, Comis Invest Cient CIC CGAMA, San Juan 670, RA-8000 Bahia Blanca, Buenos Aires, Argentina; [Ignacio Cuitino, Jose] CCT CONICET CENPAT, Inst Patagon Geol &amp; Paleontol, Av Almirante Brown 2915,U9120ACD, Puerto Madryn, Chubut, Argentina; [Perez Panera, Juan P.] YPF Tecnol Y TEC SA, Lab Bioestratig, CONICET, Ave Petr Argentino S-N E 129&amp;143, RA-1923 Buenos Aires, DF, Argentina; [Palazzesi, Luis; Barreda, Viviana] Museo Argentino Ciencias Nat Bernardino Rivadavia, Av Angel Gallardo 470,C1405DJR, Buenos Aires, DF, Argentina</t>
  </si>
  <si>
    <t>National University of the South; National University of the South; Centro Nacional Patagonico (CENPAT); Consejo Nacional de Investigaciones Cientificas y Tecnicas (CONICET); Museo Argentino de Ciencias Naturales Bernardino Rivadavia (MACN)</t>
  </si>
  <si>
    <t>Guler, MV (corresponding author), Univ Nacl Sur UNS, Inst Geol Sur INGEOSUR CONICET, San Juan 670, RA-8000 Bahia Blanca, Buenos Aires, Argentina.</t>
  </si>
  <si>
    <t>vguler@criba.edu.ar; sol.gonzalezestebenet@uns.edu.ar; enavarro@criba.edu.ar; jcuitino@cenpat-conicet.gob.ar; lpalazzesi@macn.gov.ar; juan.p.panera@ypftecnologia.com; vbarreda@macn.gov.ar</t>
  </si>
  <si>
    <t>Cuitiño, José Ignacio/HLQ-7475-2023; Perez Panera, Juan Pablo/HSI-3366-2023</t>
  </si>
  <si>
    <t>Cuitiño, José Ignacio/0000-0002-4742-7920;</t>
  </si>
  <si>
    <t>Argentinian Research Council-CONICET [PIP 20140259, PUE 20150098]; Argentinian Research and Technological Agency - ANPCyT [PICT 20170671]; Universidad Nacional del Sur - UNS [PGI 24/ZH26-UNS]; YPF Tecnologia - T-TEC [Y-TEC I + D + i 620]</t>
  </si>
  <si>
    <t>Argentinian Research Council-CONICET(Consejo Nacional de Investigaciones Cientificas y Tecnicas (CONICET)); Argentinian Research and Technological Agency - ANPCyT(ANPCyT); Universidad Nacional del Sur - UNS; YPF Tecnologia - T-TEC</t>
  </si>
  <si>
    <t>Financial support for this research was provided by the Argentinian Research CouncilCONICET - (grant PIP 20140259; grant PUE 20150098) , Argentinian Research and Technological Agency - ANPCyT - (grant PICT 20170671) , Universidad Nacional del Sur - UNS - (grant PGI 24/ZH26-UNS) and, YPF Tecnologia - T-TEC (grant Y-TEC I + D + i 620) . The authors thank Pablo Diaz and Luciano Baraldi for the palynological processing of samples. Finally, we thank the anonymous reviewers whose constructive comments and suggestions considerably improved the manuscript.</t>
  </si>
  <si>
    <t>10.1016/j.jsames.2021.103239</t>
  </si>
  <si>
    <t>TE8YJ</t>
  </si>
  <si>
    <t>WOS:000670293000002</t>
  </si>
  <si>
    <t>Fontela, M; Velo, A; Gilcoto, M; Pérez, FF</t>
  </si>
  <si>
    <t>Fontela, Marcos; Velo, Anton; Gilcoto, Miguel; Perez, Fiz F.</t>
  </si>
  <si>
    <t>Anthropogenic CO2 and ocean acidification in Argentine Basin Water Masses over almost five decades of observations</t>
  </si>
  <si>
    <t>Ocean acidification; Anthropogenic carbon; Carbonate; Deoxygenation; Argentine basin; Western South Atlantic</t>
  </si>
  <si>
    <t>GLOBAL OCEAN; STORAGE; CARBON; CIRCULATION; CONSISTENT; SINK</t>
  </si>
  <si>
    <t>The chemical conditions of the Argentine Basin (western South Atlantic Ocean) water masses are evaluated with measurements from eleven hydrographic cruises to detect and quantify anthropogenic and natural stressors in the ocean carbon system. The database covers almost half-century (1972-2019), a time-span where the mean annual atmospheric carbon dioxide concentration (CO2atm) increased from 325 to 408 ppm of volume (ppm). This increase of atmospheric CO2 (83 ppm, the 64% of the total anthropogenic signal in the atmosphere) leads to an increase in anthropogenic carbon (C-ant) across all thewater columnand the consequent ocean acidification: a decrease in excess carbonate that is unequivocal in the upper (South Atlantic CentralWater, SACW) and intermediate water masses (Sub Antarctic Mode Water, SAMW and Antarctic Intermediate Water, AAIW). For each additional ppm in CO2atm the water masses SACW, SAMW and AAIW lose excess carbonate at a rate of 0.39 +/- 0.04, 0.47 +/- 0.05 and 0.23 +/- 0.03 mu mol.kg(-1).ppm(-1) respectively. Modal and intermediate water masses in the Argentine Basin are very sensitive to carbon increases due lowbuffering capacity. The large rate of AAIWacidification is the synergic effect of carbon uptake combined with deoxygenation and increased remineralization of organicmatter. If CO2 emissions follows the path of business-as-usualemissions (SSP 5.85), SACWwould become undersaturated with respect to aragonite at the end of the century. The undersaturation in AAIW is virtually unavoidable. (C) 2021 The Author(s). Published by Elsevier B.V.</t>
  </si>
  <si>
    <t>[Fontela, Marcos] Univ Algarve, Ctr Marine Sci CCMAR, P-8005139 Faro, Portugal; [Fontela, Marcos; Velo, Anton; Gilcoto, Miguel; Perez, Fiz F.] IIM CSIC, Inst Invest Marinas, Vigo 36208, Spain</t>
  </si>
  <si>
    <t>Universidade do Algarve; Consejo Superior de Investigaciones Cientificas (CSIC); CSIC - Instituto de Investigaciones Marinas (IIM)</t>
  </si>
  <si>
    <t>Fontela, M (corresponding author), Univ Algarve, Ctr Marine Sci CCMAR, P-8005139 Faro, Portugal.</t>
  </si>
  <si>
    <t>mmfontela@ualg.pt; avelo@iim.csic.es; mgilcoto@iim.csic.es; fiz.perez@iim.csic.es</t>
  </si>
  <si>
    <t>Fernandez Perez, Fiz/B-9001-2011; Velo, Anton/B-4172-2019; Fontela, Marcos/ABB-3099-2021; Gil Coto, Miguel/B-4120-2015</t>
  </si>
  <si>
    <t>Fernandez Perez, Fiz/0000-0003-4836-8974; Velo, Anton/0000-0002-7598-5700; Fontela, Marcos/0000-0002-7486-0922; Gil Coto, Miguel/0000-0003-3025-4258</t>
  </si>
  <si>
    <t>Portuguese national funds from FCT Foundation for Science and Technology [UIDB/Multi/04326/2020, CEECINST/00114/2018]; BOCATS2 Project [PID2019-104279GB-C21]; Spanish Government; Fondo Europeo de Desarrollo Regional (FEDER); European Union [820989]</t>
  </si>
  <si>
    <t>Portuguese national funds from FCT Foundation for Science and Technology(Fundacao para a Ciencia e a Tecnologia (FCT)); BOCATS2 Project; Spanish Government(Spanish Government); Fondo Europeo de Desarrollo Regional (FEDER)(European Union (EU)Spanish Government); European Union(European Union (EU))</t>
  </si>
  <si>
    <t>For this work M. Fontela was funded by Portuguese national funds from FCTFoundation for Science and Technology through project UIDB/Multi/04326/2020 and CEECINST/00114/2018. A. Velo and F. F. Perez were supported by the BOCATS2 Project (PID2019-104279GB-C21) cofunded by the Spanish Government and the Fondo Europeo de Desarrollo Regional (FEDER) . A. Velo, M.Gilcoto and F. F. Perez were supported by the European Union's Horizon 2020 research and innovation program under grant agreement No 820989 (project COMFORT,Our common future ocean in the Earth systemquantifying coupled cycles of carbon, oxygen and nutrients for determining and achieving safe operating spaces with respect to tipping points) . The work reflects only the author's/authors' view; the European Commission and their executive agency are not responsible for any use that may be made of the information the work contains. The authors are grateful to the crew, technicians and scientists that contributed to data acquisition in these oceanographic cruises. The authors are grateful to the Global Ocean Data Analysis Project (GLODAP, www.glodap.info) data product that provides access to quality controlled biogeochemical data.</t>
  </si>
  <si>
    <t>JUL 20</t>
  </si>
  <si>
    <t>10.1016/j.scitotenv.2021.146570</t>
  </si>
  <si>
    <t>SJ7DU</t>
  </si>
  <si>
    <t>WOS:000655692000006</t>
  </si>
  <si>
    <t>Bennett, JC; Wang, QJ; Robertson, DE; Bridgart, R; Lerat, J; Li, M; Michael, K</t>
  </si>
  <si>
    <t>Bennett, James C.; Wang, Q. J.; Robertson, David E.; Bridgart, Robert; Lerat, Julien; Li, Ming; Michael, Kelvin</t>
  </si>
  <si>
    <t>An error model for long-range ensemble forecasts of ephemeral rivers</t>
  </si>
  <si>
    <t>ADVANCES IN WATER RESOURCES</t>
  </si>
  <si>
    <t>Ephemeral rivers; Dryland streams; Long-range forecasting; ESP; FoGSS; Ensemble prediction</t>
  </si>
  <si>
    <t>PRECIPITATION FORECASTS; STREAMFLOW; UNCERTAINTY; TEMPERATURE; CALIBRATION; PREDICTION; IMPROVE; SYSTEM; SKILL</t>
  </si>
  <si>
    <t>Few ensemble streamflow forecasting systems are designed to operate for ephemeral rivers. In this study, we revise our error model for generating Forecast Guided Stochastic Scenarios (FoGSS) to produce statistically re-liable long-range (12-month) forecasts for ephemeral rivers. FoGSS features an error model with four stages: data transformation, bias-correction, an autoregressive error model and the statistical distribution of residuals. We revise the fourth stage of FoGSS with a parameter estimation method that uses data censoring to account for zero values in both observations and forecasts. This allows FoGSS to produce statistically reliable ensemble forecasts in even highly ephemeral streams (with &gt; 50% zero flows). We apply FoGSS to conventional ensemble hydrological prediction (ESP) forecasts for 50 Australian catchments, including 26 ephemeral rivers. We show that FoGSS improves the accuracy of ESP forecasts at short lead times, while at long lead times FoGSS forecasts transition to climatology-like forecasts. FoGSS forecasts are reliable in ensemble spread at individual lead times and for volumes aggregated over lead times, even in highly ephemeral rivers. FoGSS forecasts pave the way for operational long-range forecasts in ephemeral rivers, meeting a key need for improved water management.</t>
  </si>
  <si>
    <t>[Bennett, James C.; Robertson, David E.; Bridgart, Robert] CSIRO Land &amp; Water, Clayton, Vic, Australia; [Bennett, James C.; Michael, Kelvin] Univ Tasmania, Inst Marine &amp; Antarctic Studies, Battery Point, Tas, Australia; [Wang, Q. J.] Univ Melbourne, Dept Infrastruct Engn, Parkville, Vic, Australia; [Li, Ming] CSIRO Data61, Kensington, WA, Australia; [Lerat, Julien] Bur Meteorol, Canberra, ACT, Australia</t>
  </si>
  <si>
    <t>Commonwealth Scientific &amp; Industrial Research Organisation (CSIRO); University of Tasmania; University of Melbourne; Commonwealth Scientific &amp; Industrial Research Organisation (CSIRO); Bureau of Meteorology - Australia</t>
  </si>
  <si>
    <t>Bennett, JC (corresponding author), CSIRO Land &amp; Water, Clayton, Vic, Australia.</t>
  </si>
  <si>
    <t>james.bennett@csiro.au</t>
  </si>
  <si>
    <t>Bennett, James/C-8456-2013; Robertson, David/C-3643-2011</t>
  </si>
  <si>
    <t>Bennett, James/0000-0002-4930-2638; Robertson, David/0000-0003-4230-8006</t>
  </si>
  <si>
    <t>Water Information Research And Development Alliance (WIRADA); ARC [LP170100922]</t>
  </si>
  <si>
    <t>Water Information Research And Development Alliance (WIRADA); ARC(Australian Research Council)</t>
  </si>
  <si>
    <t>This research was supported by the Water Information Research And Development Alliance (WIRADA) between the Bureau of Meteorology and CSIRO Land &amp; Water, and ARC linkage project LP170100922. Thanks to Elisabeth Vogel and Richard Laugesen (both Bureau of Meteorology) for helpful comments on the manuscript.</t>
  </si>
  <si>
    <t>0309-1708</t>
  </si>
  <si>
    <t>1872-9657</t>
  </si>
  <si>
    <t>ADV WATER RESOUR</t>
  </si>
  <si>
    <t>Adv. Water Resour.</t>
  </si>
  <si>
    <t>10.1016/j.advwatres.2021.103891</t>
  </si>
  <si>
    <t>Water Resources</t>
  </si>
  <si>
    <t>RQ5UD</t>
  </si>
  <si>
    <t>WOS:000642482900006</t>
  </si>
  <si>
    <t>Danckwerts, DK; Humeau, L; Pinet, P; McQuaid, CD; Le Corre, M</t>
  </si>
  <si>
    <t>Danckwerts, D. K.; Humeau, L.; Pinet, P.; McQuaid, C. D.; Le Corre, M.</t>
  </si>
  <si>
    <t>Extreme philopatry and genetic diversification at unprecedented scales in a seabird</t>
  </si>
  <si>
    <t>POPULATION-STRUCTURE; R-PACKAGE; CONSERVATION GENETICS; PTERODROMA-BARAUI; COMPUTER-PROGRAM; HIGHLY MOBILE; F-STATISTICS; DIFFERENTIATION; SOFTWARE; PETREL</t>
  </si>
  <si>
    <t>Effective conservation requires maintenance of the processes underlying species divergence, as well as understanding species' responses to episodic disturbances and long-term change. We explored genetic population structure at a previously unrecognized spatial scale in seabirds, focusing on fine-scale isolation between colonies, and identified two distinct genetic clusters of Barau's Petrels (Pterodroma baraui) on Reunion Island (Indian Ocean) corresponding to the sampled breeding colonies separated by 5 km. This unexpected result was supported by long-term banding and was clearly linked to the species' extreme philopatric tendencies, emphasizing the importance of philopatry as an intrinsic barrier to gene flow. This implies that loss of a single colony could result in the loss of genetic variation, impairing the species' ability to adapt to threats in the long term. We anticipate that these findings will have a pivotal influence on seabird research and population management, focusing attention below the species level of taxonomic organization.</t>
  </si>
  <si>
    <t>[Danckwerts, D. K.; McQuaid, C. D.] Rhodes Univ, Dept Zool &amp; Entomol, Coastal Res Grp, ZA-6140 Grahamstown, South Africa; [Danckwerts, D. K.; Pinet, P.; Le Corre, M.] Univ Nouvelle Caledonie, IFREMER, CNRS, IRD,UMR ENTROPIE,Univ La Reunion, 15 Ave Rene Cassin,CS 92003, F-97744 St Denis 9, Ile De La Reuni, France; [Humeau, L.] Univ La Reunion, UMR PVBMT, CIRAD, 15 Ave Rene Cassin,CS 92003, F-97744 St Denis 9, Ile De La Reuni, France; [Pinet, P.] LIFE Petrels, Parc Natl La Reunion, 258 Rue Republ, F-97431 Plaine Des Palmistes, Ile De La Reuni, France; [Pinet, P.] Terres Australes &amp; Antarctic Francaises TAAF, Rue Gabriel Dejean, F-97410 St Pierre, Ile De La Reuni, France</t>
  </si>
  <si>
    <t>Rhodes University; Centre National de la Recherche Scientifique (CNRS); Ifremer; Institut de Recherche pour le Developpement (IRD); University of La Reunion; CIRAD; University of La Reunion</t>
  </si>
  <si>
    <t>Danckwerts, DK (corresponding author), Rhodes Univ, Dept Zool &amp; Entomol, Coastal Res Grp, ZA-6140 Grahamstown, South Africa.;Danckwerts, DK (corresponding author), Univ Nouvelle Caledonie, IFREMER, CNRS, IRD,UMR ENTROPIE,Univ La Reunion, 15 Ave Rene Cassin,CS 92003, F-97744 St Denis 9, Ile De La Reuni, France.</t>
  </si>
  <si>
    <t>D.Danckwerts@gmail.com</t>
  </si>
  <si>
    <t>Humeau, Laurence/AAF-3600-2019</t>
  </si>
  <si>
    <t>European project LIFE+ Petrels [LIFE13 BIO/FR/000075]; European Union; Direction de l'Environnement, de L'Amenagement et du Logement de la Reunion; South African Research Chairs Initiative of the Department of Science and Technology; National Research Foundation [64801]; Conseil Departemental of Reunion Island</t>
  </si>
  <si>
    <t>European project LIFE+ Petrels; European Union(European Union (EU)); Direction de l'Environnement, de L'Amenagement et du Logement de la Reunion; South African Research Chairs Initiative of the Department of Science and Technology; National Research Foundation; Conseil Departemental of Reunion Island</t>
  </si>
  <si>
    <t>This study is a production of the European project LIFE+ Petrels (Grant Number: LIFE13 BIO/FR/000075) co-driven by Le Parc national de La Reunion, L'Universite de La Reunion, La Societe d'Etudes Ornithologiques de La Reunion, and l'Office National de la Chasse et de la Faune Sauvage; with the financial support of the European Union, La Direction de l'Environnement, de L'Amenagement et du Logement de la Reunion and Le Conseil Departemental of Reunion Island; and additional support provided by the South African Research Chairs Initiative of the Department of Science and Technology and the National Research Foundation (Grant Number 64801). We are additionally grateful to the many field workers for their assistance in the sampling effort especially E. Buffard, P. Souharce, C. Caumes, S. Lefort, I. Henri, P. Laporte, C. Hollinger, O. Tressens, M. Payet, T. Bassonville, A. Bello, F. Filaumart, B. Gineste, L. Faulquier, C. C. Juhasz, S. Orlowski, F. Jan and Y. Soulaimana. We also thank B. Lequette, M. Salamolard and F. X. Couzi for their support of our study and S. Corre for her assistance with the genetic portion of the analysis.</t>
  </si>
  <si>
    <t>MAR 25</t>
  </si>
  <si>
    <t>10.1038/s41598-021-86406-9</t>
  </si>
  <si>
    <t>RG7EY</t>
  </si>
  <si>
    <t>WOS:000635698500021</t>
  </si>
  <si>
    <t>Reiss, CS; Cossio, AM; Walsh, J; Cutter, GR; Watters, GM</t>
  </si>
  <si>
    <t>Reiss, Christian S.; Cossio, Anthony M.; Walsh, Jennifer; Cutter, George R.; Watters, George M.</t>
  </si>
  <si>
    <t>Glider-Based Estimates of Meso-Zooplankton Biomass Density: A Fisheries Case Study on Antarctic Krill (Euphausia superba) Around the Northern Antarctic Peninsula</t>
  </si>
  <si>
    <t>gliders; Antarctic krill; fisheries surveys; fisheries acoustics; zooplankton</t>
  </si>
  <si>
    <t>AUTONOMOUS UNDERWATER VEHICLES; ABUNDANCE; SOUTH; SEA; CLASSIFICATION; INTEGRATION; ECHOSOUNDER; ZOOGLIDER; DYNAMICS; ISLANDS</t>
  </si>
  <si>
    <t>We compare estimates of krill density derived from gliders to those from contemporaneous and previous ship-based surveys. Our comparisons cover several temporal and spatial scales within two strata around the northern Antarctic Peninsula (off Cape Shirreff on the north side of Livingston Island and in the Bransfield Strait). Our objective is to explore the feasibility of using gliders to supplement or replace vessel-based surveys of fishery resources. We deployed two long-duration Slocum G3 gliders manufactured by Teledyne Webb Research (TWR), each equipped with a suite of oceanographic sensors and a three-frequency (38, 67.5, and 125 kHz, each single-beam) Acoustic Zooplankton Fish Profiler. We used the acoustic data collected by these gliders to estimate biomass densities (g.m(-2)) of Antarctic krill (Euphausia superba). The two gliders were, respectively, deployed for 82 and 88 days from mid-December 2018 through mid-March 2019. Off Cape Shirreff, glider-based densities estimated from two repeat small-scale surveys during mid-December and January were 110.6 and 55.7 g.m(-2), respectively. In Bransfield Strait, the glider-based estimate of biomass density was 106.7 g.m(-2) during December-January. Contemporaneous ship-based estimates of biomass density, from a multi-ship broad-scale krill survey (Macaulay et al., 2019) restricted to the areas sampled by the gliders, were 84.6 g.m(-2) off Cape Shirreff and 79.7 g.m(-2) in Bransfield Strait during January. We compared two alternative krill-delineation algorithms (dB differencing and SHAPES); differences between biomass densities estimated by applying these algorithms were small and ranged between 4 and 7%. Alternative methods of sampling krill length-frequency distributions (LFDs) (nets or predator diets), which are required to convert acoustic energy to biomass density, also influenced the glider-based results. In Bransfield Strait, net-based estimates of biomass density were 6% less than those based on predator diets. Off Cape Shirreff the biomass density of krill estimated from a net-based LFD was 20% greater than that based on predator diets. Development of a variance estimator for glider-based biomass surveys is ongoing, but our results demonstrate that fisheries surveys using acoustically-equipped gliders are feasible, can provide density estimates to inform management, and may be conducted at lower cost than ship surveys in some cases.</t>
  </si>
  <si>
    <t>[Reiss, Christian S.; Cossio, Anthony M.; Walsh, Jennifer; Cutter, George R.; Watters, George M.] NOAA Fisheries, Southwest Fisheries Sci Ctr, Antarctic Ecosyst Res Div, La Jolla, CA 92037 USA</t>
  </si>
  <si>
    <t>National Oceanic Atmospheric Admin (NOAA) - USA</t>
  </si>
  <si>
    <t>Reiss, CS (corresponding author), NOAA Fisheries, Southwest Fisheries Sci Ctr, Antarctic Ecosyst Res Div, La Jolla, CA 92037 USA.</t>
  </si>
  <si>
    <t>christian.reiss@noaa.gov</t>
  </si>
  <si>
    <t>Cossio, Anthony/HLX-3335-2023; Watters, George/HPE-2184-2023</t>
  </si>
  <si>
    <t>Watters, George/0000-0002-6989-1273</t>
  </si>
  <si>
    <t>Norwegian Ministry of Trade, Industry and Fisheries [15208]; Institute of Marine Research (IMR); IMR project Krill [14246]</t>
  </si>
  <si>
    <t>Norwegian Ministry of Trade, Industry and Fisheries; Institute of Marine Research (IMR); IMR project Krill</t>
  </si>
  <si>
    <t>We thank our colleagues at the Rutgers University Center for Ocean Observing Leadership (COOL) Lab, especially David Aragon and Nicole Waite as well as Josh Kohut and Oscar Schofield. We also thank Ben Allsup and Chris DeCollibus and the team at Teledyne Webb Research, and Jan Buerman at ASL, Inc., for ensuring that our gliders were delivered in time, and for answering questions and providing solutions at all our hours of the day and night. We thank Observers and Members of CCAMLR, who conducted the multi-ship survey of krill during 2018/19. In particular, we thank the Association of Responsible Krill Harvesters (ARK) for the use of data collected by their contract ship. We thank Korea, in particular Seok-Gwan Choi, for permission to use the data from their March 2019 survey. We thank Kostiantyn Demianenko and the Institute of Fisheries and Marine Ecology and IKF LLC (Ukraine) for the use of their data. Finally, we thank our colleagues at the Institute of Marine Science in Norway, Bjorn Krafft and Gavin Macaulay, who collected data during the multi-ship survey under grants and contracts supported by the Norwegian Ministry of Trade, Industry and Fisheries (NFD, via project number 15208); the Institute of Marine Research (IMR); and the IMR project Krill (project number 14246). Additionally, we thank our partners at the U.S. National Science Foundation, and the contractors on the Antarctic Support Contract for all their help in deploying and recovering our gliders and continuing to ensure that our program goes off without a hitch. The NOAA National Ice Center provided the ice data that helped to safely pilot the gliders over the 3-month period. Finally, we thank our reviewers for their constructive comments.</t>
  </si>
  <si>
    <t>10.3389/fmars.2021.604043</t>
  </si>
  <si>
    <t>RJ8YH</t>
  </si>
  <si>
    <t>WOS:000637885500001</t>
  </si>
  <si>
    <t>Weinhart, AH; Kipfstuhl, S; Hörhold, M; Eisen, O; Freitag, J</t>
  </si>
  <si>
    <t>Weinhart, Alexander H.; Kipfstuhl, Sepp; Hoerhold, Maria; Eisen, Olaf; Freitag, Johannes</t>
  </si>
  <si>
    <t>Spatial Distribution of Crusts in Antarctic and Greenland Snowpacks and Implications for Snow and Firn Studies</t>
  </si>
  <si>
    <t>Antarctica; Greenland; polar snow; snow stratigraphy; crusts; snow properties; accumulation rate</t>
  </si>
  <si>
    <t>The occurrence of snowpack features has been used in the past to classify environmental regimes on the polar ice sheets. Among these features are thin crusts with high density, which contribute to firn stratigraphy and can have significant impact on firn ventilation as well as on remotely inferred properties like accumulation rate or surface mass balance. The importance of crusts in polar snowpack has been acknowledged, but nonetheless little is known about their large-scale distribution. From snow profiles measured by means of microfocus X-ray computer tomography we created a unique dataset showing the spatial distribution of crusts in snow on the East Antarctic Plateau as well as in northern Greenland including a measure for their local variability. With this method, we are able to find also weak and oblique crusts, to count their frequency of occurrence and to measure the high-resolution density. Crusts are local features with a small spatial extent in the range of tens of meters. From several profiles per sampling site we are able to show a decreasing number of crusts in surface snow along a traverse on the East Antarctic Plateau. Combining samples from Antarctica and Greenland with a wide range of annual accumulation rate, we find a positive correlation (R (2) = 0.89) between the logarithmic accumulation rate and crusts per annual layer in surface snow. By counting crusts in two Antarctic firn cores, we can show the preservation of crusts with depth and discuss their temporal variability as well as the sensitivity to accumulation rate. In local applications we test the robustness of crusts as a seasonal proxy in comparison to chemical records like impurities or stable water isotopes. While in regions with high accumulation rates the occurrence of crusts shows signs of seasonality, in low accumulation areas dating of the snowpack should be done using a combination of volumetric and stratigraphic elements. Our data can bring new insights for the study of firn permeability, improving of remote sensing signals or the development of new proxies in snow and firn core research.</t>
  </si>
  <si>
    <t>[Weinhart, Alexander H.; Kipfstuhl, Sepp; Hoerhold, Maria; Eisen, Olaf; Freitag, Johannes] Helmholtz Zentrum Polar &amp; Meeresforsch, Alfred Wegener Inst, Bremerhaven, Germany; [Eisen, Olaf] Univ Bremen, Fachbereich Geowissensch, Bremen, Germany</t>
  </si>
  <si>
    <t>Helmholtz Association; Alfred Wegener Institute, Helmholtz Centre for Polar &amp; Marine Research; University of Bremen</t>
  </si>
  <si>
    <t>Weinhart, AH; Freitag, J (corresponding author), Helmholtz Zentrum Polar &amp; Meeresforsch, Alfred Wegener Inst, Bremerhaven, Germany.</t>
  </si>
  <si>
    <t>alexander.weinhart@awi.de; johannes.freitag@awi.de</t>
  </si>
  <si>
    <t>Hörhold, Maria/IST-9483-2023</t>
  </si>
  <si>
    <t>Weinhart, Alexander Helmut/0000-0003-2856-2630</t>
  </si>
  <si>
    <t>German environmental foundation (Deutsche Bundesstiftung Umwelt) [16572]</t>
  </si>
  <si>
    <t>German environmental foundation (Deutsche Bundesstiftung Umwelt)</t>
  </si>
  <si>
    <t>AW is funded by the German environmental foundation (Deutsche Bundesstiftung Umwelt). SK has received support from the Villum Investigator Project IceFlow (no. 16572).</t>
  </si>
  <si>
    <t>10.3389/feart.2021.630070</t>
  </si>
  <si>
    <t>RJ6MY</t>
  </si>
  <si>
    <t>WOS:000637715700001</t>
  </si>
  <si>
    <t>Yin, SJ; Lee, J; Lim, G; Chen, ZF; Qian, GY; Si, YX; Park, YD</t>
  </si>
  <si>
    <t>Yin, Shang-Jun; Lee, Jinhyuk; Lim, Gyutae; Chen, Zhongfa; Qian, Guo-Ying; Si, Yue-Xiu; Park, Yong-Doo</t>
  </si>
  <si>
    <t>A study of Pb2+ induced unfolding and aggregation of arginine kinase from Euphausia superba: kinetics and computational simulation integrating study</t>
  </si>
  <si>
    <t>JOURNAL OF BIOMOLECULAR STRUCTURE &amp; DYNAMICS</t>
  </si>
  <si>
    <t>Euphausia superba; arginine kinase; Pb2(+); inhibition; molecular dynamics simulation</t>
  </si>
  <si>
    <t>INHIBITION-KINETICS; ANTARCTIC KRILL</t>
  </si>
  <si>
    <t>Arginine kinase is a crucial phosphagen kinase in invertebrates, which is associated to the environmental stress response, plays a key role in cellular energy metabolism. In this study, we investigated the Pb2+-induced inhibition and aggregation of Euphausia superba arginine kinase (ESAK) and found that significantly inactivated ESAK in a dose-dependent manner (IC50 = 0.058 +/- 0.002 mM). Spectrofluorimetry results showed that Pb2+ induced tertiary structural changes via the internal polarity increased and the non-polarity decreased in ESAK and directly induced ESAK aggregation. The ESAK aggregation process induced by Pb2+ occurred with multi-phase kinetics. The addition of osmolytes did not show protective effect on Pb2+-induced inactivation of ESAK. The computational molecular dynamics (MD) simulation showed that three Pb2+ interrupt the entrance of the active site of ESAK and it could be the reason on the loss of activity of ESAK. Several important residues of ESAK were detected that were importantly contributed the conformation and catalytic function of ESAK. Our study showed that Pb2+-induced misfolding of ESAK and the complete loss of activity irreversibly, which cannot be recovered by osmolytes. Communicated by Ramaswamy H. Sarma</t>
  </si>
  <si>
    <t>[Yin, Shang-Jun; Chen, Zhongfa; Qian, Guo-Ying; Park, Yong-Doo] Zhejiang Wanli Univ, Coll Biol &amp; Environm Sci, Ningbo, Peoples R China; [Lee, Jinhyuk; Lim, Gyutae] Korea Res Inst Biosci &amp; Biotechnol KRIBB, Genome Editing Res Ctr, Daejeon, South Korea; [Lee, Jinhyuk] Korea Univ Sci &amp; Technol, KRIBB Sch Biosci, Dept Bioinformat, Daejeon, South Korea; [Si, Yue-Xiu] Zhejiang Chinese Med Univ, Sch Basic Med Sci, Hangzhou, Peoples R China; [Park, Yong-Doo] Tsinghua Univ, Yangtze Delta Reg Inst, Skin Dis Res Ctr, Jiaxing, Peoples R China; [Park, Yong-Doo] Tsinghua Univ, Yangtze Delta Reg Inst, Zhejiang Prov Key Lab Appl Enzymol, Jiaxing, Peoples R China</t>
  </si>
  <si>
    <t>Zhejiang Wanli University; Korea Research Institute of Bioscience &amp; Biotechnology (KRIBB); University of Science &amp; Technology (UST); Zhejiang Chinese Medical University; Tsinghua University; Tsinghua University</t>
  </si>
  <si>
    <t>Park, YD (corresponding author), Zhejiang Wanli Univ, Coll Biol &amp; Environm Sci, Ningbo, Peoples R China.;Si, YX (corresponding author), Zhejiang Chinese Med Univ, Sch Basic Med Sci, Hangzhou, Peoples R China.</t>
  </si>
  <si>
    <t>syx@zcmu.edu.cn; parkyd@hotmail.com</t>
  </si>
  <si>
    <t>Zhejiang Provincial Top Key Discipline of Biological engineering [KF2020005]; National Natural Science Foundation of China [31402278]; Zhejiang Province welfare technology applied research project [LGN21C190013]; National Key Research and Development Program [2018YFD0900203]; Basic Scientific Research Foundation of Zhejiang Provincial Universities; Ningbo Public Service Platform for High-Value Utilization of Marine Biological Resources; Basic Science Research Program through the National Research Foundation of Korea (NRF) - Ministry of Education [NRF-2020R1I1A2071859]; Zhejiang Provincial Top Key Discipline of Bioengineering [2012006]</t>
  </si>
  <si>
    <t>Zhejiang Provincial Top Key Discipline of Biological engineering; National Natural Science Foundation of China(National Natural Science Foundation of China (NSFC)); Zhejiang Province welfare technology applied research project; National Key Research and Development Program; Basic Scientific Research Foundation of Zhejiang Provincial Universities; Ningbo Public Service Platform for High-Value Utilization of Marine Biological Resources; Basic Science Research Program through the National Research Foundation of Korea (NRF) - Ministry of Education(National Research Foundation of KoreaMinistry of Education (MOE), Republic of KoreaNational Research Council for Economics, Humanities &amp; Social Sciences, Republic of Korea); Zhejiang Provincial Top Key Discipline of Bioengineering</t>
  </si>
  <si>
    <t>This study was supported by the Zhejiang Provincial Top Key Discipline of Biological engineering (KF2020005). Shang-Jun Yin was supported by National Natural Science Foundation of China (31402278), the Zhejiang Province welfare technology applied research project (LGN21C190013), the National Key Research and Development Program (2018YFD0900203), the funds from Basic Scientific Research Foundation of Zhejiang Provincial Universities and Ningbo Public Service Platform for High-Value Utilization of Marine Biological Resources. Jinhyuk Lee was supported by Basic Science Research Program through the National Research Foundation of Korea (NRF) funded by the Ministry of Education (NRF-2020R1I1A2071859). Guo-Ying Qian was supported by the Zhejiang Provincial Top Key Discipline of Bioengineering (No. 2012006).</t>
  </si>
  <si>
    <t>0739-1102</t>
  </si>
  <si>
    <t>1538-0254</t>
  </si>
  <si>
    <t>J BIOMOL STRUCT DYN</t>
  </si>
  <si>
    <t>J. Biomol. Struct. Dyn.</t>
  </si>
  <si>
    <t>OCT 19</t>
  </si>
  <si>
    <t>10.1080/07391102.2021.1908168</t>
  </si>
  <si>
    <t>Biochemistry &amp; Molecular Biology; Biophysics</t>
  </si>
  <si>
    <t>5J3YX</t>
  </si>
  <si>
    <t>WOS:000639896500001</t>
  </si>
  <si>
    <t>Bokhorst, S; Convey, P; Casanova-Katny, A; Aerts, R</t>
  </si>
  <si>
    <t>Bokhorst, Stef; Convey, Peter; Casanova-Katny, Angelica; Aerts, Rien</t>
  </si>
  <si>
    <t>Warming impacts potential germination of non-native plants on the Antarctic Peninsula</t>
  </si>
  <si>
    <t>COMMUNICATIONS BIOLOGY</t>
  </si>
  <si>
    <t>INVASIVE POA-ANNUA; CLIMATE-CHANGE; BIOLOGICAL INVASIONS; TEMPERATURE; GROWTH; EXPANSION; RISK; ESTABLISHMENT; REPRODUCTION; COMMUNITIES</t>
  </si>
  <si>
    <t>The Antarctic Peninsula is under pressure from non-native plants and this risk is expected to increase under climate warming. Establishment and subsequent range expansion of non-native plants depend in part on germination ability under Antarctic conditions, but quantifying these processes has yet to receive detailed study. Viability testing and plant growth responses under simulated Antarctic soil surface conditions over an annual cycle show that 16 non-native species, including grasses, herbs, rushes and a succulent, germinated and continued development under a warming scenario. Thermal germination requirement (degree day sum) was calculated for each species and field soil-temperature recordings indicate that this is satisfied as far south as 72 degrees S. Here, we show that the establishment potential of non-native species, in number and geographical range, is considerably greater than currently suggested by species distribution modelling approaches, with important implications for risk assessments of non-native species along the Antarctic Peninsula. Stef Bokhorst et al. simulate a warming scenario in Antarctic soil under laboratory conditions and report the germination and growth of sixteen non-native plant species. These experimental results, combined with calculations of thermal germination requirement at +3 degrees C and +5 degrees C warming scenarios demonstrate that the risk of establishment by non-native species in Antarctica may be greater than previously suggested by species distribution modelling approaches.</t>
  </si>
  <si>
    <t>[Bokhorst, Stef; Aerts, Rien] Vrije Univ Amsterdam, Dept Ecol Sci, Amsterdam, Netherlands; [Convey, Peter] British Antarctic Survey, Nat Environm Res Council, Cambridge, England; [Casanova-Katny, Angelica] Univ Catolica Temuco, Fac Recursos Nat, Lab Ecofisiol Vegetal &amp; Nucleo Estudios Ambiental, Temuco, Chile</t>
  </si>
  <si>
    <t>Vrije Universiteit Amsterdam; UK Research &amp; Innovation (UKRI); Natural Environment Research Council (NERC); NERC British Antarctic Survey; Universidad Catolica de Temuco</t>
  </si>
  <si>
    <t>Bokhorst, S (corresponding author), Vrije Univ Amsterdam, Dept Ecol Sci, Amsterdam, Netherlands.</t>
  </si>
  <si>
    <t>Convey, Peter/AAV-5728-2020; Bokhorst, Stef/D-1858-2009; Casanova-Katny, Angelica/M-3994-2014</t>
  </si>
  <si>
    <t>Convey, Peter/0000-0001-8497-9903; Aerts, Rien/0000-0001-6694-0669; Bokhorst, Stef/0000-0003-0184-1162; Casanova-Katny, Angelica/0000-0003-3860-1445</t>
  </si>
  <si>
    <t>Netherlands Polar Programme (NPP-NWO) [866.16.006]; Natural Environment Research Council; Instituto Antartico Chileno (INACH) [FR-04-18]; project ANID-FONDECYT [1181745]; NERC [bas0100036] Funding Source: UKRI</t>
  </si>
  <si>
    <t>Netherlands Polar Programme (NPP-NWO); Natural Environment Research Council(UK Research &amp; Innovation (UKRI)Natural Environment Research Council (NERC)); Instituto Antartico Chileno (INACH); project ANID-FONDECYT; NERC(UK Research &amp; Innovation (UKRI)Natural Environment Research Council (NERC))</t>
  </si>
  <si>
    <t>We are grateful for the logistical support given by the British Antarctic Survey during the fieldwork. We would like to thank Richard van Logtestijn and Rob Broekman for their help during the laboratory experiment. We are grateful to Laura Gerrish (BAS Mapping and Geographic Information Centre) for her assistance in the preparation of Fig. 4. This work was funded by a grant from the Netherlands Polar Programme (NPP-NWO 866.16.006) and by Natural Environment Research Council core funding to the British Antarctic Survey Biodiversity, Evolution, and Adaptation team. Angelica CasanovaKatny appreciates the logistical support of the Instituto Antartico Chileno (INACH, project FR-04-18) and the staff of the Spanish Gabriel de Castilla scientific base during the fieldwork on Deception Island, financed by the project ANID-FONDECYT 1181745.</t>
  </si>
  <si>
    <t>2399-3642</t>
  </si>
  <si>
    <t>COMMUN BIOL</t>
  </si>
  <si>
    <t>Commun. Biol.</t>
  </si>
  <si>
    <t>10.1038/s42003-021-01951-3</t>
  </si>
  <si>
    <t>Biology; Multidisciplinary Sciences</t>
  </si>
  <si>
    <t>Life Sciences &amp; Biomedicine - Other Topics; Science &amp; Technology - Other Topics</t>
  </si>
  <si>
    <t>RG0WM</t>
  </si>
  <si>
    <t>WOS:000635256600008</t>
  </si>
  <si>
    <t>Rosier, SHR; Reese, R; Donges, JF; De Rydt, J; Gudmundsson, GH; Winkelmann, R</t>
  </si>
  <si>
    <t>Rosier, Sebastian H. R.; Reese, Ronja; Donges, Jonathan F.; De Rydt, Jan; Gudmundsson, G. Hilmar; Winkelmann, Ricarda</t>
  </si>
  <si>
    <t>The tipping points and early warning indicators for Pine Island Glacier, West Antarctica</t>
  </si>
  <si>
    <t>ICE-SHEET; SEA-LEVEL; GROUNDING LINES; MODEL; VARIABILITY; STABILITY; COLLAPSE; RETREAT; SHIFTS; TIME</t>
  </si>
  <si>
    <t>Mass loss from the Antarctic Ice Sheet is the main source of uncertainty in projections of future sea-level rise, with important implications for coastal regions worldwide. Central to ongoing and future changes is the marine ice sheet instability: once a critical threshold, or tipping point, is crossed, ice internal dynamics can drive a self-sustaining retreat committing a glacier to irreversible, rapid and substantial ice loss. This process might have already been triggered in the Amundsen Sea region, where Pine Island and Thwaites glaciers dominate the current mass loss from Antarctica, but modelling and observational techniques have not been able to establish this rigorously, leading to divergent views on the future mass loss of the West Antarctic Ice Sheet. Here, we aim at closing this knowledge gap by conducting a systematic investigation of the stability regime of Pine Island Glacier. To this end we show that early warning indicators in model simulations robustly detect the onset of the marine ice sheet instability. We are thereby able to identify three distinct tipping points in response to increases in ocean-induced melt. The third and final event, triggered by an ocean warming of approximately 1.2 degrees C from the steady-state model configuration, leads to a retreat of the entire glacier that could initiate a collapse of the West Antarctic Ice Sheet.</t>
  </si>
  <si>
    <t>[Rosier, Sebastian H. R.; De Rydt, Jan; Gudmundsson, G. Hilmar] Northumbria Univ, Dept Geog &amp; Environm Sci, Newcastle Upon Tyne, Tyne &amp; Wear, England; [Reese, Ronja; Donges, Jonathan F.; Winkelmann, Ricarda] Leibniz Assoc, Potsdam Inst Climate Impact Res PIK, Earth Syst Anal, POB 60 12 03, D-14412 Potsdam, Germany; [Donges, Jonathan F.] Stockholm Univ, Stockholm Resilience Ctr, Kraftriket 2B, S-10691 Stockholm, Sweden; [Winkelmann, Ricarda] Univ Potsdam, Inst Phys &amp; Astron, Karl Liebknecht Str 24-25, D-14476 Potsdam, Germany</t>
  </si>
  <si>
    <t>Northumbria University; Potsdam Institut fur Klimafolgenforschung; Stockholm University; University of Potsdam</t>
  </si>
  <si>
    <t>Rosier, SHR (corresponding author), Northumbria Univ, Dept Geog &amp; Environm Sci, Newcastle Upon Tyne, Tyne &amp; Wear, England.</t>
  </si>
  <si>
    <t>sebastian.rosier@northumbria.ac.uk</t>
  </si>
  <si>
    <t>Gudmundsson, Gudmundur Hilmar/AAU-5987-2020; Donges, Jonathan F./HCI-2311-2022; De Rydt, Jan/H-5692-2018</t>
  </si>
  <si>
    <t>Gudmundsson, Gudmundur Hilmar/0000-0003-4236-5369; Reese, Ronja/0000-0001-7625-040X; Donges, Jonathan/0000-0001-5233-7703; De Rydt, Jan/0000-0002-2978-8706</t>
  </si>
  <si>
    <t>Natural Environment Research Council [NE/L013770/1, NE/S006745/1]; Deutsche Forschungsgemeinschaft [WI4556/3-1]; Horizon 2020 (TiPACCs) [820575]; NERC [NE/L013770/1, NE/S006745/1] Funding Source: UKRI</t>
  </si>
  <si>
    <t>Natural Environment Research Council(UK Research &amp; Innovation (UKRI)Natural Environment Research Council (NERC)); Deutsche Forschungsgemeinschaft(German Research Foundation (DFG)); Horizon 2020 (TiPACCs); NERC(UK Research &amp; Innovation (UKRI)Natural Environment Research Council (NERC))</t>
  </si>
  <si>
    <t>This research has been supported by the Natural Environment Research Council (grant nos. NE/L013770/1 and NE/S006745/1), the Deutsche Forschungsgemeinschaft (grant no. WI4556/3-1) and Horizon 2020 (TiPACCs (grant no. 820575)).</t>
  </si>
  <si>
    <t>10.5194/tc-15-1501-2021</t>
  </si>
  <si>
    <t>RF3KY</t>
  </si>
  <si>
    <t>Green Submitted, gold, Green Accepted</t>
  </si>
  <si>
    <t>WOS:000634741800001</t>
  </si>
  <si>
    <t>Hofstede, C; Beyer, S; Corr, H; Eisen, O; Hattermann, T; Helm, V; Neckel, N; Smith, EC; Steinhage, D; Zeising, O; Humbert, A</t>
  </si>
  <si>
    <t>Hofstede, Coen; Beyer, Sebastian; Corr, Hugh; Eisen, Olaf; Hattermann, Tore; Helm, Veit; Neckel, Niklas; Smith, Emma C.; Steinhage, Daniel; Zeising, Ole; Humbert, Angelika</t>
  </si>
  <si>
    <t>Evidence for a grounding line fan at the onset of a basal channel under the ice shelf of Support Force Glacier, Antarctica, revealed by reflection seismics</t>
  </si>
  <si>
    <t>ELEVATION MODEL; FLOW; SURFACE; BENEATH; BED</t>
  </si>
  <si>
    <t>Curvilinear channels on the surface of an ice shelf indicate the presence of large channels at the base. Modelling studies have shown that where these surface expressions intersect the grounding line, they coincide with the likely outflow of subglacial water. An understanding of the initiation and the ice-ocean evolution of the basal channels is required to understand the present behaviour and future dynamics of ice sheets and ice shelves. Here, we present focused active seismic and radar surveys of a basal channel, similar to 950m wide and similar to 200m high, and its upstream continuation beneath Support Force Glacier, which feeds into the Filchner Ice Shelf, West Antarctica. Immediately seaward from the grounding line, below the basal channel, the seismic profiles show an similar to 6.75 km long, 3.2 km wide and 200m thick sedimentary sequence with chaotic to weakly stratified reflections we interpret as a grounding line fan deposited by a subglacial drainage channel directly upstream of the basal channel. Further downstream the seabed has a different character; it consists of harder, stratified consolidated sediments, deposited under different glaciological circumstances, or possibly bedrock. In contrast to the standard perception of a rapid change in ice shelf thickness just downstream of the grounding line, we find a flat topography of the ice shelf base with an almost constant ice thickness gradient along-flow, indicating only little basal melting, but an initial widening of the basal channel, which we ascribe to melting along its flanks. Our findings provide a detailed view of a more complex interaction between the ocean and subglacial hydrology to form basal channels in ice shelves.</t>
  </si>
  <si>
    <t>[Hofstede, Coen; Beyer, Sebastian; Eisen, Olaf; Helm, Veit; Neckel, Niklas; Smith, Emma C.; Steinhage, Daniel; Zeising, Ole; Humbert, Angelika] Alfred Wegener Inst, Helmholtz Ctr Polar &amp; Marine Res, Handelshafen 12, D-27570 Bremerhaven, Germany; [Corr, Hugh] British Antarctic Survey, Natl Environm Res Council, Cambridge CB3 0ET, England; [Eisen, Olaf; Humbert, Angelika] Univ Bremen, Dept Geosci, Klagenfurter Str 2-4, D-28359 Bremen, Germany; [Hattermann, Tore] Norwegian Polar Res Inst, Framsenteret, Hjalmar Johansens Gate 14, N-9296 Tromso, Norway; [Smith, Emma C.] Univ Leeds, Sch Earth &amp; Environm, Leeds LS2 9JT, W Yorkshire, England</t>
  </si>
  <si>
    <t>Helmholtz Association; Alfred Wegener Institute, Helmholtz Centre for Polar &amp; Marine Research; UK Research &amp; Innovation (UKRI); Natural Environment Research Council (NERC); NERC British Antarctic Survey; University of Bremen; Norwegian Polar Institute; University of Leeds</t>
  </si>
  <si>
    <t>Hofstede, C (corresponding author), Alfred Wegener Inst, Helmholtz Ctr Polar &amp; Marine Res, Handelshafen 12, D-27570 Bremerhaven, Germany.</t>
  </si>
  <si>
    <t>coen.hofstede@awi.de</t>
  </si>
  <si>
    <t>Smith, Emma/AAO-5329-2021; Hofstede, Coen/JXM-4966-2024; Corr, Hugh/C-5398-2011</t>
  </si>
  <si>
    <t>Eisen, Olaf/0000-0002-6380-962X; Neckel, Niklas/0000-0003-4300-5488; Beyer, Sebastian/0000-0002-3731-0278; Helm, Veit/0000-0001-7788-9328; Zeising, Ole/0000-0002-1284-8098; Humbert, Angelika/0000-0002-0244-8760; Smith, Emma/0000-0002-8672-8259</t>
  </si>
  <si>
    <t>AWI Strategy Fund; UK Natural Environment Research Council [NE/L013770/1]; NERC [NE/L013770/1] Funding Source: UKRI</t>
  </si>
  <si>
    <t>AWI Strategy Fund; UK Natural Environment Research Council(UK Research &amp; Innovation (UKRI)Natural Environment Research Council (NERC)); NERC(UK Research &amp; Innovation (UKRI)Natural Environment Research Council (NERC))</t>
  </si>
  <si>
    <t>The Filchner Ice Shelf Project (FISP) was funded by the AWI Strategy Fund. The Grounding Line Location (GLL) product was provided by DLR via ESA CCI Antarctic Ice Sheet. Hugh Corr was supported by the UK Natural Environment Research Council large grant Ice shelves in a warming world: Filchner Ice Shelf System (grant no. NE/L013770/1).</t>
  </si>
  <si>
    <t>10.5194/tc-15-1517-2021</t>
  </si>
  <si>
    <t>WOS:000634741800002</t>
  </si>
  <si>
    <t>Bester, MN; Stansfield, LJ; Glass, T; de Bruyn, PJN</t>
  </si>
  <si>
    <t>Bester, M. N.; Stansfield, L. J.; Glass, T.; de Bruyn, P. J. N.</t>
  </si>
  <si>
    <t>Fish prey of sub-Antarctic fur seals Arctocephalus tropicalis at the Tristan da Cunha Islands, South Atlantic Ocean</t>
  </si>
  <si>
    <t>A. tropicalis; Climate change; Diet; Myctophid fish; Frontal zones; Foraging range</t>
  </si>
  <si>
    <t>PRINCE-EDWARD ISLANDS; FORAGING ECOLOGY; SEASONAL-CHANGES; KING PENGUIN; DIET; MYCTOPHIDAE; GAZELLA; TRENDS; SCATS</t>
  </si>
  <si>
    <t>Some top predator populations in the South Atlantic and South Indian oceans are in decline, presumably contingent upon reduced food availability, precipitated by climate change. This phenomenon impacts on the positions of major ocean frontal zones which are hypothesised to act as natural dispersal borders for fish in the Southern Ocean. We investigate this hypothesis by establishing the fish diet of sub-Antarctic fur seals, Arctocephalus tropicalis, at Tristan da Cunha Island (37 degrees 15'S, 12 degrees 25'W) and Gough Island (40 degrees 19'S, 9 degrees 57'W), South Atlantic Ocean. The diets of these island populations, located on either side of the Subtropical Convergence, are compared with published dietary information from populations further south on islands located within the Polar Frontal Zone. To this end, fur seal scats were collected and analysed for remains of hard parts from prey in 2012-2013. The myctophid fish Gymnoscopelus piabilis, Protomyctophum tenisoni and Symbolophorus barnardi predominated in the diet. Lampichthys gemellarii, Myctophum aurolaternatum, S. barnardi and the Diaphus genus are recorded for the first time in the diet of A. tropicalis. Sub-Antarctic fur seal populations clustered around the Subtropical Convergence (similar to 41 degrees 40'S), compared with those in the Polar Frontal Zone (similar to 47 degrees 25'S to similar to 50 degrees 47'S), showed a considerable difference in the myctophid fish prey taken. The latitudinal differences in the fish diet of sub-Antarctic fur seals support suggestions that major frontal zones act as natural dispersal borders for fish in the Southern Ocean.</t>
  </si>
  <si>
    <t>[Bester, M. N.; Stansfield, L. J.; de Bruyn, P. J. N.] Univ Pretoria, Mammal Res Inst, Dept Zool &amp; Entomol, Private Bag X20, ZA-0028 Pretoria, South Africa; [Glass, T.] Tristan da Cunha Conservat Dept, Tristan da Cunha, England</t>
  </si>
  <si>
    <t>University of Pretoria</t>
  </si>
  <si>
    <t>Bester, MN (corresponding author), Univ Pretoria, Mammal Res Inst, Dept Zool &amp; Entomol, Private Bag X20, ZA-0028 Pretoria, South Africa.</t>
  </si>
  <si>
    <t>mnbester@zoology.up.ac.za</t>
  </si>
  <si>
    <t>de Bruyn, P. J. Nico/E-4176-2010</t>
  </si>
  <si>
    <t>de Bruyn, P. J. Nico/0000-0002-9114-9569</t>
  </si>
  <si>
    <t>10.1007/s00300-021-02849-w</t>
  </si>
  <si>
    <t>WOS:000632746800002</t>
  </si>
  <si>
    <t>Kim, S; Collins, CA</t>
  </si>
  <si>
    <t>Kim, Stacy; Collins, Clint A.</t>
  </si>
  <si>
    <t>Iceberg disturbance to benthic communities in McMurdo Sound, Antarctica</t>
  </si>
  <si>
    <t>Ross Sea; Polar; Ecology; Marine; Recovery; Infauna; Epifauna</t>
  </si>
  <si>
    <t>SHALLOW-WATER SITE; ROSS SEA; IMPACT; ICE; SHELF; DIVERSITY; PATTERNS; ISLAND</t>
  </si>
  <si>
    <t>On the continental shelf of the Antarctic the major disturbance to benthic ecosystems is from iceberg scouring; however, this is based on observations from the Peninsula region. We combine observation and experimentation in the McMurdo Sound region of the Ross Sea to determine if community recovery patterns there are similar to those in better-studied Antarctic regions, and if local immigration is an important factor in recovery dynamics. We found that regardless of habitat differences in depth, substrate, and oceanographic setting, iceberg disturbance strongly impacted benthic communities in McMurdo Sound. Notably, in shallow water (&lt;30 m) where anchor ice is an annual disturbance, both the benthic communities and recovery processes were more variable than at deeper locations. A manipulative experiment performed in a shallow area indicated that recruitment might be more important than immigration to infaunal community recovery. We conclude that whilst disturbance frequency influences dominant epifauna, recovery from iceberg disturbance is a slow ecological progression that is dependent on the extremely inconsistent recruitment processes of the high Antarctic benthic ecosystem.</t>
  </si>
  <si>
    <t>[Kim, Stacy] Moss Landing Marine Labs, Pob 450, Moss Landing, CA 95039 USA; [Collins, Clint A.] Univ Hawaii, Environm Hlth &amp; Safety Off EHSO, Hilo, HI 96720 USA</t>
  </si>
  <si>
    <t>Moss Landing Marine Laboratories; University of Hawaii System; University Hawaii Hilo</t>
  </si>
  <si>
    <t>Kim, S (corresponding author), Moss Landing Marine Labs, Pob 450, Moss Landing, CA 95039 USA.</t>
  </si>
  <si>
    <t>skim@mlml.calstate.edu</t>
  </si>
  <si>
    <t>ABA; CCR; NSF [ANT-0944747, OPP-0619622, OPP-0126319, OPP-59088]</t>
  </si>
  <si>
    <t>ABA; CCR; NSF(National Science Foundation (NSF))</t>
  </si>
  <si>
    <t>Funding was provided by ABA; CC &amp; R; and NSF (S.K., grant numbers ANT-0944747, OPP-0619622, OPP-0126319, OPP-59088). Any opinions, findings, and conclusions or recommendations expressed in this material are those of the authors and do not necessarily reflect the views of the NSF.</t>
  </si>
  <si>
    <t>e11</t>
  </si>
  <si>
    <t>10.1017/S0032247421000048</t>
  </si>
  <si>
    <t>RB6QS</t>
  </si>
  <si>
    <t>WOS:000632235000001</t>
  </si>
  <si>
    <t>Vergara, PM; Maron-Perez, F; Caro, D; Soto, GE; Simonetti, JA</t>
  </si>
  <si>
    <t>Vergara, Pablo M.; Maron-Perez, Francisca; Caro, Diego; Soto, Gerardo E.; Simonetti, Javier A.</t>
  </si>
  <si>
    <t>Area-restricted search in Magellanic Woodpeckers: importance of tree senescence, forest composition and open habitats</t>
  </si>
  <si>
    <t>JOURNAL OF ORNITHOLOGY</t>
  </si>
  <si>
    <t>Foraging; First-passage time; Tree senescence; Open habitats</t>
  </si>
  <si>
    <t>HOME-RANGE; CAMPEPHILUS-MAGELLANICUS; FORAGING BEHAVIOR; 1ST-PASSAGE TIME; SPATIAL MEMORY; SPACE USE; MOVEMENT; LANDSCAPES; PREDATOR; QUALITY</t>
  </si>
  <si>
    <t>Animals with stable territories, specialized diets and narrow habitat choices, such as some woodpecker species, should concentrate foraging activity in areas of higher quality, a behavior consistent with the area-restricted search (ARS) behavior. The assessment of ARS behavior in specialized woodpeckers contributes to identify feeding areas important for not only their conservation but also habitats negatively affecting their foraging behavior. We addressed the effects of tree senescence, forest succession, stand composition and open habitats on the adoption of ARS behavior in Magellanic Woodpecker (Campephilus magellanicus) in a heterogeneous landscape in southern South America. Using GPS relocations from 24 woodpeckers, we estimated the First-Passage Time (FPT), a measure of the time individuals remain in a given area, with longer FPT values indicating the adoption of an ARS behavior. We determined the effects of habitat variables on FPT using a methodological framework based on Linear Mixed Effect models and a randomization procedure intended to reduce spatial autocorrelation. Averaged model coefficients showed that woodpeckers spent less time in sites dominated by the Antarctic beech (Nothofagus antarctica) and partially covered by open habitats. Conversely, FPT increased in stands and home ranges where tree senescence was higher. Thus, the ARS behavior in Magellanic Woodpecker is explained by forest composition, avoidance of open habitats and tree senescence. Our results suggest the conservation of Magellanic Woodpeckers in heterogeneous landscapes involves retention of senescent trees and maintenance of canopy continuity.</t>
  </si>
  <si>
    <t>[Vergara, Pablo M.; Simonetti, Javier A.] Univ Santiago Chile USACH, Fac Tecnol, Dept Gest Agr, Santiago, Chile; [Maron-Perez, Francisca] Univ Chile, Fac Ciencias, Santiago, Chile; [Caro, Diego] Univ Santiago, Dept Ingn Informat, Santiago, Chile; [Soto, Gerardo E.] Cornell Univ, Cornell Lab Ornithol, Ithaca, NY USA; [Soto, Gerardo E.] Cornell Univ, Dept Nat Resources, Fernow Hall, Ithaca, NY 14853 USA</t>
  </si>
  <si>
    <t>Universidad de Santiago de Chile; Universidad de Chile; Universidad de Santiago de Chile; Cornell University; Cornell University</t>
  </si>
  <si>
    <t>Vergara, PM (corresponding author), Univ Santiago Chile USACH, Fac Tecnol, Dept Gest Agr, Santiago, Chile.</t>
  </si>
  <si>
    <t>pablo.vergara@usach.cl</t>
  </si>
  <si>
    <t>Simonetti, Javier A./A-4658-2008; Vergara, Pablo M/F-2519-2010; Soto, Gerardo Emanuel/JAX-4165-2023</t>
  </si>
  <si>
    <t>Vergara, Pablo M/0000-0002-0024-1678; Caro, Diego/0000-0002-3335-9920; Maron-Perez, Francisca/0000-0001-7633-7003; Soto, Gerardo/0000-0002-9706-6588</t>
  </si>
  <si>
    <t>ANID-FONDECYT [1180978]</t>
  </si>
  <si>
    <t>ANID-FONDECYT</t>
  </si>
  <si>
    <t>This study was funded by ANID-FONDECYT 1180978. We thank Data Science Institute (Universidad del Desarrollo, Chile) for support in processing data.</t>
  </si>
  <si>
    <t>2193-7192</t>
  </si>
  <si>
    <t>2193-7206</t>
  </si>
  <si>
    <t>J ORNITHOL</t>
  </si>
  <si>
    <t>J. Ornithol.</t>
  </si>
  <si>
    <t>10.1007/s10336-021-01878-w</t>
  </si>
  <si>
    <t>TH0PY</t>
  </si>
  <si>
    <t>WOS:000632756500001</t>
  </si>
  <si>
    <t>Sallée, JB; Pellichero, V; Akhoudas, C; Pauthenet, E; Vignes, L; Schmidtko, S; Garabato, AN; Sutherland, P; Kuusela, M</t>
  </si>
  <si>
    <t>Sallee, Jean-Baptiste; Pellichero, Violaine; Akhoudas, Camille; Pauthenet, Etienne; Vignes, Lucie; Schmidtko, Sunke; Garabato, Alberto Naveira; Sutherland, Peter; Kuusela, Mikael</t>
  </si>
  <si>
    <t>Summertime increases in upper-ocean stratification and mixed-layer depth</t>
  </si>
  <si>
    <t>SEA-SURFACE TEMPERATURE; ANTARCTIC MODE WATER; ENERGY-DISSIPATION; GLOBAL TRENDS; WIND-SPEED; WAVE; DECLINE; RESTRATIFICATION; INTENSIFICATION; CLIMATOLOGY</t>
  </si>
  <si>
    <t>The surface mixed layer of the world ocean regulates global climate by controlling heat and carbon exchange between the atmosphere and the oceanic interior(1-3). The mixed layer also shapes marine ecosystems by hosting most of the ocean's primary production(4) and providing the conduit for oxygenation of deep oceanic layers. Despite these important climatic and life-supporting roles, possible changes in the mixed layer during an era of global climate change remain uncertain. Here we use oceanographic observations to show that from 1970 to 2018 the density contrast across the base of the mixed layer increased and that the mixed layer itself became deeper. Using a physically based definition of upper-ocean stability that follows different dynamical regimes across the global ocean, we find that the summertime density contrast increased by 8.9 +/- 2.7 per cent per decade (10(-6)-10(-5) per second squared per decade, depending on region), more than six times greater than previous estimates. Whereas prior work has suggested that a thinner mixed layer should accompany a more stratified upper ocean(5-7), we find instead that the summertime mixed layer deepened by 2.9 +/- 0.5 per cent per decade, or several metres per decade (typically 5-10 metres per decade, depending on region). A detailed mechanistic interpretation is challenging, but the concurrent stratification and deepening of the mixed layer are related to an increase in stability associated with surface warming and high-latitude surface freshening(8,9), accompanied by a wind-driven intensification of upper-ocean turbulence(10,11). Our findings are based on a complex dataset with incomplete coverage of a vast area. Although our results are robust within a wide range of sensitivity analyses, important uncertainties remain, such as those related to sparse coverage in the early years of the 1970-2018 period. Nonetheless, our work calls for reconsideration of the drivers of ongoing shifts in marine primary production, and reveals stark changes in the world's upper ocean over the past five decades.</t>
  </si>
  <si>
    <t>[Sallee, Jean-Baptiste; Akhoudas, Camille; Pauthenet, Etienne; Vignes, Lucie] Sorbonne Univ, CNRS IRD MNHN, LOCEAN, IPSL, Paris, France; [Pellichero, Violaine] Univ Tasmania, Inst Marine &amp; Antarct Studies, Hobart, Tas, Australia; [Pellichero, Violaine] CSIRO Oceans &amp; Atmosphere, Hobart, Tas, Australia; [Schmidtko, Sunke] GEOMAR Helmholtz Ctr Ocean Res Kiel, Kiel, Germany; [Garabato, Alberto Naveira] Univ Southampton, Natl Oceanog Ctr, Ocean &amp; Earth Sci, Southampton, Hants, England; [Sutherland, Peter] Univ Brest, Lab Oceanog Phys &amp; Spatiale LOPS, Ifremer, CNRS,IRD,IUEM, Brest, France; [Kuusela, Mikael] Carnegie Mellon Univ, Dept Stat &amp; Data Sci, Pittsburgh, PA 15213 USA</t>
  </si>
  <si>
    <t>Universite Paris Cite; Museum National d'Histoire Naturelle (MNHN); Sorbonne Universite; Institut de Recherche pour le Developpement (IRD); University of Tasmania; Commonwealth Scientific &amp; Industrial Research Organisation (CSIRO); Helmholtz Association; GEOMAR Helmholtz Center for Ocean Research Kiel; NERC National Oceanography Centre; University of Southampton; Ifremer; Universite de Bretagne Occidentale; Institut Universitaire Europeen de la Mer (IUEM); Centre National de la Recherche Scientifique (CNRS); Institut de Recherche pour le Developpement (IRD); Carnegie Mellon University</t>
  </si>
  <si>
    <t>Sallée, JB (corresponding author), Sorbonne Univ, CNRS IRD MNHN, LOCEAN, IPSL, Paris, France.</t>
  </si>
  <si>
    <t>jean-baptiste.sallee@locean-ipsl.upmc.fr</t>
  </si>
  <si>
    <t>Garabato, Alberto Naveira/AAQ-1114-2020; Schmidtko, Sunke/AAV-7178-2021; SALLEE, Jean baptiste/HDO-5355-2022; Schmidtko, Sunke/F-3355-2011</t>
  </si>
  <si>
    <t>Garabato, Alberto Naveira/0000-0001-6071-605X; Schmidtko, Sunke/0000-0003-3272-7055; Akhoudas, Camille/0000-0003-4685-9948; Pauthenet, Etienne/0000-0002-0531-3810</t>
  </si>
  <si>
    <t>European Union's Horizon 2020 Research and Innovation programme [821001]; European Research Council (ERC) under the European Union [637770, 805186]; Royal Society; Wolfson Foundation; European Research Council (ERC) [805186, 637770] Funding Source: European Research Council (ERC)</t>
  </si>
  <si>
    <t>European Union's Horizon 2020 Research and Innovation programme(Horizon 2020); European Research Council (ERC) under the European Union(European Research Council (ERC)); Royal Society(Royal Society); Wolfson Foundation; European Research Council (ERC)(European Research Council (ERC)Spanish Government)</t>
  </si>
  <si>
    <t>This project received funding from the European Union's Horizon 2020 Research and Innovation programme under grant agreement number 821001. V.P., C.A., E.P. and L.V. received funding from the European Research Council (ERC) under the European Union's Horizon 2020 Research and Innovation programme (grant agreement 637770). A.N.G. acknowledges the support of the Royal Society and the Wolfson Foundation. P.S. received funding from the European Research Council (ERC) under the European Union's Horizon 2020 Research and Innovation programme (grant agreement No 805186). We thank I. Young for providing the percentage rate change of 10-m wind speed from recently published analysis. We thank L. Sigelman and G. Madec for comments and discussions that greatly helped us to refine our study.</t>
  </si>
  <si>
    <t>10.1038/s41586-021-03303-x</t>
  </si>
  <si>
    <t>RC1IP</t>
  </si>
  <si>
    <t>Green Submitted, Green Accepted, Green Published</t>
  </si>
  <si>
    <t>WOS:000632555800018</t>
  </si>
  <si>
    <t>Bong, LJ; Wang, CY; Shiodera, S; Haraguchi, TF; Itoh, M; Neoh, KB</t>
  </si>
  <si>
    <t>Bong, Lee-Jin; Wang, Chia-Yu; Shiodera, Satomi; Haraguchi, Takashi F.; Itoh, Masayuki; Neoh, Kok-Boon</t>
  </si>
  <si>
    <t>Effect of body lipid content is linked to nutritional adaptation in the acclimation responses of mesic-adapted Paederus to seasonal variations in desiccation stress</t>
  </si>
  <si>
    <t>JOURNAL OF INSECT PHYSIOLOGY</t>
  </si>
  <si>
    <t>Energy metabolite; Lipid catabolism; Dietary shift; Water balance; Diet composition</t>
  </si>
  <si>
    <t>WATER-VAPOR ABSORPTION; CULEX-PIPIENS DIPTERA; DROSOPHILA-MELANOGASTER; SUBZERO TEMPERATURES; TENEBRIONID BEETLE; DESERT DROSOPHILA; ANTARCTIC MIDGE; BALANCE; RESISTANCE; COLEOPTERA</t>
  </si>
  <si>
    <t>Desiccation stress causes mesic-adapted arthropods to lose their body water content. However, mesic-adapted Paederus beetles can survive over prolonged periods under dry field conditions, suggesting that these beetles adopt an array of water conservation mechanisms. We investigated the water balance mechanisms of field-collected Paederus adults over a 14-month sampling period. We also assessed their nutritional adaptations by performing a stable isotope analysis to examine their diet. The water loss rate (WLR) of the beetles was significantly associated with the rice crop cycle and saturation deficit. The cuticular permeability (CP) of adult beetles was maintained at &lt; 30 mu g cm 2h(-1) mmHg(-1); however, CP increased significantly with the WLR. This result indicates that CP might play a minor role in reducing excessive water loss in beetles. The beetles' body water content and percentage total body water content increased when the WLR was high. Trehalose, glucose, and glycogen did not appear to play a central role in enhancing the water reserves in the insects. The body lipid content ranged from 0.22 +/- 0.06 to 0.87 +/- 0.07 mg and was negatively associated with the WLR. This association indicates that the increase in internal metabolic water was mediated by lipid catabolism. Stable isotope analysis results revealed that the Paederus beetles shifted their diet to carbohydrate-rich plants when the saturation deficit increased and the associated WLR reached its peak; otherwise, they consumed a high amount of staple carbohydrate-poor herbivore prey. The accumulation of energy reserves in the form of lipids through seasonal dietary shifts may exert major effects on the survival and population success of mesic-adapted Paederus beetles.</t>
  </si>
  <si>
    <t>[Bong, Lee-Jin; Wang, Chia-Yu; Neoh, Kok-Boon] Natl Chung Hsing Univ, Dept Entomol, 145 Xingda Rd, Taichung 402, Taiwan; [Shiodera, Satomi] Res Inst Humanity &amp; Nat, 457-4 Motoyama, Kyoto 6038047, Japan; [Shiodera, Satomi] Kyoto Univ, Ctr Southeast Asian Studies, Sakyo Ku, 46 Shimoadachi Cho, Kyoto 6068501, Japan; [Haraguchi, Takashi F.] Res Inst Environm Agr &amp; Fisheries, Biodivers Res Ctr, 10-4 Koyamotomachi, Neyagawa, Osaka 5720088, Japan; [Itoh, Masayuki] Univ Hyogo, Sch Human Sci &amp; Environm, 1-1-12 Shin Zaike, Himeji, Hyogo 6700092, Japan</t>
  </si>
  <si>
    <t>National Chung Hsing University; Research Institute for Humanity &amp; Nature (RIHN); Kyoto University; University of Hyogo</t>
  </si>
  <si>
    <t>Neoh, KB (corresponding author), Natl Chung Hsing Univ, Dept Entomol, 145 Xingda Rd, Taichung 402, Taiwan.</t>
  </si>
  <si>
    <t>neohkokboon@nchu.edu.tw</t>
  </si>
  <si>
    <t>Neoh, Kok-Boon/A-4070-2011</t>
  </si>
  <si>
    <t>Neoh, Kok Boon/0000-0003-0330-1493</t>
  </si>
  <si>
    <t>Ministry of Science and Technology, Taiwan [MOST 105-2313-B-005-004-MY2]; Joint Research Grant for the Environmental Isotope Study of Research Institute for Humanity and Nature (RIHN); RIHN Project [14200117]</t>
  </si>
  <si>
    <t>Ministry of Science and Technology, Taiwan(Ministry of Science and Technology, Taiwan); Joint Research Grant for the Environmental Isotope Study of Research Institute for Humanity and Nature (RIHN); RIHN Project</t>
  </si>
  <si>
    <t>This study was supported by a grant from the Ministry of Science and Technology, Taiwan (MOST 105-2313-B-005-004-MY2), Joint Research Grant for the Environmental Isotope Study of Research Institute for Humanity and Nature (RIHN), and RIHN Project No. 14200117.</t>
  </si>
  <si>
    <t>0022-1910</t>
  </si>
  <si>
    <t>1879-1611</t>
  </si>
  <si>
    <t>J INSECT PHYSIOL</t>
  </si>
  <si>
    <t>J. Insect Physiol.</t>
  </si>
  <si>
    <t>10.1016/j.jinsphys.2021.104226</t>
  </si>
  <si>
    <t>Entomology; Physiology; Zoology</t>
  </si>
  <si>
    <t>SI9AD</t>
  </si>
  <si>
    <t>WOS:000655120700009</t>
  </si>
  <si>
    <t>Costa, J; Sousa, AGG; Carneiro, AC; Mucha, AP; Almeida, CMR; Magalhaes, C; Baptista, MS</t>
  </si>
  <si>
    <t>Costa, Joana; Sousa, Antonio G. G.; Carneiro, Ana Carolina; Mucha, Ana Paula; Almeida, C. Marisa R.; Magalhaes, Catarina; Baptista, Mafalda S.</t>
  </si>
  <si>
    <t>Emerging investigator series: prompt response of estuarine denitrifying bacterial communities to copper nanoparticles at relevant environmental concentrations</t>
  </si>
  <si>
    <t>ENVIRONMENTAL SCIENCE-NANO</t>
  </si>
  <si>
    <t>DOURO RIVER ESTUARY; NITROUS-OXIDE REDUCTASE; ENGINEERED NANOMATERIALS; INTERTIDAL SEDIMENTS; STATISTICAL-ANALYSIS; METAL CONCENTRATION; SALINITY INCREASES; ROCKY BIOFILMS; HEAVY-METALS; DENITRIFICATION</t>
  </si>
  <si>
    <t>The effects of metallic nanoparticles (NPs) on the estuarine biota have mostly been shown for concentrations higher than those actually measured or predicted in these environments. To address this gap, a range of concentrations expected to occur in estuarine environments (from 0.01 to 1 mu g g(-1)) was employed in microcosms studies to assess the impact of Cu NPs in the denitrification pathway. This was achieved by quantifying the gene expression in estuarine sediments exposed to Cu NPs for up to six days and potential denitrification rates. The expression of nitrite (nirS) and nitrous oxide (nosZ) reductase genes was enhanced in a timewise manner upon exposure to Cu NPs &lt;50 nm. For 1 mu g g(-1) Cu NPs, an increase in the gene expression could be seen immediately after 1 h of exposure and continued to be enhanced up to 7 h. For 0.01 mu g g(-1) Cu NPs, an increase in the gene expression could only be seen after 4 h or 7 h of exposure; however, it continued to rise until 24 h. Concomitantly to the increased gene expression, the potential denitrification rate was increased by 30%. In any case, after 48 h, expression levels were no longer different from that of the non-exposed control. For the exposure to Cu NPs &lt;150 nm, no change in the gene expression could be seen. Our results suggest that the deposition and adsorption of Cu NPs &lt;50 nm in estuarine sediments promote the immediate and transient expression of key genes of the denitrification pathway. The long-term impact of continuous inputs of Cu NPs into estuaries deserves renewed analysis to account for their effects not just on the biota but especially on ecosystem functions.</t>
  </si>
  <si>
    <t>[Costa, Joana; Sousa, Antonio G. G.; Carneiro, Ana Carolina; Mucha, Ana Paula; Almeida, C. Marisa R.; Magalhaes, Catarina; Baptista, Mafalda S.] Univ Porto, CIIMAR CIMAR Ctr Interdisciplinar Invest Marinha, Matosinhos, Portugal; [Carneiro, Ana Carolina; Mucha, Ana Paula; Magalhaes, Catarina] Univ Porto, Fac Ciencias, Dept Biol, Porto, Portugal; [Almeida, C. Marisa R.; Baptista, Mafalda S.] Univ Porto, Fac Ciencias, Dept Quim &amp; Bioquim, Porto, Portugal; [Magalhaes, Catarina] Univ Waikato, Sch Sci, Hamilton, New Zealand; [Magalhaes, Catarina] Dalhousie Univ, Ocean Frontier Inst, Halifax, NS, Canada; [Baptista, Mafalda S.] Univ Waikato, Int Ctr Terr Antarctic Res, Hamilton, New Zealand</t>
  </si>
  <si>
    <t>Universidade do Porto; Universidade do Porto; Universidade do Porto; University of Waikato; Dalhousie University; University of Waikato</t>
  </si>
  <si>
    <t>Baptista, MS (corresponding author), Univ Porto, CIIMAR CIMAR Ctr Interdisciplinar Invest Marinha, Matosinhos, Portugal.;Baptista, MS (corresponding author), Univ Porto, Fac Ciencias, Dept Quim &amp; Bioquim, Porto, Portugal.;Baptista, MS (corresponding author), Univ Waikato, Int Ctr Terr Antarctic Res, Hamilton, New Zealand.</t>
  </si>
  <si>
    <t>mbaptista@ciimar.up.pt</t>
  </si>
  <si>
    <t>Baptista, Mafalda S./F-8301-2010; Magalhães, Catarina Maria/A-6836-2016; Almeida, C. Marisa/J-6375-2012; Mucha, Ana Paula/L-4051-2014</t>
  </si>
  <si>
    <t>Baptista, Mafalda S./0000-0002-2198-0410; Almeida, C. Marisa/0000-0002-6836-0331; Costa, Joana/0000-0002-4023-7681; Garcez Bueno Carneiro, Ana Carolina/0000-0001-7170-1320; Sousa, Antonio/0000-0003-4779-6459; Mucha, Ana Paula/0000-0003-0024-7145</t>
  </si>
  <si>
    <t>FundacAo para a Ciencia e a Tecnologia, Portugal (FCT) [UIDB/04423/2020, UIDP/04423/2020, PTDC/BIA-MIC/30131/2017]; Norte Portugal Regional Operational Programme (Norte2020), under the PORTUGAL 2020 partnership agreement, through the European Regional Development Fund (ERDF); Fundação para a Ciência e a Tecnologia [PTDC/BIA-MIC/30131/2017] Funding Source: FCT</t>
  </si>
  <si>
    <t>FundacAo para a Ciencia e a Tecnologia, Portugal (FCT)(Fundacao para a Ciencia e a Tecnologia (FCT)); Norte Portugal Regional Operational Programme (Norte2020), under the PORTUGAL 2020 partnership agreement, through the European Regional Development Fund (ERDF); Fundação para a Ciência e a Tecnologia(Fundacao para a Ciencia e a Tecnologia (FCT))</t>
  </si>
  <si>
    <t>This work was funded by national funds through FundacAo para a Ciencia e a Tecnologia, Portugal (FCT) with the projects UIDB/04423/2020, UIDP/04423/2020, and PTDC/BIA-MIC/30131/2017 (NANOSED) also funded by the Norte Portugal Regional Operational Programme (Norte2020), under the PORTUGAL 2020 partnership agreement, through the European Regional Development Fund (ERDF). We would like to thank Eng. Paulo Faria for the opportunity to sample within the Nature Reserve of the Douro Estuary.</t>
  </si>
  <si>
    <t>ROYAL SOC CHEMISTRY</t>
  </si>
  <si>
    <t>THOMAS GRAHAM HOUSE, SCIENCE PARK, MILTON RD, CAMBRIDGE CB4 0WF, CAMBS, ENGLAND</t>
  </si>
  <si>
    <t>2051-8153</t>
  </si>
  <si>
    <t>2051-8161</t>
  </si>
  <si>
    <t>ENVIRON SCI-NANO</t>
  </si>
  <si>
    <t>Environ. Sci.-Nano</t>
  </si>
  <si>
    <t>10.1039/d0en01160f</t>
  </si>
  <si>
    <t>Chemistry, Multidisciplinary; Environmental Sciences; Nanoscience &amp; Nanotechnology</t>
  </si>
  <si>
    <t>Chemistry; Environmental Sciences &amp; Ecology; Science &amp; Technology - Other Topics</t>
  </si>
  <si>
    <t>RQ2VR</t>
  </si>
  <si>
    <t>WOS:000638251400001</t>
  </si>
  <si>
    <t>Akhoudas, CH; Sallée, JB; Haumann, FA; Meredith, MP; Garabato, AN; Reverdin, G; Jullion, L; Aloisi, G; Benetti, M; Leng, MJ; Arrowsmith, C</t>
  </si>
  <si>
    <t>Akhoudas, Camille Hayatte; Sallee, Jean-Baptiste; Haumann, F. Alexander; Meredith, Michael P.; Garabato, Alberto Naveira; Reverdin, Gilles; Jullion, Loic; Aloisi, Giovanni; Benetti, Marion; Leng, Melanie J.; Arrowsmith, Carol</t>
  </si>
  <si>
    <t>Ventilation of the abyss in the Atlantic sector of the Southern Ocean</t>
  </si>
  <si>
    <t>The Atlantic sector of the Southern Ocean is the world's main production site of Antarctic Bottom Water, a water-mass that is ventilated at the ocean surface before sinking and entraining older water-masses-ultimately replenishing the abyssal global ocean. In recent decades, numerous attempts at estimating the rates of ventilation and overturning of Antarctic Bottom Water in this region have led to a strikingly broad range of results, with water transport-based calculations (8.4-9.7 Sv) yielding larger rates than tracer-based estimates (3.7-4.9 Sv). Here, we reconcile these conflicting views by integrating transport- and tracer-based estimates within a common analytical framework, in which bottom water formation processes are explicitly quantified. We show that the layer of Antarctic Bottom Water denser than 28.36 kg m-3 gamma n is exported northward at a rate of 8.4 +/- 0.7 Sv, composed of 4.5 +/- 0.3 Sv of well-ventilated Dense Shelf Water, and 3.9 +/- 0.5 Sv of old Circumpolar Deep Water entrained into cascading plumes. The majority, but not all, of the Dense Shelf Water (3.4 +/- 0.6 Sv) is generated on the continental shelves of the Weddell Sea. Only 55% of AABW exported from the region is well ventilated and thus draws down heat and carbon into the deep ocean. Our findings unify traditionally contrasting views of Antarctic Bottom Water production in the Atlantic sector, and define a baseline, process-discerning target for its realistic representation in climate models.</t>
  </si>
  <si>
    <t>[Akhoudas, Camille Hayatte; Sallee, Jean-Baptiste; Reverdin, Gilles] Sorbonne Univ, CNRS, IRD, MNHN,Lab Oceanog &amp; Climat Expt &amp; Approches Numer, Paris, France; [Haumann, F. Alexander] Princeton Univ, Atmospher &amp; Ocean Sci Program, Princeton, NJ 08544 USA; [Haumann, F. Alexander; Meredith, Michael P.] British Antarctic Survey, Cambridge, England; [Garabato, Alberto Naveira; Jullion, Loic] Univ Southampton, Sch Ocean &amp; Earth Sci, Natl Oceanog Ctr, Southampton, Hants, England; [Aloisi, Giovanni] Univ Paris Diderot, UMR 7154 CNRS, Inst Phys Globe Paris, Sorbonne Paris Cite, Paris, France; [Benetti, Marion] Univ Iceland, Inst Earth Sci, Reykjavik, Iceland; [Leng, Melanie J.; Arrowsmith, Carol] British Geol Survey, NERC Isotope Geosci Lab, Nottingham, England; [Leng, Melanie J.] Univ Nottingham, Ctr Environm Geochem, Nottingham, England</t>
  </si>
  <si>
    <t>Centre National de la Recherche Scientifique (CNRS); Sorbonne Universite; Museum National d'Histoire Naturelle (MNHN); Institut de Recherche pour le Developpement (IRD); Princeton University; National Oceanic Atmospheric Admin (NOAA) - USA; UK Research &amp; Innovation (UKRI); Natural Environment Research Council (NERC); NERC British Antarctic Survey; University of Southampton; NERC National Oceanography Centre; Universite Paris Cite; Centre National de la Recherche Scientifique (CNRS); CNRS - National Institute for Earth Sciences &amp; Astronomy (INSU); University of Iceland; UK Research &amp; Innovation (UKRI); Natural Environment Research Council (NERC); NERC British Geological Survey; University of Nottingham</t>
  </si>
  <si>
    <t>Akhoudas, CH (corresponding author), Sorbonne Univ, CNRS, IRD, MNHN,Lab Oceanog &amp; Climat Expt &amp; Approches Numer, Paris, France.</t>
  </si>
  <si>
    <t>camille.akhoudas@locean.ipsl.fr</t>
  </si>
  <si>
    <t>SALLEE, Jean baptiste/HDO-5355-2022; Haumann, Alexander/J-6679-2014; Garabato, Alberto Naveira/AAQ-1114-2020</t>
  </si>
  <si>
    <t>Haumann, Alexander/0000-0002-8218-977X; Garabato, Alberto Naveira/0000-0001-6071-605X; Meredith, Michael/0000-0002-7342-7756</t>
  </si>
  <si>
    <t>European Research Council (ERC) under the European Union's Horizon 2020 research and innovation program [637770]; SNSF [P2EZP2_175162, P400P2_186681]; NERC [bgs06003] Funding Source: UKRI; Swiss National Science Foundation (SNF) [P2EZP2_175162, P400P2_186681] Funding Source: Swiss National Science Foundation (SNF)</t>
  </si>
  <si>
    <t>European Research Council (ERC) under the European Union's Horizon 2020 research and innovation program(European Research Council (ERC)); SNSF(Swiss National Science Foundation (SNSF)); NERC(UK Research &amp; Innovation (UKRI)Natural Environment Research Council (NERC)); Swiss National Science Foundation (SNF)(Swiss National Science Foundation (SNSF))</t>
  </si>
  <si>
    <t>This project has received funding from the European Research Council (ERC) under the European Union's Horizon 2020 research and innovation program (Grant agreement 637770). F.A.H was supported by the SNSF grant numbers P2EZP2_175162 and P400P2_186681. The authors gratefully thank the captain and the crew of the James Clark Ross for their help in acquiring the 2017 dataset as part of the WAPITI cruise JR16004.</t>
  </si>
  <si>
    <t>MAR 24</t>
  </si>
  <si>
    <t>10.1038/s41598-021-86043-2</t>
  </si>
  <si>
    <t>RF6SN</t>
  </si>
  <si>
    <t>Green Published, Green Submitted, gold, Green Accepted</t>
  </si>
  <si>
    <t>WOS:000634972100010</t>
  </si>
  <si>
    <t>John, H</t>
  </si>
  <si>
    <t>John, Hiemstra</t>
  </si>
  <si>
    <t>Antarctic Atlas - New maps and graphics that tell the story of a continent</t>
  </si>
  <si>
    <t>HOLOCENE</t>
  </si>
  <si>
    <t>[John, Hiemstra] Swansea Univ, Swansea, W Glam, Wales</t>
  </si>
  <si>
    <t>Swansea University</t>
  </si>
  <si>
    <t>John, H (corresponding author), Swansea Univ, Swansea, W Glam, Wales.</t>
  </si>
  <si>
    <t>0959-6836</t>
  </si>
  <si>
    <t>1477-0911</t>
  </si>
  <si>
    <t>Holocene</t>
  </si>
  <si>
    <t>10.1177/09596836211002944</t>
  </si>
  <si>
    <t>SA0LA</t>
  </si>
  <si>
    <t>WOS:000637112100001</t>
  </si>
  <si>
    <t>Day, JMD; Paquet, M</t>
  </si>
  <si>
    <t>Day, James M. D.; Paquet, Marine</t>
  </si>
  <si>
    <t>Temporally limited late accretion after core formation in the Moon</t>
  </si>
  <si>
    <t>Highly siderophile element (HSE: Au, Re, Pd, Pt, Rh, Ru, Ir, Os) abundances in planetary silicate mantles provide constraints on accretion and differentiation, as well as late accretion additions after core formation. The first in situ analyses of the HSE in mare basalt sulfide and metal phases enable the determination of the distribution of these elements during fractional crystallization processes. Metals have low Ni/Co (&lt;8) and strong HSE inter-element fractionation (Pd/Ir = 18-100) and, with troilite (Ni/Co &lt; 4.2, Pd/Ir = 14-74), host 75-100% of the HSE in mare basalts. The compositions of these metal and sulfide grains are inconsistent with assimilation of impact-contaminated HSE-rich regolith materials. Furthermore, regolith contamination cannot explain the threshold of abundances of iridium (similar to 50 ppt) in mare basalt bulk rock compositions. Instead, bulk rock mare basalts have HSE patterns consistent with inheritance from partial melting of mantle sources with no residual metal or sulfide. Mare basalt HSE and siderophile element abundances can be accounted for by their mantle sources recording prior separation of a small lunar core, fractionating Ni/Co and Hf/W and removing similar to 99% of the HSE after lunar formation. Following this event, late accretion of similar to 0.02% of lunar mass led to limited enrichment of the HSE in chondritic-relative abundances. Signatures of core formation preclude elevated HSE abundances in the lunar silicate interior and indicate that disproportional late accretion in the Earth-Moon system may, in part, be due to later core formation in the Moon relative to Earth.</t>
  </si>
  <si>
    <t>[Day, James M. D.; Paquet, Marine] Univ Calif San Diego, Scripps Inst Oceanog, La Jolla, CA 92093 USA</t>
  </si>
  <si>
    <t>Financial support to complete this work came from the NASA Emerging Worlds program (80NSSC19K0932). We thank Jacques Lyakov for preparing the LA-ICP-MS corrections program. We thank the lunar subcommittee of NASA CAPTEM, and the Meteorite Working Group for provision of Apollo and Antarctic meteorites, respectively. US Antarctic meteorite samples were recovered by the Antarctic Search for Meteorites (ANSMET) program, which has been funded by NSF and NASA, and characterized and curated by the Department of Mineral Sciences of the Smithsonian Institution and Astromaterials Curation Office at NASA Johnson Space Center. Emily Worsham, Kevin Righter, and Tim Jull are thanked for constructive review comments and editorial handling and we also acknowledge comments of an anonymous reviewer. The authors declare no conflicts of interest. All data referred to in this article can be found in the tables or cited references.</t>
  </si>
  <si>
    <t>10.1111/maps.13646</t>
  </si>
  <si>
    <t>WOS:000632554100001</t>
  </si>
  <si>
    <t>Pourasghar, F; Oliver, ECJ; Holbrook, NJ</t>
  </si>
  <si>
    <t>Pourasghar, Farnaz; Oliver, Eric C. J.; Holbrook, Neil J.</t>
  </si>
  <si>
    <t>Influence of the MJO on daily surface air temperature over Iran</t>
  </si>
  <si>
    <t>Iran; Madden‐ Julian Oscillation; surface air temperature</t>
  </si>
  <si>
    <t>MADDEN-JULIAN OSCILLATION; INTRASEASONAL VARIABILITY; PRECIPITATION VARIABILITY; CIRCULATION; MODULATION; RAINFALL; MONSOON</t>
  </si>
  <si>
    <t>The influence of the Madden-Julian Oscillation (MJO) on surface air temperature over Iran is examined using daily data from meteorological stations from 1979 to 2015. Composites of daily surface air temperature anomalies are positive in MJO phases 1 and 8 and negative in MJO phases 3-4 with broader region positive tendencies also in MJO phases 2 and 7, and negative tendencies in MJO phases 5-6. This variability is associated with horizontal temperature advection, whereby the southerly (northward) winds act to heat and the northerly (southward) winds cool Iran, in association with the MJO. Further, we find that daily minimum surface air temperatures respond more strongly to the MJO than do daily maximum surface temperatures. These signals correspond to cloudy and humid conditions.</t>
  </si>
  <si>
    <t>[Pourasghar, Farnaz; Holbrook, Neil J.] Univ Tasmania, Inst Marine &amp; Antarctic Studies, Hobart, Tas, Australia; [Oliver, Eric C. J.] Dalhousie Univ, Dept Oceanog, Halifax, NS, Canada; [Holbrook, Neil J.] Univ Tasmania, ARC Ctr Excellence Climate Extremes, Hobart, Tas, Australia</t>
  </si>
  <si>
    <t>University of Tasmania; Dalhousie University; University of Tasmania</t>
  </si>
  <si>
    <t>Pourasghar, F (corresponding author), Univ Tasmania, Inst Marine &amp; Antarctic Studies, Hobart, Tas, Australia.</t>
  </si>
  <si>
    <t>pourasghar.farnaz@gmail.com</t>
  </si>
  <si>
    <t>Oliver, Eric/G-5118-2014; Holbrook, Neil/M-7544-2013</t>
  </si>
  <si>
    <t>Oliver, Eric/0000-0002-4006-2826; Holbrook, Neil/0000-0002-3523-6254</t>
  </si>
  <si>
    <t>Australian Research Council Centre of Excellence for Climate System Science (ARCCSS); ARC Centre of Excellence for Climate Extremes [CE170100023]; National Sciences and Engineering Research Council of Canada [RGPIN-2018-05255]</t>
  </si>
  <si>
    <t>Australian Research Council Centre of Excellence for Climate System Science (ARCCSS)(Australian Research Council); ARC Centre of Excellence for Climate Extremes; National Sciences and Engineering Research Council of Canada(Natural Sciences and Engineering Research Council of Canada (NSERC))</t>
  </si>
  <si>
    <t>Daily temperature data analysed in this article are from the Iran Meteorological Organization. Daily atmospheric reanalysis data analysed here have been provided by the National Centres for Environmental Prediction (NCEP)/National Centre for Atmospheric Research (NCAR) Reanalysis. FP acknowledges travel grant funding from the Australian Research Council Centre of Excellence for Climate System Science (ARCCSS). N. J. H. acknowledges funding from the ARC Centre of Excellence for Climate Extremes (Grant CE170100023). E. O. acknowledges funding through the National Sciences and Engineering Research Council of Canada Discovery Grant RGPIN-2018-05255. We would like to acknowledge the constructive and very valuable comments provided by the anonymous reviewers and the Associate Editor which helped to significantly improve this manuscript.</t>
  </si>
  <si>
    <t>10.1002/joc.7086</t>
  </si>
  <si>
    <t>TE3UP</t>
  </si>
  <si>
    <t>WOS:000631839500001</t>
  </si>
  <si>
    <t>Seyboth, E; Félix, F; Lea, MA; Dalla Rosa, L; Watters, GM; Reid, K; Secchi, ER</t>
  </si>
  <si>
    <t>Seyboth, Elisa; Felix, Fernando; Lea, Mary-Anne; Dalla Rosa, Luciano; Watters, George M.; Reid, Keith; Secchi, Eduardo R.</t>
  </si>
  <si>
    <t>Influence of krill (Euphausia superba) availability on humpback whale (Megaptera novaeangliae) reproductive rate</t>
  </si>
  <si>
    <t>SOUTH SHETLAND ISLANDS; ANTARCTIC PENINSULA; CLIMATE-CHANGE; PHYTOPLANKTON COMMUNITIES; FIN WHALES; SEA-ICE; VARIABILITY; IMPACTS; DENSITY; BIOMASS</t>
  </si>
  <si>
    <t>[Seyboth, Elisa; Dalla Rosa, Luciano; Secchi, Eduardo R.] Univ Fed Rio Grande FURG, Inst Oceanog, Lab Ecol &amp; Conservacao Megafauna Marinha, Rio Grande, Brazil; [Felix, Fernando] Pontificia Univ Catolica Ecuador PUCE, Quito, Ecuador; [Lea, Mary-Anne] Univ Tasmania, Inst Marine &amp; Antarctic Studies, Hobart, Tas, Australia; [Lea, Mary-Anne] Univ Tasmania, Ctr Marine Socioecol, Hobart, Tas, Australia; [Watters, George M.] US Natl Marine Fisheries Serv, Antarctic Ecosyst Res Div, Southwest Fisheries Sci Ctr, Sacramento, CA USA; [Reid, Keith] Commiss Conservat Antarctic Marine Living Resourc, Hobart, Tas, Australia; [Seyboth, Elisa] Cape Peninsula Univ Cape Town, Ctr Sustainable Oceans, ZA-8000 Cape Town, South Africa</t>
  </si>
  <si>
    <t>Universidade Federal do Rio Grande; Pontificia Universidad Catolica del Ecuador; University of Tasmania; University of Tasmania; National Oceanic Atmospheric Admin (NOAA) - USA</t>
  </si>
  <si>
    <t>Seyboth, E (corresponding author), Cape Peninsula Univ Cape Town, Ctr Sustainable Oceans, ZA-8000 Cape Town, South Africa.</t>
  </si>
  <si>
    <t>seybothe@cput.ac.za</t>
  </si>
  <si>
    <t>Watters, George/HPE-2184-2023; Rosa, Luciano Dalla/D-5660-2012; Félix, Fernando/AGM-2677-2022; Lea, Mary-Anne/E-9054-2013; Secchi, Eduardo/D-5038-2013</t>
  </si>
  <si>
    <t>Watters, George/0000-0002-6989-1273; Rosa, Luciano Dalla/0000-0002-1583-6471; Seyboth, Elisa/0000-0002-1506-0861; Lea, Mary-Anne/0000-0001-8318-9299; Secchi, Eduardo/0000-0001-9087-9909</t>
  </si>
  <si>
    <t>CNPq (National Council for Research and Development); CAPES (Coordination for the Improvement of Higher Education Personnel); CNPq [PQ 310597/2018-8, PQ 309548/2019-5]; CAPES [PDSE/88881.133669/2016-01]; Antarctic Research Project ECOPELAGOS [442637/2018-7]; Antarctic Research Project Baleias [408096/2013-6]; Capes PrInt Program [041/2017]</t>
  </si>
  <si>
    <t>CNPq (National Council for Research and Development)(Conselho Nacional de Desenvolvimento Cientifico e Tecnologico (CNPQ)); CAPES (Coordination for the Improvement of Higher Education Personnel)(Coordenacao de Aperfeicoamento de Pessoal de Nivel Superior (CAPES)); CNPq(Conselho Nacional de Desenvolvimento Cientifico e Tecnologico (CNPQ)); CAPES(Coordenacao de Aperfeicoamento de Pessoal de Nivel Superior (CAPES)); Antarctic Research Project ECOPELAGOS; Antarctic Research Project Baleias; Capes PrInt Program(Coordenacao de Aperfeicoamento de Pessoal de Nivel Superior (CAPES))</t>
  </si>
  <si>
    <t>We thank the whale watching operators off Salinas that offered their boats as research platforms, and all volunteers and colleagues who helped with data collection and photographs. The U.S. AMLR Program provided data on krill density, and we thank all crew and researchers involved in such data collection. Marcelo Pinho and Michael Sumner helped with data visualization. This article is part of E.S.'s Ph.D. Thesis in Biological Oceanography (FURG, Brazil) under the supervision of E.R. S., L.D.R., and M-A. L., the latter during a period of research undertaken at IMAS (Institute for Marine and Antarctic Studies)/UTAS (University of Tasmania). Financial support was provided by CNPq (National Council for Research and Development) and CAPES (Coordination for the Improvement of Higher Education Personnel) to the development of this research. CNPq provided research fellowships to E.R. S. (PQ 310597/2018-8) and L. D.R. (PQ 309548/2019-5) and a Ph.D. scholarship to E.S, who received a CAPES scholarship (PDSE/88881.133669/2016-01) for the period at UTAS. CAPES also provided free access to many relevant journals through the portal Periodicos CAPES. This work is a contribution of the Grupo de Oceanografia de Altas Latitudes -GOAL/High Latitudes Oceanography Group activities in the Brazilian Antarctic Program (PROANTAR) and the research group Ecologia e Conservac ~ao da Megafauna MarinhaEcoMega/CNPq. The study was conducted as part of the Antarctic Research Projects ECOPELAGOS and Baleias (CNPq grant numbers 442637/2018-7 and 408096/2013-6, respectively) and is within the scope of the Capes PrInt Program (public notice 041/2017) and the Whales and Climate Research Program.</t>
  </si>
  <si>
    <t>10.1111/mms.12805</t>
  </si>
  <si>
    <t>WOS:000632241900001</t>
  </si>
  <si>
    <t>Warrier, AK; Mahesh, BS; Mohan, R; Shankar, R</t>
  </si>
  <si>
    <t>Warrier, Anish Kumar; Mahesh, Badanal Siddaiah; Mohan, Rahul; Shankar, Rajasekhariah</t>
  </si>
  <si>
    <t>A 43-ka mineral magnetic record of environmental variations from lacustrine sediments of Schirmacher Oasis, East Antarctica</t>
  </si>
  <si>
    <t>Magnetic susceptibility; Magnetic grain size; Weathering; Aeolian; Lake sediments; East Antarctica</t>
  </si>
  <si>
    <t>CLIMATE VARIABILITY; LARSEMANN HILLS; LAKE-SEDIMENTS; GRAIN-SIZE; ICE-CORE; EVOLUTION; HISTORY; TEMPERATURE; CALIBRATION; DEPOSITION</t>
  </si>
  <si>
    <t>Glacial-interglacial climatic and environmental variations recorded in lake-bed sediments of Schirmacher Oasis (SO), East Antarctica, are rare; limited data exist on the past behavior of the East Antarctic Ice Sheet (EAIS). In this work, we present the mineral magnetic properties of a radiocarbon-dated sediment core, spanning the past 43,000 years, from a land-locked lake L-49 in SO. We also performed Scanning Electron Microscopic-Energy Dispersive X-ray Spectroscopic (SEM-EDS) studies on magnetic extracts to confirm the magnetic mineralogy. The values of magnetic susceptibility (chi(lf)) and saturation isothermal remanent magnetization (SIRM) are relatively low during the Holocene but high during the last glacial period. Sediments of the last glacial period are composed mainly of coarse-grained (multi-domain - MD) magnetite/titanomagnetite (high values of S-20 - an MD proxy, low susceptibility of anhysteretic remanent magnetism (chi(ARM))/SIRM ratio values and high S-ratio values) indicating a stronger intensity of physical weathering in the Lake L-49 catchment. The mineralogy is confirmed by SEM-EDS data for magnetic extracts. Principal Component Analysis (PCA) of the data suggests three processes affecting magnetic properties of the lake sediments, i.e., ferrimagnetic input, biogenic processes and aeolian input. During deglaciation, a shift in the magnetic properties is documented: a decrease in chi(lf) values from 18.6 cal ka BP onwards suggests melting of the snow and ice in the catchment thus leading to a significant production of fine-grained iron oxide minerals. At similar to 12.77 cal ka BP, high values of chi(lf) and S-20 ratio indicates cooling which is related to the Antarctic Cold Reversal (ACR). The Early Holocene Climate Optimum is distinctly imprinted in our record as a sudden decrease in chi(lf) values and an increase in magnetic grain size ratio values (indicating finer iron oxide grains), suggesting a rapid thawing of the ice-sheet in response to a warm climate. The Mid-Holocene Hypsithermal (from 5.8 to 3.5 cal ka BP) and Neoglaciation (3.6 cal ka BP onwards) that are evident in this study correspond with reconstructions from lake and marine sediment, and ice-core records from Antarctica.</t>
  </si>
  <si>
    <t>[Warrier, Anish Kumar] Manipal Acad Higher Educ, Ctr Climate Studies, Dept Civil Engn, Manipal Inst Technol, Manipal 576104, Karnataka, India; [Mahesh, Badanal Siddaiah; Mohan, Rahul] Minist Earth Sci, Natl Ctr Polar &amp; Ocean Res NCPOR, Vasco Da Gama 403804, Goa, India; [Shankar, Rajasekhariah] Mangalore Univ, Dept Marine Geol, Mangalagangothri 574199, Karnataka, India; [Shankar, Rajasekhariah] Vishwa Prakrithi Apartments 29,4th Main, Bengaluru 560018, Karnataka, India</t>
  </si>
  <si>
    <t>Manipal Academy of Higher Education (MAHE); Ministry of Earth Sciences (MoES) - India; National Centre for Polar and Ocean Research (NCPOR); Mangalore University</t>
  </si>
  <si>
    <t>Warrier, AK (corresponding author), Manipal Acad Higher Educ, Ctr Climate Studies, Dept Civil Engn, Manipal Inst Technol, Manipal 576104, Karnataka, India.</t>
  </si>
  <si>
    <t>anish.warrier@manipal.edu</t>
  </si>
  <si>
    <t>DOD [DOD/11-MRDF/1/48/P/94-ODII/12-10-96]; National Centre for Polar and Ocean Research, Ministry of Earth Sciences [NCPOR/2019/PACER-POP/ES-02]; NCPOR, Goa</t>
  </si>
  <si>
    <t>DOD(United States Department of Defense); National Centre for Polar and Ocean Research, Ministry of Earth Sciences; NCPOR, Goa</t>
  </si>
  <si>
    <t>We are grateful to the Secretary, MoES and the Director, NCPOR, Goa, for their valuable guidance, support and constant encouragement. The magnetic instruments used for this study were procured through a research project to RS (DOD Sanction no.: DOD/11-MRDF/1/48/P/94-ODII/12-10-96. We are thankful to the Antarctic Logistics Division, NCPOR and members of the 28th Indian Scientific Expedition to Antarctica for their assistance during coring operations. AKW thanks and appreciates the help rendered by Sahina Gazi and Akshaya Teli, NCPOR, Goa, in generating the SEM-EDS data. AKW thanks Gokul Valsan for his help in preparing the schematic model. AKW acknowledges the financial support provided by the National Centre for Polar and Ocean Research, Ministry of Earth Sciences, in the form of a research project (Sanction: NCPOR/2019/PACER-POP/ES-02 dated 05/07/2019) under the PACER Outreach Programme (POP) initiative, to undertake this research. We thank the editor-in-chief and two anonymous reviewers for their valuable comments which improved the quality of the manuscript. This is NCPOR contribution no. J-126/2020-21.</t>
  </si>
  <si>
    <t>10.1016/j.catena.2021.105300</t>
  </si>
  <si>
    <t>RS2EA</t>
  </si>
  <si>
    <t>WOS:000643594100058</t>
  </si>
  <si>
    <t>Angulo-Preckler, C; Pernet, P; García-Hernández, C; Kereszturi, G; Alvarez-Valero, AM; Hopfenblatt, J; Gómez-Ballesteros, M; Otero, XL; Caza, J; Ruiz-Fernández, J; Geyer, A; Avila, C</t>
  </si>
  <si>
    <t>Angulo-Preckler, Carlos; Pernet, Philippe; Garcia-Hernandez, Cristina; Kereszturi, Gabor; Alvarez-Valero, Antonio M.; Hopfenblatt, Joaquin; Gomez-Ballesteros, Maria; Otero, Xose L.; Caza, Jaime; Ruiz-Fernandez, Jesus; Geyer, Adelina; Avila, Conxita</t>
  </si>
  <si>
    <t>Volcanism and rapid sedimentation affect the benthic communities of Deception Island, Antarctica</t>
  </si>
  <si>
    <t>CONTINENTAL SHELF RESEARCH</t>
  </si>
  <si>
    <t>Marine macroinvertebrates; Submarine volcano; Geochemistry; Petrology; Biodiversity; South Shetland islands</t>
  </si>
  <si>
    <t>SOUTH SHETLAND ISLANDS; PORT FOSTER; CHEMICAL CLASSIFICATION; SOFT-BOTTOMS; TRACE-METALS; IRON; GROWTH; OCEAN; CONES; SEA</t>
  </si>
  <si>
    <t>Deception Island is amongst the most active volcanoes in the Southern Ocean, with over 20 explosive eruptions in the last ca. 200 years. The eruption that formed the caldera at Deception Island occurred 3980 ? 125 calendar years Before Present, and it is the largest eruptive event documented in Antarctica during Holocene. Since then, post-caldera volcanic activity has comprised many scattered eruptive vents across the island. Mortality of benthic organisms has been reported during the most recent eruptions occurred on the island, in 1967, 1969, and 1970 Common Era (CE), with very low abundances of organisms during the 1967?1973 CE period. Within the seaflooded part of the caldera depression, named Port Foster, a submarine volcanic axis with several volcanic cones is observed. An interdisciplinary team sampled the best morphologically preserved volcanic edifice within Port Foster, the so-called Stanley Patch. Geophysical data traced the volcano and characterized its morphology and inner structure. Underwater scuba sampling allowed to acquire sediment and rock samples, photographs and video images of the benthic organisms and seascape. Morphology of Stanley Patch cone and textural characteristics of the collected pyroclastic rocks indicate that the volcanic edifice was originated during an explosive eruption. Furthermore, the lack of palagonitization, quenched pyroclast margins, and hyaloclastite deposits indicate that this cone has formed on-land, before the caldera floor became inundated by the seawater, highlighting the complex intra-caldera evolution of Deception Island. A sediment core from the crater was collected for sedimentological, and geochemical analysis. Antarctic climate and seasonal sea ice, together with organic degradation due to high sedimentation rates, explain the low total organic carbon data measured. The volcanic history of the island has probably avoided the development of a stable benthic community over time, similar to other Antarctic shallow communities. Moreover, the current geomorphological conditions still shape different benthic communities than in the surrounding coastal ecosystems. Stanley Patch, and the whole Port Foster, provide a natural laboratory for benchmarking the reestablishment of benthic communities on a volcanicinfluenced shallow marine environment, offering relevant data for future studies evaluating global climate change effects on the Antarctic seabed.</t>
  </si>
  <si>
    <t>[Angulo-Preckler, Carlos; Avila, Conxita] Univ Barcelona, Barcelona, Catalonia, Spain; [Angulo-Preckler, Carlos; Avila, Conxita] IRBio Res Inst Biodivers, Barcelona, Catalonia, Spain; [Angulo-Preckler, Carlos] UiT Arctic Univ Norway, Norwegian Coll Fishery Sci, Tromso, Norway; [Pernet, Philippe] Univ Libre Bruxelles, Lab Biol Marine, Brussels, Belgium; [Garcia-Hernandez, Cristina; Ruiz-Fernandez, Jesus] Univ Oviedo, Dept Geog, Oviedo, Spain; [Kereszturi, Gabor] Massey Univ, Sch Agr &amp; Environm, Volcan Risk Solut, Palmerston North 4474, New Zealand; [Alvarez-Valero, Antonio M.] Univ Salamanca, Fac Sci, Dept Geol, Salamanca 37008, Spain; [Hopfenblatt, Joaquin; Geyer, Adelina] CSIC, Geo3Bcn, Geosci Barcelona, Lluis Sole &amp; Sabaris S-N, Barcelona 08028, Spain; [Gomez-Ballesteros, Maria] Spanish Oceanog Inst IEO, Madrid, Spain; [Otero, Xose L.; Caza, Jaime] Univ Santiago de Compostela, Dept Edaphol &amp; Agr Chem, CRETUS Inst, Santiago De Compostela, Spain</t>
  </si>
  <si>
    <t>University of Barcelona; UiT The Arctic University of Tromso; Universite Libre de Bruxelles; University of Oviedo; Massey University; University of Salamanca; Consejo Superior de Investigaciones Cientificas (CSIC); Universidade de Santiago de Compostela</t>
  </si>
  <si>
    <t>Angulo-Preckler, C (corresponding author), Univ Barcelona, Barcelona, Catalonia, Spain.;Angulo-Preckler, C (corresponding author), IRBio Res Inst Biodivers, Barcelona, Catalonia, Spain.;Angulo-Preckler, C (corresponding author), UiT Arctic Univ Norway, Norwegian Coll Fishery Sci, Tromso, Norway.</t>
  </si>
  <si>
    <t>carlos.a.preckler@uit.no</t>
  </si>
  <si>
    <t>Angulo_Preckler, Carlos/A-6456-2011; Álvarez-Valero, Antonio M./B-2732-2015; Kereszturi, Gabor/I-1520-2019; Geyer, Adelina/C-9490-2011; Geyer, Adelina/A-6624-2012</t>
  </si>
  <si>
    <t>Angulo_Preckler, Carlos/0000-0001-9028-274X; Kereszturi, Gabor/0000-0003-4336-2012; Geyer, Adelina/0000-0002-8803-6504; Hopfenblatt Hours, Joaquin/0000-0003-4235-8302</t>
  </si>
  <si>
    <t>Spanish Government [CTM 2016-78901-R, CTM 2016-79617-P, CTM 2016-77878-P, CGL 2015-72629-EXP/AEI]; IHM (Navy Hydrographic Spanish Institute); IEO (Spanish Oceanographic Institute); fundacion Ramon Areces; Ramon y Cajal contract [RYC-2012-11024]; VOLGASDEC project (AEI/FEDER-UE) [PGC 2018-095693-B-I00]</t>
  </si>
  <si>
    <t>Spanish Government(Spanish Government); IHM (Navy Hydrographic Spanish Institute); IEO (Spanish Oceanographic Institute); fundacion Ramon Areces; Ramon y Cajal contract(Spanish Government); VOLGASDEC project (AEI/FEDER-UE)</t>
  </si>
  <si>
    <t>This work was developed within the BLUEBIO (CTM 2016-78901-R), POSVOLDEC (CTM 2016-79617-P) (AEI/FEDER-UE), CRONOANTAR (CTM 2016-77878-P), and VOLCLIMA (CGL 2015-72629-EXP/AEI) projects funded by the Spanish Government, altogether with IHM (Navy Hydrographic Spanish Institute), and IEO (Spanish Oceanographic Institute) support. C. A-P has been funded by the fundacion Ramon Areces. A.G. is grateful for her Ramon y Cajal contract (RYC-2012-11024). A-V, A.G. and G.K. also thank the assistance of the VOLGASDEC project (PGC 2018-095693-B-I00) (AEI/FEDER-UE).</t>
  </si>
  <si>
    <t>0278-4343</t>
  </si>
  <si>
    <t>1873-6955</t>
  </si>
  <si>
    <t>CONT SHELF RES</t>
  </si>
  <si>
    <t>Cont. Shelf Res.</t>
  </si>
  <si>
    <t>10.1016/j.csr.2021.104404</t>
  </si>
  <si>
    <t>RP0HF</t>
  </si>
  <si>
    <t>WOS:000641417300002</t>
  </si>
  <si>
    <t>Consolini, G; Tozzi, R; De Michelis, P; Coco, I; Giannattasio, F; Pezzopane, M; Marcucci, MF; Balasis, G</t>
  </si>
  <si>
    <t>Consolini, G.; Tozzi, R.; De Michelis, P.; Coco, I; Giannattasio, F.; Pezzopane, M.; Marcucci, M. F.; Balasis, G.</t>
  </si>
  <si>
    <t>High-latitude polar pattern of ionospheric electron density: Scaling features and IMF dependence</t>
  </si>
  <si>
    <t>JOURNAL OF ATMOSPHERIC AND SOLAR-TERRESTRIAL PHYSICS</t>
  </si>
  <si>
    <t>Polar ionosphere; Turbulence; Scaling feature; Space weather; Swarm satellite; Electron density</t>
  </si>
  <si>
    <t>STORM-ENHANCED DENSITY; DRIFT-WAVE TURBULENCE; VELOCITY SHEARS; MAGNETIC-FIELD; PLASMA; CONVECTION; SWARM; MAGNETOSPHERE; SPECTRA</t>
  </si>
  <si>
    <t>We investigated the average polar patterns of ionospheric electron density and the corresponding patterns of scaling features as a function of interplanetary magnetic field orientation. The focus is on the Northern Hemisphere using electron density data recorded on-board ESA Swarm A satellite. The first- and second-order scaling exponents have been evaluated by means of the qth-order structure functions. We used electron density measurements over a period of 15 months from April 1, 2014 to June 30, 2015, which corresponds to the maximum of solar cycle 24 and which is characterized by an average value of the solar radio flux (F10.7) index equal to (140 ?30) sfu. Electron density, first- and second-order scaling exponents have been mapped and discussed for four main IMF orientations provided by By and Bz components under conditions of high solar activity. Large spatial changes of the second-order scaling exponent pattern are observed with a steepening of the associated spectral exponent in correspondence with the nightside polar cap trailing edge. Intermittency, defined as the departure from linearity of the dependence of scaling exponents on moment order q, is also evaluated finding that it is generally higher near the equatorward boundary of the auroral oval than elsewhere. On the whole, the found patterns of the electron density first- and second-order scaling exponents suggest the occurrence of turbulence at the high latitudes.</t>
  </si>
  <si>
    <t>[Consolini, G.; Marcucci, M. F.] INAF Ist Astrofis &amp; Planetol Spaziali, Rome, Italy; [Tozzi, R.; De Michelis, P.; Coco, I; Giannattasio, F.; Pezzopane, M.] Ist Nazl Geofis &amp; Vulcanol, Rome, Italy; [Balasis, G.] Natl Observ Athens, Inst Astron Astrophys Space Applicat &amp; Remote Sen, Metaxa &amp; Vas Pavlou St, Athens 15236, Greece</t>
  </si>
  <si>
    <t>Istituto Nazionale Astrofisica (INAF); Istituto Nazionale Geofisica e Vulcanologia (INGV); National Observatory of Athens</t>
  </si>
  <si>
    <t>Consolini, G (corresponding author), INAF Ist Astrofis &amp; Planetol Spaziali, Rome, Italy.</t>
  </si>
  <si>
    <t>giuseppe.consolini@inaf.it; roberta.tozzi@ingv.it; paola.demichelis@ingv.it; igino.coco@ingv.it; fabio.giannattasio@ingv.it; michael.pezzopane@ingv.it; federica.marcucci@inaf.it; gbalasis@noa.gr</t>
  </si>
  <si>
    <t>Coco, Igino/X-7419-2018; Balasis, Georgios/G-8680-2012; Tozzi, Roberta/ABP-8925-2022; Marcucci, Maria federica/HNJ-5276-2023</t>
  </si>
  <si>
    <t>Coco, Igino/0000-0003-4070-6828; Balasis, Georgios/0000-0001-7342-0557; Tozzi, Roberta/0000-0002-1836-4078; DE MICHELIS, Paola/0000-0002-2708-0739; CONSOLINI, Giuseppe/0000-0002-3403-647X; Pezzopane, Michael/0000-0001-5800-2322; Marcucci, Maria Federica/0000-0002-5002-6060</t>
  </si>
  <si>
    <t>European Space Agency (ESA) [4000125663/18/I-NB]; Italian National Program for Antarctic Research [PNRA18 00289-SPIRiT]</t>
  </si>
  <si>
    <t>European Space Agency (ESA)(European Space Agency); Italian National Program for Antarctic Research</t>
  </si>
  <si>
    <t>The results presented rely on data collected by one of the three satellites of the Swarm constellation. We thank the European Space Agency (ESA) that supports the Swarm mission. Swarm data can be accessed at http://earth.esa.int/swarm.The authors kindly acknowledge V. Papitashvili and J. King at the National Space Science Data Center of the Goddard Space Flight Center for the use permission of 1 min OMNI data and the NASA CDAWeb team for making these data freely available. The authors acknowledge financial support from European Space Agency (ESA contract N. 4000125663/18/I-NB-EO Science for Society Permanently Open Call for Proposals EOEP-5 BLOCK4 (INTENS)) and the Italian National Program for Antarctic Research under contract N. PNRA18 00289-SPIRiT. G. C. and G. B. have benefitted from discussions within the International Space Science Institute (ISEE) Team #455 Complex Systems Perspectives Pertaining to the Research of the NearEarth Electromagnetic Environment.</t>
  </si>
  <si>
    <t>1364-6826</t>
  </si>
  <si>
    <t>1879-1824</t>
  </si>
  <si>
    <t>J ATMOS SOL-TERR PHY</t>
  </si>
  <si>
    <t>J. Atmos. Sol.-Terr. Phys.</t>
  </si>
  <si>
    <t>10.1016/j.jastp.2020.105531</t>
  </si>
  <si>
    <t>Geochemistry &amp; Geophysics; Meteorology &amp; Atmospheric Sciences</t>
  </si>
  <si>
    <t>RN5XW</t>
  </si>
  <si>
    <t>WOS:000640427300005</t>
  </si>
  <si>
    <t>McLean, M; Stuart-Smith, RD; Villéger, S; Auber, A; Edgar, GJ; MacNeil, MA; Loiseau, N; Leprieur, F; Mouillot, D</t>
  </si>
  <si>
    <t>McLean, Matthew; Stuart-Smith, Rick D.; Villeger, Sebastien; Auber, Arnaud; Edgar, Graham J.; MacNeil, M. Aaron; Loiseau, Nicolas; Leprieur, Fabien; Mouillot, David</t>
  </si>
  <si>
    <t>Trait similarity in reef fish faunas across the world's oceans</t>
  </si>
  <si>
    <t>PROCEEDINGS OF THE NATIONAL ACADEMY OF SCIENCES OF THE UNITED STATES OF AMERICA</t>
  </si>
  <si>
    <t>biogeography; community assembly; functional ecology; macroecology; phylogenetics</t>
  </si>
  <si>
    <t>FUNCTIONAL TRAITS; ECOSYSTEM FUNCTION; DIVERSITY; BIODIVERSITY; VULNERABILITY; REDUNDANCY; EVOLUTION; FISHERIES; SERVICES; REVEALS</t>
  </si>
  <si>
    <t>Species' traits, rather than taxonomic identities, determine community assembly and ecosystem functioning, yet biogeographic patterns have been far less studied for traits. While both environmental conditions and evolutionary history shape trait biogeography, their relative contributions are largely unknown for most organisms. Here, we explore the global biogeography of reef fish traits for 2,786 species from 89 ecoregions spanning eight marine realms with contrasting environmental conditions and evolutionary histories. Across realms, we found a common structure in the distribution of species traits despite a 10-fold gradient in species richness, with a defined backbone of 21 trait combinations shared by all realms globally, both temperate and tropical. Across ecoregions, assemblages under similar environmental conditions had similar trait compositions despite hosting drastically different species pools from separate evolutionary lineages. Thus, despite being separated by thousands of kilometers and millions of years of evolution, similar environments host similar trait compositions in reef fish assemblages worldwide. Our findings suggest that similar trait-based management strategies can be applied among regions with distinct species pools, potentially improving conservation outcomes across diverse jurisdictions.</t>
  </si>
  <si>
    <t>[McLean, Matthew; MacNeil, M. Aaron] Dalhousie Univ, Dept Biol, Halifax, NS B3H 4R2, Canada; [Stuart-Smith, Rick D.; Edgar, Graham J.] Univ Tasmania, Inst Marine &amp; Antarctic Studies, Hobart, Tas 7001, Australia; [Villeger, Sebastien; Loiseau, Nicolas; Leprieur, Fabien; Mouillot, David] Univ Montpellier, Inst Francais Rech Exploitat Mer, CNRS, MARBEC,IRD, F-34095 Montpellier, France; [Auber, Arnaud] Inst Francais Rech Exploitat Mer, Unite Halieut Manche &amp; Mer Nord, F-62321 Boulogne Sur Mer, France; [MacNeil, M. Aaron] Dalhousie Univ, Ocean Frontier Inst, Halifax, NS B3H 4R2, Canada; [Leprieur, Fabien; Mouillot, David] Inst Univ France, F-75005 Paris, France</t>
  </si>
  <si>
    <t>Dalhousie University; University of Tasmania; Institut de Recherche pour le Developpement (IRD); Ifremer; Centre National de la Recherche Scientifique (CNRS); Universite de Montpellier; Ifremer; Dalhousie University; Institut Universitaire de France</t>
  </si>
  <si>
    <t>McLean, M (corresponding author), Dalhousie Univ, Dept Biol, Halifax, NS B3H 4R2, Canada.</t>
  </si>
  <si>
    <t>mcleamj@gmail.com</t>
  </si>
  <si>
    <t>MacNeil, Aaron/E-8196-2017; Villéger, Sébastien/AAW-9949-2021; Stuart-Smith, Rick/I-5214-2019; Leprieur, Fabien/ABA-4433-2020; MacNeil, M. Aaron/ABD-6444-2021; Villéger, Sébastien/C-6272-2011; Edgar, Graham/AAY-3797-2020; Auber, Arnaud/IQW-7770-2023; auber, arnaud/AAY-5532-2021</t>
  </si>
  <si>
    <t>Villéger, Sébastien/0000-0002-2362-7178; Stuart-Smith, Rick/0000-0002-8874-0083; MacNeil, M. Aaron/0000-0001-8406-325X; Villéger, Sébastien/0000-0002-2362-7178; Edgar, Graham/0000-0003-0833-9001; Auber, Arnaud/0000-0002-8415-1652; Loiseau, Nicolas/0000-0002-2469-1980</t>
  </si>
  <si>
    <t>2017-2018 Belmont Forum; BiodivERsA REEF-FUTURES project under the BiodivScen ERA-Net COFUND program; French National Research Agency; Natural Sciences and Engineering Research Council [RGPBB/525590]; Canada Research Chairs Program; Ocean Frontier Institute</t>
  </si>
  <si>
    <t>2017-2018 Belmont Forum; BiodivERsA REEF-FUTURES project under the BiodivScen ERA-Net COFUND program; French National Research Agency(Agence Nationale de la Recherche (ANR)); Natural Sciences and Engineering Research Council(Natural Sciences and Engineering Research Council of Canada (NSERC)); Canada Research Chairs Program(Canada Research Chairs); Ocean Frontier Institute</t>
  </si>
  <si>
    <t>We thank all RLS divers worldwide whose data collection efforts made this study possible. This research used the National Collaborative Research Infrastructure Strategy-enabled Integrated Marine Observing System infrastructure for database support and storage. This research was funded through the 2017-2018 Belmont Forum and BiodivERsA REEF-FUTURES project under the BiodivScen ERA-Net COFUND program along with the French National Research Agency, the Natural Sciences and Engineering Research Council (Grant No. RGPBB/525590), the Canada Research Chairs Program, and the Ocean Frontier Institute.</t>
  </si>
  <si>
    <t>NATL ACAD SCIENCES</t>
  </si>
  <si>
    <t>2101 CONSTITUTION AVE NW, WASHINGTON, DC 20418 USA</t>
  </si>
  <si>
    <t>0027-8424</t>
  </si>
  <si>
    <t>1091-6490</t>
  </si>
  <si>
    <t>P NATL ACAD SCI USA</t>
  </si>
  <si>
    <t>Proc. Natl. Acad. Sci. U. S. A.</t>
  </si>
  <si>
    <t>MAR 23</t>
  </si>
  <si>
    <t>e2012318118</t>
  </si>
  <si>
    <t>10.1073/pnas.2012318118</t>
  </si>
  <si>
    <t>RB1HY</t>
  </si>
  <si>
    <t>WOS:000631868600009</t>
  </si>
  <si>
    <t>Coutinho, JOPA; Peixoto, TS; de Menezes, GCA; Carvalho, CR; Ogaki, MB; Gomes, ECQ; Rosa, CA; Rosa, LH; Arantes, RME; Nicoli, JR; Tiago, FCP; Martins, FS</t>
  </si>
  <si>
    <t>Coutinho, Joana O. P. A.; Peixoto, Taynara S.; de Menezes, Graciele C. A.; Carvalho, Camila R.; Ogaki, Mayara B.; Gomes, Eldon C. Q.; Rosa, Carlos A.; Rosa, Luiz H.; Arantes, Rosa M. E.; Nicoli, Jacques R.; Tiago, Fabiana C. P.; Martins, Flaviano S.</t>
  </si>
  <si>
    <t>In Vitro and In Vivo Evaluation of the Probiotic Potential of Antarctic Yeasts</t>
  </si>
  <si>
    <t>PROBIOTICS AND ANTIMICROBIAL PROTEINS</t>
  </si>
  <si>
    <t>Antarctica; Fungi; Probiotic; Rhodotorula mucilaginosa; Saccharomyces cerevisiae; Salmonellosis; Yeasts</t>
  </si>
  <si>
    <t>PHOTOPROTECTIVE COMPOUNDS; RHODOTORULA-MUCILAGINOSA; BACTERIAL TRANSLOCATION; IMMUNE-SYSTEM; BILE-SALTS; UFMG A-905; LOW PH; SACCHAROMYCES; ANTIOXIDANT; METABOLITES</t>
  </si>
  <si>
    <t>Antarctica is one of the most pristine and inhospitable regions of the planet, mostly inhabited by microorganisms that survive due to unusual metabolic pathways to adapt to its extreme conditions, which could be interesting for the selection of new probiotics. The aim of the present study was to screen in vitro and in vivo putative probiotics among 254 yeasts isolated from different habitats of Antarctica. In vitro selection evaluated functional (growth at 37 degrees C, resistance to simulated gastric environment, and to bile salts), safety (degradation of mucin, production of beta-haemolysis and resistance to antifungal drugs), and beneficial (production of antagonistic substances and adhesion to pathogens) properties. Twelve yeasts were able to grow at 37 degrees C, one of which was eliminated to present beta-haemolytic ability. The remained yeasts resisted to gastric simulation and bile salts, but none presented antagonism against the pathogens tested. Because of the high co-aggregation with Salmonella enterica Typhimurium and growth yield, Rhodotorula mucilaginosa UFMGCB 18377 and Saccharomyces cerevisiae UFMGCB 11120 were selected for in vivo steps using mice challenged with S. Typhimurium. Both yeasts reached high faecal population levels when daily administered, but only R. mucilaginosa UFMGCB 18377 protected mice against Salmonella infection presenting a higher survival and reduced weight loss, bacterial translocation to the liver, sIgA intestinal levels, and intestinal and hepatic MPO and EPO activities. Our in vitro and in vivo results suggest that R. mucilaginosa UFMGCB 18377 presents probiotic potential and deserve further studies as candidate of probiotic by-products. In addition, this is the first screening study of yeasts isolated from Antarctic environments and of Rhodotorula genus for probiotic use.</t>
  </si>
  <si>
    <t>[Coutinho, Joana O. P. A.; Peixoto, Taynara S.; de Menezes, Graciele C. A.; Carvalho, Camila R.; Ogaki, Mayara B.; Gomes, Eldon C. Q.; Rosa, Carlos A.; Rosa, Luiz H.; Nicoli, Jacques R.; Martins, Flaviano S.] Univ Fed Minas Gerais, Inst Ciencias Biol, Dept Microbiol, Ave Antonio Carlos 6627, BR-30270901 Belo Horizonte, MG, Brazil; [Arantes, Rosa M. E.] Univ Fed Minas Gerais, Dept Patol Geral, Inst Ciencias Biol, Belo Horizonte, MG, Brazil; [Tiago, Fabiana C. P.] Ctr Fed Educ Tecnol Minas Gerais CEFET MG, Belo Horizonte, MG, Brazil</t>
  </si>
  <si>
    <t>Universidade Federal de Minas Gerais; Universidade Federal de Minas Gerais</t>
  </si>
  <si>
    <t>Martins, FS (corresponding author), Univ Fed Minas Gerais, Inst Ciencias Biol, Dept Microbiol, Ave Antonio Carlos 6627, BR-30270901 Belo Horizonte, MG, Brazil.</t>
  </si>
  <si>
    <t>flaviano@icb.ufmg.br</t>
  </si>
  <si>
    <t>Nicoli, Jacques R/K-4807-2015; ARANTES, ROSA MARIA ESTEVES/C-5749-2013</t>
  </si>
  <si>
    <t>Nicoli, Jacques R/0000-0003-2390-2608; Queres, Eldon/0000-0002-3578-5341; ARANTES, ROSA MARIA ESTEVES/0000-0003-1428-9717; Ogaki, Mayara/0000-0002-3810-1048; Cunha Alves de Menezes, Graciele/0000-0002-9427-1893; Rosa, Carlos/0000-0002-0056-9075; Da Conceicao Pereira Tiago, Fabiana/0000-0002-2916-2551</t>
  </si>
  <si>
    <t>Minas Gerais State Research Support Foundation (FAPEMIG); Coordination for the Improvement of Higher Education Personnel (CAPES); CAPES; CNPq PROANTAR [442258/2018-6]; INCT Criosfera II; CAPES [88887.136384/2017-00, 88887.314457/2019-00]; CNPq; FAPEMIG; FNDCT</t>
  </si>
  <si>
    <t>Minas Gerais State Research Support Foundation (FAPEMIG)(Fundacao de Amparo a Pesquisa do Estado de Minas Gerais (FAPEMIG)); Coordination for the Improvement of Higher Education Personnel (CAPES)(Coordenacao de Aperfeicoamento de Pessoal de Nivel Superior (CAPES)); CAPES(Coordenacao de Aperfeicoamento de Pessoal de Nivel Superior (CAPES)); CNPq PROANTAR(Conselho Nacional de Desenvolvimento Cientifico e Tecnologico (CNPQ)); INCT Criosfera II; CAPES(Coordenacao de Aperfeicoamento de Pessoal de Nivel Superior (CAPES)); CNPq(Conselho Nacional de Desenvolvimento Cientifico e Tecnologico (CNPQ)); FAPEMIG(Fundacao de Amparo a Pesquisa do Estado de Minas Gerais (FAPEMIG)); FNDCT</t>
  </si>
  <si>
    <t>This work was supported by grants from the Minas Gerais State Research Support Foundation (FAPEMIG) and the Coordination for the Improvement of Higher Education Personnel (CAPES). JOPAC was the recipient of a Doctorate's fellowship from CAPES. We also received financial support from CNPq PROANTAR 442258/2018-6, INCT Criosfera II, CAPES (88887.136384/2017-00 and 88887.314457/2019-00), CNPq, FAPEMIG, and FNDCT.</t>
  </si>
  <si>
    <t>1867-1306</t>
  </si>
  <si>
    <t>1867-1314</t>
  </si>
  <si>
    <t>PROBIOTICS ANTIMICRO</t>
  </si>
  <si>
    <t>Probiotics Antimicrob. Proteins</t>
  </si>
  <si>
    <t>10.1007/s12602-021-09758-8</t>
  </si>
  <si>
    <t>UU7FE</t>
  </si>
  <si>
    <t>WOS:000631789700001</t>
  </si>
  <si>
    <t>Awruch, CA; Bell, JD; Semmens, JM; Lyle, JM</t>
  </si>
  <si>
    <t>Awruch, Cynthia A.; Bell, Justin D.; Semmens, Jayson M.; Lyle, Jeremy M.</t>
  </si>
  <si>
    <t>Life history traits and conservation actions for the Maugean skate (Zearaja maugeana), an endangered species occupying an anthropogenically impacted estuary</t>
  </si>
  <si>
    <t>brackish; elasmobranch; growth; reproduction; sex steroids; ultrasonography</t>
  </si>
  <si>
    <t>DIPTURUS-CHILENSIS; WESTERN GULF; RAJIFORMES; MATURITY; RAJIDAE; AGE; GROWTH</t>
  </si>
  <si>
    <t>The Maugean skate, Zearaja maugeana, is endemic to two isolated western Tasmanian (Australia) estuaries. The species' persistence in one of these estuaries (Bathurst Harbour) is uncertain, while the other estuary (Macquarie Harbour), potentially the remaining stronghold for the species, is an anthropogenically impacted system. Key life-history parameters were studied to inform conservation actions for this species. Reproductive information was obtained using non-lethal methodologies, circulating concentrations of sex steroids and ultrasonography. Growth and age parameters were estimated based on vertebral sections from a small sample of individuals. Females and males reached 870 and 760 mm total length, respectively. The species reached a maximum age of at least 10 years. Females and males attained 50% sexual maturity at 665 and 633 mm total length, respectively, probably maturing somewhere between four and six years of age. Females displayed an asynchronous, discontinuous reproductive cycle, being able to reproduce throughout the year, with a probable decline in reproductive activity during summer. No egg cases were observed in-utero. Males produce sperm all year round, with a peak in testosterone production during spring-autumn. Conservation strategies for Z. maugeana will need to focus on reducing anthropogenic impacts on the environmental health, the primary impacts being altered river flows associated with the production of hydroelectricity and increased nutrient load associated with salmonid aquaculture. There is a need to better understand how reproductive success, egg survival and recruitment are affected by these environmental challenges if the future well-being of this species is to be secured.</t>
  </si>
  <si>
    <t>[Awruch, Cynthia A.] Univ Tasmania, Sch Nat Sci, Sandy Bay Campus,Private Bag 55, Hobart, Tas 7001, Australia; [Awruch, Cynthia A.] Consejo Nacl Invest Cient &amp; Tecn, Ctr Estudio Sistemas Marinos CESIMAR, Puerto Madryn, Argentina; [Bell, Justin D.; Semmens, Jayson M.; Lyle, Jeremy M.] Univ Tasmania, Fisheries &amp; Aquaculture Ctr, Inst Marine &amp; Antarctic Studies, Hobart, Tas, Australia; [Bell, Justin D.] Victorian Fisheries Author, Dept Transport, Queenscliff, Vic, Australia</t>
  </si>
  <si>
    <t>University of Tasmania; Consejo Nacional de Investigaciones Cientificas y Tecnicas (CONICET); University of Tasmania</t>
  </si>
  <si>
    <t>Awruch, CA (corresponding author), Univ Tasmania, Sch Nat Sci, Sandy Bay Campus,Private Bag 55, Hobart, Tas 7001, Australia.</t>
  </si>
  <si>
    <t>cynthia.awruch@utas.edu.au</t>
  </si>
  <si>
    <t>Lyle, Jeremy/J-7170-2014</t>
  </si>
  <si>
    <t>Lyle, Jeremy/0000-0001-9670-5854; Semmens, Jayson/0000-0003-1742-6692</t>
  </si>
  <si>
    <t>Institute for Marine and Antarctic Studies, University of Tasmania; Fisheries Research and Development Corporation [2013/008]</t>
  </si>
  <si>
    <t>Institute for Marine and Antarctic Studies, University of Tasmania; Fisheries Research and Development Corporation</t>
  </si>
  <si>
    <t>Institute for Marine and Antarctic Studies, University of Tasmania, and the Fisheries Research and Development Corporation, Grant/Award Number: 2013/008</t>
  </si>
  <si>
    <t>10.1002/aqc.3579</t>
  </si>
  <si>
    <t>WOS:000631684800001</t>
  </si>
  <si>
    <t>Lagostina, E; Andreev, M; Dal Grande, F; Grewe, F; Lorenz, A; Lumbsch, HT; Rozzi, R; Ruprecht, U; Sancho, LG; Sochting, U; Scur, M; Wirtz, N; Printzen, C</t>
  </si>
  <si>
    <t>Lagostina, Elisa; Andreev, Mikhail; Dal Grande, Francesco; Grewe, Felix; Lorenz, Aline; Lumbsch, H. Thorsten; Rozzi, Ricardo; Ruprecht, Ulrike; Garcia Sancho, Leopoldo; Sochting, Ulrik; Scur, Mayara; Wirtz, Nora; Printzen, Christian</t>
  </si>
  <si>
    <t>Effects of dispersal strategy and migration history on genetic diversity and population structure of Antarctic lichens</t>
  </si>
  <si>
    <t>approximate Bayesian computation; biodiversity; Cetraria aculeata; climate change; conservation; microsatellites; Parmeliaceae; U; aurantiacoatra; Usnea antarctica</t>
  </si>
  <si>
    <t>DISTRIBUTION PATTERNS; DNA-SEQUENCE; SOFTWARE; ISLANDS; ASCOMYCOTA; GENOTYPE; PLANTS; DELIMITATION; DEGLACIATION; CONSEQUENCES</t>
  </si>
  <si>
    <t>Aim The homogenisation of historically isolated gene pools has been recognised as one of the most serious conservation problems in the Antarctic. Lichens are the dominant components of terrestrial biotas in the Antarctic and in high mountain ranges of southern South America. We study the effects of dispersal strategy and migration history on their genetic structure to better understand the importance of these processes and their interplay in shaping population structure as well as their relevance for conservation. Location Maritime Antarctic and southern South America. Methods Populations of three fruticose lichen species, Usnea aurantiacoatra, U. antarctica and Cetraria aculeata, were collected in different localities in the Maritime Antarctic and southern South America. Usnea aurantiacoatra reproduces sexually by ascospores, whereas the other two species mostly disperse asexually by symbiotic diaspores. Samples were genotyped at 8-22 microsatellite loci. Different diversity and variance metrics, Bayesian cluster analyses and Discriminant Analysis of Principal Components (DAPC) were used to study population genetic structure. Historical migration patterns between southern South America and the Antarctic were investigated for U. aurantiacoatra and C. aculeata by approximate Bayesian computation (ABC). Results The two vegetative species display lower levels of genetic diversity than U. aurantiacoatra. Antarctic populations of C. aculeata and South American populations of U. aurantiacoatra display much stronger genetic differentiation than their respective counterparts on the opposite side of the Drake Passage. Usnea antarctica was not found in South America but shows comparably low levels of genetic differentiation in Antarctica as those revealed for U. aurantiacoatra. Phylogeographic histories of lichens in the region differ strongly with recent colonisation in some instances and potential in situ persistence during Last Glacial Maximum (LGM) in others. Patterns of genetic diversity indicate the presence of glacial refugia near Navarino Island (South America) and in the South Shetland Islands. ABC analyses suggest that C. aculeata colonised the Antarctic from Patagonia after the LGM. Results for U. aurantiacoatra are ambiguous, indicating a more complex population history than expressed in the simplified scenarios. Main Conclusions Mode of propagation affects levels of genetic diversity, but the location of glacial refugia and postglacial colonisation better explains the diversity patterns displayed by each species. We found evidence for glacial in situ survival of U. aurantiacoatra on both sides of the Drake Passage and postglacial colonisation of Antarctica from South America by C. aculeata. Maintaining the strong genetic differentiation of Antarctic populations of C. aculeata requires strict conservation measures, whereas populations of U. aurantiacoatra are exposed to a much lower risk due to their higher diversity and connectivity.</t>
  </si>
  <si>
    <t>[Lagostina, Elisa; Printzen, Christian] Senckenberg Res Inst, Dept Bot &amp; Mol Evolut, Frankfurt, Germany; [Lagostina, Elisa; Printzen, Christian] Nat Hist Museum, Frankfurt, Germany; [Andreev, Mikhail] Russian Acad Sci, Komarov Bot Inst, St Petersburg, Russia; [Dal Grande, Francesco] Senckenberg Biodivers &amp; Climate Res Ctr SBiK F, Frankfurt, Germany; [Dal Grande, Francesco] LOEWE Ctr Translat Biodivers Genom TBG, Frankfurt, Germany; [Grewe, Felix] Grainger Bioinformat Ctr, Field Museum Nat Hist, Sci &amp; Educ, Chicago, IL USA; [Lorenz, Aline; Scur, Mayara] Univ Fed Mato Grosso do Sul, Biosci Inst, Ecol &amp; Evolutionary Biol Lab, Campo Grande, MS, Brazil; [Lumbsch, H. Thorsten] Field Museum Nat Hist, Sci &amp; Educ, Chicago, IL USA; [Rozzi, Ricardo] Univ North Texas, Sub Antarctic Biocultural Conservat Program, Denton, TX USA; [Rozzi, Ricardo] Univ Magallanes, Inst Ecol &amp; Biodivers, Puerto Williams, Chile; [Ruprecht, Ulrike] Univ Salzburg, Dept Biosci, Salzburg, Austria; [Garcia Sancho, Leopoldo] Univ Complutense Madrid, Fac Pharm, Sect Bot, Madrid, Spain; [Sochting, Ulrik] Univ Copenhagen, Dept Biol, Copenhagen, Denmark</t>
  </si>
  <si>
    <t>Senckenberg Gesellschaft fur Naturforschung (SGN); Russian Academy of Sciences; Komarov Botanical Institute, Russian Academy of Sciences; Senckenberg Biodiversitat &amp; Klima- Forschungszentrum (BiK-F); Senckenberg Gesellschaft fur Naturforschung (SGN); Field Museum of Natural History (Chicago); Universidade Federal de Mato Grosso do Sul; Field Museum of Natural History (Chicago); University of North Texas System; University of North Texas Denton; Universidad de Magallanes; Salzburg University; Complutense University of Madrid; University of Copenhagen</t>
  </si>
  <si>
    <t>Lagostina, E (corresponding author), Senckenberg Res Inst, Dept Bot &amp; Mol Evolut, Frankfurt, Germany.;Lagostina, E (corresponding author), Nat Hist Museum, Frankfurt, Germany.</t>
  </si>
  <si>
    <t>elisa.lagostina@gmail.com</t>
  </si>
  <si>
    <t>Lumbsch, Thorsten/K-3573-2012; Printzen, Christian/ABF-8242-2021; SANCHO, LEOPOLDO G/G-9120-2015; Rozzi, Ricardo/G-1047-2012; Dal Grande, Francesco/K-1914-2016; Sochting, Ulrik/M-2886-2014</t>
  </si>
  <si>
    <t>Rozzi, Ricardo/0000-0001-5265-8726; Dal Grande, Francesco/0000-0002-1865-6281; Andreev, Mikhail/0000-0002-5688-0751; Grewe, Felix/0000-0002-2805-5930; Ruprecht, Ulrike/0000-0002-0898-7677; Sochting, Ulrik/0000-0001-7122-9425</t>
  </si>
  <si>
    <t>Spanish Ministry of Science [CTM2015-64728-C2-1-R]; Deutsche Forschungsgemeinschaft [PR 567/18-1, PR 567/18-2]; Austrian Science Fund [P26638]; Komarov Botanical Institute RAS [AAAA-A18-118022090078-2]; RFFS [19-54-18003]; MCTI/CNPq/CAPES; Austrian Science Fund (FWF) [P26638] Funding Source: Austrian Science Fund (FWF)</t>
  </si>
  <si>
    <t>Spanish Ministry of Science(Spanish Government); Deutsche Forschungsgemeinschaft(German Research Foundation (DFG)); Austrian Science Fund(Austrian Science Fund (FWF)); Komarov Botanical Institute RAS; RFFS; MCTI/CNPq/CAPES; Austrian Science Fund (FWF)(Austrian Science Fund (FWF))</t>
  </si>
  <si>
    <t>Spanish Ministry of Science, Grant/Award Number: CTM2015-64728-C2-1-R; Deutsche Forschungsgemeinschaft, Grant/Award Number: PR 567/18-1 and PR 567/18-2; Austrian Science Fund, Grant/Award Number: P26638; Komarov Botanical Institute RAS, Grant/Award Number: AAAA-A18-118022090078-2; RFFS, Grant/Award Number: 19-54-18003; MCTI/CNPq/CAPES</t>
  </si>
  <si>
    <t>10.1111/jbi.14101</t>
  </si>
  <si>
    <t>WOS:000631513100001</t>
  </si>
  <si>
    <t>Howell, L; LaRue, M; Flanagan, SP</t>
  </si>
  <si>
    <t>Howell, Lucy; LaRue, Michelle; Flanagan, Sarah P.</t>
  </si>
  <si>
    <t>Environmental DNA as a tool for monitoring Antarctic vertebrates</t>
  </si>
  <si>
    <t>NEW ZEALAND JOURNAL OF ZOOLOGY</t>
  </si>
  <si>
    <t>eDNA; environmental sampling; genetic tools; Southern Ocean; polar; remote sampling; biodiversity; conservation genetics</t>
  </si>
  <si>
    <t>KILLER WHALES; WEDDELL SEALS; MCMURDO SOUND; ROSS SEA; POPULATION; SURVIVAL; PATTERNS; SCIENCE; SHELF; DEEP</t>
  </si>
  <si>
    <t>Antarctica is home to numerous species that are vulnerable to environmental change, and assessing species responses requires long-term monitoring. However, Antarctica's extreme nature presents limitations to conducting the type of long-term or broad-scale studies necessary for understanding changes in community composition. In this paper, we evaluate the potential for the use of environmental DNA (eDNA) methods in expanding scientific research efforts for biodiversity monitoring and conservation genetics in Antarctica. Through a systematic literature review, we identify that most Antarctic eDNA studies have focused on microbial metabarcoding using samples from soil, sediment, snow, and water. Few eDNA studies in Antarctica have focused on vertebrate biodiversity or population genetics, but we highlight several examples that have effectively and creatively used eDNA to study vertebrates. We highlight the potential for the use of portable sequencing technologies in the future of Antarctic eDNA research. We conclude that eDNA could be a valuable tool for researchers in their efforts to assess, monitor, and conserve biodiversity in the Antarctic.</t>
  </si>
  <si>
    <t>[Howell, Lucy; LaRue, Michelle] Univ Canterbury, Sch Earth &amp; Environm, Gateway Antarct, Christchurch, New Zealand; [LaRue, Michelle] Univ Canterbury, Sch Earth &amp; Environm, Christchurch, New Zealand; [Flanagan, Sarah P.] Univ Canterbury, Sch Biol Sci, Christchurch, New Zealand</t>
  </si>
  <si>
    <t>University of Canterbury; University of Canterbury; University of Canterbury</t>
  </si>
  <si>
    <t>Flanagan, SP (corresponding author), Univ Canterbury, Sch Biol Sci, Christchurch, New Zealand.</t>
  </si>
  <si>
    <t>spflanagan.phd@gmail.com</t>
  </si>
  <si>
    <t>Flanagan, Sarah/I-9844-2017</t>
  </si>
  <si>
    <t>Flanagan, Sarah/0000-0002-2226-4213</t>
  </si>
  <si>
    <t>Antarctica New Zealand; Gateway Antarctica; Christchurch City Council; New Zealand Antarctic Research Institute [2019-3-2]</t>
  </si>
  <si>
    <t>Antarctica New Zealand; Gateway Antarctica; Christchurch City Council; New Zealand Antarctic Research Institute</t>
  </si>
  <si>
    <t>This work was supported by Antarctica New Zealand, Gateway Antarctica, Christchurch City Council, and New Zealand Antarctic Research Institute [grant number 2019-3-2].</t>
  </si>
  <si>
    <t>0301-4223</t>
  </si>
  <si>
    <t>1175-8821</t>
  </si>
  <si>
    <t>NEW ZEAL J ZOOL</t>
  </si>
  <si>
    <t>N. Z. J. Zool.</t>
  </si>
  <si>
    <t>OCT 2</t>
  </si>
  <si>
    <t>10.1080/03014223.2021.1900299</t>
  </si>
  <si>
    <t>UO5XC</t>
  </si>
  <si>
    <t>WOS:000630941100001</t>
  </si>
  <si>
    <t>Bester, MN; Lübcker, N; Haddad, W; Bornemann, H; Wege, M</t>
  </si>
  <si>
    <t>Bester, Marthan N.; Lubcker, Nico; Haddad, Wiam; Bornemann, Horst; Wege, Mia</t>
  </si>
  <si>
    <t>Antarctic pack ice seal observations during spring across the Lazarev Sea</t>
  </si>
  <si>
    <t>Antarctic fur seals; Crabeater seals; Leopard seals; Ross seals; Ship-board censuses</t>
  </si>
  <si>
    <t>The distribution, density and percentage contribution of pack ice seals during ship-board censuses in the marginal sea ice zone beyond the Lazarev Sea in spring 2019 are presented. Adult/juvenile crabeater seals (n = 19), leopard seals (n = 3) and Ross seals (n = 10) were sighted during 582.2 nm of censuses along the ship's track line in the area bounded by 00 degrees 00'-22 degrees E and 56 degrees-60 degrees S. Antarctic fur seals (n = 21) were only encountered on the outer fringes of the pack ice, and Weddell seals were absent due to their primary use of fast ice and inner pack ice habitats close to the coast. Crabeater seal sightings included juveniles (n = 2) and another four groups of 2-3 unclassified crabeater seals, singletons (n = 5), single mothers with pups (n = 3) and a family group (n = 1 triad). Only one leopard seal attended a pup, while no Ross seal pups were located. The survey was likely of insufficient effort, in both extent (north of 60 degrees S) and duration (18 days), to locate seals in considerable numbers this early (late October/early November) in their austral spring breeding season.</t>
  </si>
  <si>
    <t>[Bester, Marthan N.; Lubcker, Nico; Haddad, Wiam; Wege, Mia] Univ Pretoria, Mammal Res Inst, Dept Zool &amp; Entomol, Private Bag X20, ZA-0028 Hatfield, South Africa; [Bornemann, Horst] Helmholtz Zentrum Polar &amp; Meeresforsc, Alfred Wegener Inst, Handelshafen 12, D-27570 Bremerhaven, Germany; [Wege, Mia] Univ Canterbury, Sch Earth &amp; Environm, Coll Sci, Gateway Antarctica, Forestry Rd, Christchurch 8041, New Zealand</t>
  </si>
  <si>
    <t>University of Pretoria; Helmholtz Association; Alfred Wegener Institute, Helmholtz Centre for Polar &amp; Marine Research; University of Canterbury</t>
  </si>
  <si>
    <t>Bester, MN (corresponding author), Univ Pretoria, Mammal Res Inst, Dept Zool &amp; Entomol, Private Bag X20, ZA-0028 Hatfield, South Africa.</t>
  </si>
  <si>
    <t>Lubcker, Nico/I-7622-2019; Wege, Mia/B-1103-2016</t>
  </si>
  <si>
    <t>Lubcker, Nico/0000-0001-7141-6669; Wege, Mia/0000-0002-9022-3069</t>
  </si>
  <si>
    <t>NRF</t>
  </si>
  <si>
    <t>The Officers and Crew of the MV SA Agulhas II extended every possible courtesy to us in support of our research objectives. Chief Scientist, Tommy Ryan-Keogh is thanked for his support. The Department of Environment Affairs (DEA) is thanked for logistical support within South African National Antarctic Programme (SANAP), with the blessing of the Department of Science and Technology (DST), through the National Research Foundation (NRF). The authors acknowledge that opinions, findings and conclusions expressed in this publication generated by the NRF supported research are that of the authors, and that the NRF accepts no liability whatsoever in this regard. Derek Engelbrecht and Elisa Seyboth assisted with sighting records and photographic material. Participation of Horst Bornemann was supported by Dr Christine Wesche, Logistics and Research Platform Division of the Alfred Wegener Institute. Two anonymous reviewers provided insightful comments that vastly improved the manuscript.</t>
  </si>
  <si>
    <t>e12</t>
  </si>
  <si>
    <t>10.1017/S003224742100005X</t>
  </si>
  <si>
    <t>RA2SN</t>
  </si>
  <si>
    <t>WOS:000631269600001</t>
  </si>
  <si>
    <t>Lucca, BM; Ressler, PH; Harvey, HR; Warren, JD</t>
  </si>
  <si>
    <t>Lucca, Brandyn M.; Ressler, Patrick H.; Harvey, H. Rodger; Warren, Joseph D.</t>
  </si>
  <si>
    <t>Individual variability in sub-Arctic krill material properties, lipid composition, and other scattering model inputs affect acoustic estimates of their population</t>
  </si>
  <si>
    <t>acoustics; Bering Sea; Gulf of Alaska; krill; material properties; target strength</t>
  </si>
  <si>
    <t>WAVE BORN APPROXIMATION; BERING-SEA; TARGET STRENGTH; ANTARCTIC KRILL; EUPHAUSIA-SUPERBA; SOUND-SPEED; MEGANYCTIPHANES-NORVEGICA; IMPROVED PARAMETERIZATION; THYSANOESSA-RASCHII; TILT ORIENTATION</t>
  </si>
  <si>
    <t>Target strength model inputs including morphometry, material properties, lipid composition, and in situ orientations were measured for sub-Arctic krill (Euphausia pacifica, Thysanoessa spinifera, T. inermis, and T. raschii) in the eastern Bering Sea (EBS, 2016) and Gulf of Alaska (GOA, 2017). Inter-species and -regional animal lengths were significantly different (F-1,(680) = 114.10, p &lt; 0.01), while animal shape was consistent for all species measured. The polar lipid phosphatidycholine was the dominant lipid, comprising 86 +/- 16% (mean +/- SD) and 56 +/- 22% of total lipid mass in GOA and EBS krill, respectively. Krill density contrasts varied by species and region rather than with morphometry, lipid composition, or local chl(a) fluorescence. Mean in situ krill orientation was 1 +/- 31 degrees, with 25% of observed krill within +/- 5 degrees of broadside incidence. Modelled target strength sensitivity was frequency independent for variations in material properties but was primarily sensitive to morphometry and orientation at lower (38 kHz) and higher (200 kHz) frequencies, respectively. Measured variability in material properties corresponded to an order of magnitude difference in acoustic estimates of biomass at 120 kHz. These results provide important inputs and constraints for acoustic scattering models of ecologically important sub-Arctic krill species.</t>
  </si>
  <si>
    <t>[Lucca, Brandyn M.; Warren, Joseph D.] SUNY Stony Brook, Sch Marine &amp; Atmospher Sci, 239 Montauk Highway, Southampton, NY 11968 USA; [Ressler, Patrick H.] NOAA, Natl Marine Fisheries Serv, Alaska Fisheries Sci Ctr, 7600 Sand Point Way NE, Washington, DC 98115 USA; [Harvey, H. Rodger] Old Dominion Univ, Ocean &amp; Earth Sci, Norfolk, VA 23529 USA</t>
  </si>
  <si>
    <t>State University of New York (SUNY) System; State University of New York (SUNY) Stony Brook; National Oceanic Atmospheric Admin (NOAA) - USA; Old Dominion University</t>
  </si>
  <si>
    <t>Warren, JD (corresponding author), SUNY Stony Brook, Sch Marine &amp; Atmospher Sci, 239 Montauk Highway, Southampton, NY 11968 USA.</t>
  </si>
  <si>
    <t>joe.warren@stonybook.edu</t>
  </si>
  <si>
    <t>Lucca, Brandyn Mark/AAU-3003-2020</t>
  </si>
  <si>
    <t>Lucca, Brandyn Mark/0000-0003-3145-2969; Harvey, Rodger/0000-0001-7746-7758</t>
  </si>
  <si>
    <t>North Pacific Research Board (NPRB) project [1501]; National Science Foundation [OCE 1636045]</t>
  </si>
  <si>
    <t>North Pacific Research Board (NPRB) project; National Science Foundation(National Science Foundation (NSF))</t>
  </si>
  <si>
    <t>We thank Alaska Fisheries Science Center (AFSC) Midwater Assessment and Conservation Engineering (MACE) survey scientists and the Captain and crew of the NOAA Ship Oscar Dyson for making all data collection and fieldwork possible. We also thank Dr Kresimir Williams for feedback and support for Sebastes software, Elaine Alberts for assisting with stereo camera data processing, Rachel McMahon for technical assistance. We lastly thank Dr Sandra Parker-Stetter, Dr Samuel Urmy, and Robert Levine for valuable feedback and edits to this manuscript. This work was supported by the North Pacific Research Board (NPRB) project #1501 with instrument support for lipid analysis through the Chemical Oceanography program of the National Science Foundation (OCE 1636045 to H.R.H.). The findings and conclusions in the paper are those of the authors and do not necessarily represent the views of the National Marine Fisheries Service; reference to trade names does not imply endorsement.</t>
  </si>
  <si>
    <t>10.1093/icesjms/fsab045</t>
  </si>
  <si>
    <t>UL3JQ</t>
  </si>
  <si>
    <t>WOS:000692552000024</t>
  </si>
  <si>
    <t>Nielsen, SG; Bekaert, DV; Auro, M</t>
  </si>
  <si>
    <t>Nielsen, Sune G.; Bekaert, David V.; Auro, Maureen</t>
  </si>
  <si>
    <t>Isotopic evidence for the formation of the Moon in a canonical giant impact</t>
  </si>
  <si>
    <t>EARLY SOLAR-SYSTEM; CORE FORMATION; SILICON ISOTOPES; OXIDATION-STATE; EARLY HISTORY; EARTH; ORIGIN; PLANETARY; CONSTRAINTS; FRACTIONATION</t>
  </si>
  <si>
    <t>Isotopic measurements of lunar and terrestrial rocks have revealed that, unlike any other body in the solar system, the Moon is indistinguishable from the Earth for nearly every isotopic system. This observation, however, contradicts predictions by the standard model for the origin of the Moon, the canonical giant impact. Here we show that the vanadium isotopic composition of the Moon is offset from that of the bulk silicate Earth by 0.18 +/- 0.04 parts per thousand towards the chondritic value. This offset most likely results from isotope fractionation on proto-Earth during the main stage of terrestrial core formation (pre-giant impact), followed by a canonical giant impact where similar to 80% of the Moon originates from the impactor of chondritic composition. Our data refute the possibility of post-giant impact equilibration between the Earth and Moon, and implies that the impactor and proto-Earth mainly accreted from a common isotopic reservoir in the inner solar system.</t>
  </si>
  <si>
    <t>[Nielsen, Sune G.; Bekaert, David V.; Auro, Maureen] Woods Hole Oceanog Inst, NIRVANA Labs, Woods Hole, MA 02543 USA; [Nielsen, Sune G.] Woods Hole Oceanog Inst, Dept Geol &amp; Geophys, Woods Hole, MA 02543 USA</t>
  </si>
  <si>
    <t>Woods Hole Oceanographic Institution; Woods Hole Oceanographic Institution</t>
  </si>
  <si>
    <t>Nielsen, SG (corresponding author), Woods Hole Oceanog Inst, NIRVANA Labs, Woods Hole, MA 02543 USA.;Nielsen, SG (corresponding author), Woods Hole Oceanog Inst, Dept Geol &amp; Geophys, Woods Hole, MA 02543 USA.</t>
  </si>
  <si>
    <t>snielsen@whoi.edu</t>
  </si>
  <si>
    <t>Nielsen, Sune/0000-0002-0458-3739</t>
  </si>
  <si>
    <t>NASA Emerging Worlds grant [NNX16AD36G]; NSF; NASA; NASA [906726, NNX16AD36G] Funding Source: Federal RePORTER</t>
  </si>
  <si>
    <t>NASA Emerging Worlds grant; NSF(National Science Foundation (NSF)); NASA(National Aeronautics &amp; Space Administration (NASA)); NASA(National Aeronautics &amp; Space Administration (NASA))</t>
  </si>
  <si>
    <t>This study was funded by NASA Emerging Worlds grant NNX16AD36G to S.G.N. We thank NASA-JSC, Tony Irving, and Thorsten Kleine for access to meteorite and Apollo mission samples. US Antarctic meteorite samples are recovered by the Antarctic Search for Meteorites (ANSMET) program, which has been funded by NSF and NASA, and characterized and curated by the Astromaterials Curation Office at NASA Johnson Space Center and the Department of Mineral Sciences of the Smithsonian Institution. J. Blusztajn is thanked for help with mass spectrometry support at WHOI. We also thank Thorsten Kleine, Stephane Le Roux, Rainer Wieler, and Michael Broadley for helpful discussions.</t>
  </si>
  <si>
    <t>MAR 22</t>
  </si>
  <si>
    <t>10.1038/s41467-021-22155-7</t>
  </si>
  <si>
    <t>RF4CE</t>
  </si>
  <si>
    <t>WOS:000634786600006</t>
  </si>
  <si>
    <t>Derkani, MH; Alberello, A; Nelli, F; Bennetts, LG; Hessner, KG; MacHutchon, K; Reichert, K; Aouf, L; Khan, S; Toffoli, A</t>
  </si>
  <si>
    <t>Derkani, Marzieh H.; Alberello, Alberto; Nelli, Filippo; Bennetts, Luke G.; Hessner, Katrin G.; MacHutchon, Keith; Reichert, Konny; Aouf, Lotfi; Khan, Salman; Toffoli, Alessandro</t>
  </si>
  <si>
    <t>Wind, waves, and surface currents in the Southern Ocean: observations from the Antarctic Circumnavigation Expedition</t>
  </si>
  <si>
    <t>MARINE RADAR IMAGES; SEA-ICE; SPECTRA; RETRIEVAL; LAYER; WATER</t>
  </si>
  <si>
    <t>The Southern Ocean has a profound impact on the Earth's climate system. Its strong winds, intense currents, and fierce waves are critical components of the air-sea interface and contribute to absorbing, storing, and releasing heat, moisture, gases, and momentum. Owing to its remoteness and harsh environment, this region is significantly undersampled, hampering the validation of prediction models and large-scale observations from satellite sensors. Here, an unprecedented data set of simultaneous observations of winds, surface currents, and ocean waves is presented, to address the scarcity of in situ observations in the region - https://doi.org/10.26179/5ed0a30aaf764 (Alberello et al., 2020c) and https://doi.org/10.26179/5e9d038c396f2 (Derkani et al., 2020). Records were acquired underway during the Antarctic Circumnavigation Expedition (ACE), which went around the Southern Ocean from December 2016 to March 2017 (Austral summer). Observations were obtained with the wave and surface current monitoring system WaMoS-II, which scanned the ocean surface around the vessel using marine radars. Measurements were assessed for quality control and compared against available satellite observations. Tnhe data set is the most extensive and comprehensive collection of observations of surface processes for the Southern Ocean and is intended to underpin improvements of wave prediction models around Antarctica and research of air-sea interaction processes, including gas exchange and dynamics of sea spray aerosol particles. The data set has further potentials to support theoretical and numerical research on lower atmosphere, air-sea interface, and upper-ocean processes.</t>
  </si>
  <si>
    <t>[Derkani, Marzieh H.; Nelli, Filippo; Toffoli, Alessandro] Univ Melbourne, Dept Infrastruct Engn, Melbourne, Vic 3010, Australia; [Alberello, Alberto] Univ Turin, Dept Phys, I-10125 Turin, Italy; [Alberello, Alberto; Bennetts, Luke G.] Univ Adelaide, Sch Math Sci, Adelaide, SA 5005, Australia; [Hessner, Katrin G.] OceanWaveS GmbH, D-21339 Luneburg, Germany; [MacHutchon, Keith] Univ Cape Town, Dept Civil Engn, ZA-7701 Cape Town, South Africa; [Aouf, Lotfi] Meteo France, F-31100 Toulouse, France; [Khan, Salman] CSIRO, Oceans &amp; Atmosphere, Aspendale, Vic 3195, Australia</t>
  </si>
  <si>
    <t>University of Melbourne; Melbourne Bioinformatics; University of Turin; University of Adelaide; University of Cape Town; Commonwealth Scientific &amp; Industrial Research Organisation (CSIRO)</t>
  </si>
  <si>
    <t>Derkani, MH; Toffoli, A (corresponding author), Univ Melbourne, Dept Infrastruct Engn, Melbourne, Vic 3010, Australia.</t>
  </si>
  <si>
    <t>marzieh.h.derkani@gmail.com; toffoli.alessandro@gmail.com</t>
  </si>
  <si>
    <t>Khan, Salman Saeed/AAU-7135-2021; Bennetts, Luke/F-1623-2010</t>
  </si>
  <si>
    <t>Khan, Salman Saeed/0000-0001-6592-0068; H. Derkani, Marzieh/0000-0001-7989-2192; Toffoli, Alessandro/0000-0003-3112-6856; Bennetts, Luke/0000-0001-9386-7882; Aouf, Lotfi/0000-0002-0279-6773</t>
  </si>
  <si>
    <t>ACE Foundation; Ferring Pharmaceuticals [17]; CRC-P initiative of the Australian Government [CRC-P53991]; Australian Antarctic Program [AAS 4434]</t>
  </si>
  <si>
    <t>ACE Foundation; Ferring Pharmaceuticals(Ferring Pharmaceuticals); CRC-P initiative of the Australian Government; Australian Antarctic Program</t>
  </si>
  <si>
    <t>This research has been supported by the ACE Foundation and Ferring Pharmaceuticals (Project 17), the CRC-P initiative of the Australian Government (grant no. CRC-P53991), and the Australian Antarctic Program (grant no. AAS 4434).</t>
  </si>
  <si>
    <t>10.5194/essd-13-1189-2021</t>
  </si>
  <si>
    <t>RE4FQ</t>
  </si>
  <si>
    <t>Green Accepted, gold, Green Submitted</t>
  </si>
  <si>
    <t>WOS:000634112600001</t>
  </si>
  <si>
    <t>Ji, MK; Williams, TJ; Montgomery, K; Wong, HL; Zaugg, J; Berengut, JF; Bissett, A; Chuvochina, M; Hugenholtz, P; Ferrari, BC</t>
  </si>
  <si>
    <t>Ji, Mukan; Williams, Timothy J.; Montgomery, Kate; Wong, Hon Lun; Zaugg, Julian; Berengut, Jonathan F.; Bissett, Andrew; Chuvochina, Maria; Hugenholtz, Philip; Ferrari, Belinda C.</t>
  </si>
  <si>
    <t>Candidatus Eremiobacterota, a metabolically and phylogenetically diverse terrestrial phylum with acid-tolerant adaptations</t>
  </si>
  <si>
    <t>ISME JOURNAL</t>
  </si>
  <si>
    <t>16S RIBOSOMAL-RNA; IN-SITU HYBRIDIZATION; RUBISCO-LIKE PROTEINS; ESCHERICHIA-COLI; BACILLUS-SUBTILIS; SOIL; GENE; COMMUNITY; MEMBRANE; IDENTIFICATION</t>
  </si>
  <si>
    <t>Candidatus phylum Eremiobacterota (formerly WPS-2) is an as-yet-uncultured bacterial clade that takes its name from Ca. Eremiobacter, an Antarctic soil aerobe proposed to be capable of a novel form of chemolithoautotrophy termed atmospheric chemosynthesis, that uses the energy derived from atmospheric H-2-oxidation to fix CO2 through the Calvin-Benson-Bassham (CBB) cycle via type 1E RuBisCO. To elucidate the phylogenetic affiliation and metabolic capacities of Ca. Eremiobacterota, we analysed 63 public metagenome-assembled genomes (MAGs) and nine new MAGs generated from Antarctic soil metagenomes. These MAGs represent both recognized classes within Ca. Eremiobacterota, namely Ca. Eremiobacteria and UBP9. Ca. Eremiobacteria are inferred to be facultatively acidophilic with a preference for peptides and amino acids as nutrient sources. Epifluorescence microscopy revealed Ca. Eremiobacteria cells from Antarctica desert soil to be coccoid in shape. Two orders are recognized within class Ca. Eremiobacteria: Ca. Eremiobacterales and Ca. Baltobacterales. The latter are metabolically versatile, with individual members having genes required for trace gas driven autotrophy, anoxygenic photosynthesis, CO oxidation, and anaerobic respiration. UBP9, here renamed Ca. Xenobia class. nov., are inferred to be obligate heterotrophs with acidophilic adaptations, but individual members having highly divergent metabolic capacities compared to Ca. Eremiobacteria, especially with regard to respiration and central carbon metabolism. We conclude Ca. Eremiobacterota to be an ecologically versatile phylum with the potential to thrive under an array of extreme environmental conditions.</t>
  </si>
  <si>
    <t>[Ji, Mukan; Williams, Timothy J.; Montgomery, Kate; Wong, Hon Lun; Ferrari, Belinda C.] UNSW Sydney, Sch Biotechnol &amp; Biomol Sci, Randwick, NSW, Australia; [Zaugg, Julian; Chuvochina, Maria; Hugenholtz, Philip] Univ Queensland, Australian Ctr Ecogen, Sch Chem &amp; Mol Biosci, St Lucia, Qld, Australia; [Berengut, Jonathan F.] UNSW Sydney, Sch Med Sci, EMBL Australia Node Single Mol Sci, Kensington, NSW, Australia; [Bissett, Andrew] CSIRO, Oceans &amp; Atmosphere, Hobart, Tas, Australia; [Ji, Mukan] Chinese Acad Sci, Inst Tibetan Plateau Res, Key Lab Alpine Ecol, Beijing, Peoples R China</t>
  </si>
  <si>
    <t>University of New South Wales Sydney; University of Queensland; University of New South Wales Sydney; Commonwealth Scientific &amp; Industrial Research Organisation (CSIRO); Chinese Academy of Sciences; Institute of Tibetan Plateau Research, CAS</t>
  </si>
  <si>
    <t>Ferrari, BC (corresponding author), UNSW Sydney, Sch Biotechnol &amp; Biomol Sci, Randwick, NSW, Australia.</t>
  </si>
  <si>
    <t>b.ferrari@unsw.edu.au</t>
  </si>
  <si>
    <t>Ji, Mukan/GXV-2104-2022; Bissett, Andrew/AFR-3887-2022; Hugenholtz, Philip/AAD-9138-2019; Ferrari, Belinda/AAI-3022-2020; Wong, Alan/ABH-7986-2020; Chuvochina, Maria/CAJ-3178-2022</t>
  </si>
  <si>
    <t>Bissett, Andrew/0000-0001-7396-1484; Hugenholtz, Philip/0000-0001-5386-7925; Ferrari, Belinda/0000-0001-5043-3726; Wong, Alan/0000-0002-3801-0410; Chuvochina, Maria/0000-0002-3977-6012; Williams, Timothy/0000-0002-2738-3019; Zaugg, Julian/0000-0002-4919-1448</t>
  </si>
  <si>
    <t>Australian Research Council Future Fellowship [FT170100341]; Australian Antarctic Science project Grant [4406]; Australian Research Council [FT170100341] Funding Source: Australian Research Council</t>
  </si>
  <si>
    <t>Australian Research Council Future Fellowship(Australian Research Council); Australian Antarctic Science project Grant; Australian Research Council(Australian Research Council)</t>
  </si>
  <si>
    <t>This research was funded through an Australian Research Council Future Fellowship (FT170100341) and an Australian Antarctic Science project Grant (4406), both awarded to BCF. Thank you to the Australian Antarctic Program expedition teams between 2005 and 2019 for sampling of the Antarctic soils used in this study. We also thank B. Creisler for assistance with etymologies of genus and species names.</t>
  </si>
  <si>
    <t>1751-7362</t>
  </si>
  <si>
    <t>1751-7370</t>
  </si>
  <si>
    <t>ISME J</t>
  </si>
  <si>
    <t>ISME J.</t>
  </si>
  <si>
    <t>10.1038/s41396-021-00944-8</t>
  </si>
  <si>
    <t>Ecology; Microbiology</t>
  </si>
  <si>
    <t>Environmental Sciences &amp; Ecology; Microbiology</t>
  </si>
  <si>
    <t>UJ0XY</t>
  </si>
  <si>
    <t>WOS:000631484000001</t>
  </si>
  <si>
    <t>Nicholls, RJ; Hanson, SE; Lowe, JA; Slangen, ABA; Wahl, T; Hinkel, J; Long, AJ</t>
  </si>
  <si>
    <t>Nicholls, Robert J.; Hanson, Susan E.; Lowe, Jason A.; Slangen, Aimee B. A.; Wahl, Thomas; Hinkel, Jochen; Long, Antony J.</t>
  </si>
  <si>
    <t>Integrating new sea-level scenarios into coastal risk and adaptation assessments: An ongoing process</t>
  </si>
  <si>
    <t>WILEY INTERDISCIPLINARY REVIEWS-CLIMATE CHANGE</t>
  </si>
  <si>
    <t>adaptation; coastal planning; sea‐ level rise; sea‐ level scenarios</t>
  </si>
  <si>
    <t>YORK-CITY PANEL</t>
  </si>
  <si>
    <t>The release of new and updated sea-level rise (SLR) information, such as from the Intergovernmental Panel on Climate Change (IPCC) Assessment Reports, needs to be better anticipated in coastal risk and adaptation assessments. This requires risk and adaptation assessments to be regularly reviewed and updated as needed, reflecting the new information but retaining useful information from earlier assessments. In this paper, updated guidance on the types of SLR information available is presented, including for sea-level extremes. An intercomparison of the evolution of the headline projected ranges across all the IPCC reports show an increase from the fourth and fifth assessments to the most recent Special Report on the Ocean and Cryosphere in a Changing Climate assessment. IPCC reports have begun to highlight the importance of potential high-end sea-level response, mainly reflecting uncertainties in the Greenland/Antarctic ice sheet components, and how this might be considered in scenarios. The methods that are developed here are practical and consider coastal risk assessment, adaptation planning, and long-term decision-making to be an ongoing process and ensure that despite the large uncertainties, pragmatic adaptation decisions can be made. It is concluded that new sea-level information should not be seen as an automatic reason for abandoning existing assessments, but as an opportunity to review (i) the assessment's robustness in the light of new science and (ii) the utility of proactive adaptation and planning strategies, especially over the more uncertain longer term. This article is categorized under: Assessing Impacts of Climate Change &gt; Scenario Development and Application</t>
  </si>
  <si>
    <t>[Nicholls, Robert J.] Univ East Anglia, Tyndall Ctr Climate Change Res, Norwich NR4 7TJ, Norfolk, England; [Hanson, Susan E.] Univ Southampton, Sch Engn, Southampton, Hants, England; [Lowe, Jason A.] Univ Reading, Met Off, Hadley Ctr Reading, Reading, Berks, England; [Lowe, Jason A.] Univ Leeds, Priestley Int Ctr Climate, Leeds, W Yorkshire, England; [Slangen, Aimee B. A.] Univ Utrecht, NIOZ Royal Netherlands Inst Sea Res, Dept Estuarine &amp; Delta Syst, Yerseke, Netherlands; [Wahl, Thomas] Univ Cent Florida, Civil Environm &amp; Construct Engn, Orlando, FL 32816 USA; [Wahl, Thomas] Univ Cent Florida, Natl Ctr Integrated Coastal Res, Orlando, FL 32816 USA; [Hinkel, Jochen] Humboldt Univ, Albrecht Daniel Thaer Inst, Global Climate Forum GCF, Berlin, Germany; [Hinkel, Jochen] Humboldt Univ, Albrecht Daniel Thaer Inst, Div Resource Econ, Berlin, Germany; [Hinkel, Jochen] Humboldt Univ, Berlin Workshop Inst Anal Social Ecol Syst WINS, Berlin, Germany; [Long, Antony J.] Univ Durham, Dept Geog, Durham, England</t>
  </si>
  <si>
    <t>University of East Anglia; University of Southampton; University of Reading; Met Office - UK; University of Leeds; Utrecht University; Royal Netherlands Institute for Sea Research (NIOZ); State University System of Florida; University of Central Florida; State University System of Florida; University of Central Florida; Humboldt University of Berlin; Humboldt University of Berlin; Humboldt University of Berlin; Durham University</t>
  </si>
  <si>
    <t>Nicholls, RJ (corresponding author), Univ East Anglia, Tyndall Ctr Climate Change Res, Norwich NR4 7TJ, Norfolk, England.</t>
  </si>
  <si>
    <t>robert.nicholls@uea.ac.uk</t>
  </si>
  <si>
    <t>Lowe, Jason/GQI-4036-2022; Nicholls, Robert James/G-3898-2010; Wahl, Thomas/ABE-6405-2020; Nicholls, Robert James/ABD-1481-2020; Slangen, Aimee/H-5839-2015</t>
  </si>
  <si>
    <t>Nicholls, Robert James/0000-0002-9715-1109; Nicholls, Robert James/0000-0002-9715-1109; Lowe, Jason/0000-0002-8201-3926; Hinkel, Jochen/0000-0001-7590-992X; Long, Antony/0000-0002-7605-1205; Slangen, Aimee/0000-0001-6268-6683; Hanson, Susan/0000-0002-2198-1595</t>
  </si>
  <si>
    <t>PROTECT project [869304]; National Science Foundation (NSF) [1929382, 1854896]; National Aeronautics and Space Administration (NASA) [80NSSC18K0743]; German Federal Ministry of Education and Research; European Union [776479]; UK DECC/Defra Met Office Hadley Centre Climate Programme [GA01101]; INSEAPTION [01LS1703A]; ISIPEDIA [01LS1711C]; Div Atmospheric &amp; Geospace Sciences; Directorate For Geosciences [1929382] Funding Source: National Science Foundation</t>
  </si>
  <si>
    <t>PROTECT project; National Science Foundation (NSF)(National Science Foundation (NSF)); National Aeronautics and Space Administration (NASA)(National Aeronautics &amp; Space Administration (NASA)); German Federal Ministry of Education and Research(Federal Ministry of Education &amp; Research (BMBF)); European Union(European Union (EU)); UK DECC/Defra Met Office Hadley Centre Climate Programme; INSEAPTION; ISIPEDIA; Div Atmospheric &amp; Geospace Sciences; Directorate For Geosciences(National Science Foundation (NSF)NSF - Directorate for Geosciences (GEO))</t>
  </si>
  <si>
    <t>PROTECT project, Grant/Award Number: 869304; National Science Foundation (NSF), Grant/Award Numbers: 1929382, 1854896; National Aeronautics and Space Administration (NASA), Grant/Award Number: 80NSSC18K0743; INSEAPTION, Grant/Award Number: 01LS1703A; ISIPEDIA, Grant/Award Number: 01LS1711C; German Federal Ministry of Education and Research; European Union's Horizon 2020, Grant/Award Number: 776479; UK DECC/Defra Met Office Hadley Centre Climate Programme, Grant/Award Number: GA01101</t>
  </si>
  <si>
    <t>1757-7780</t>
  </si>
  <si>
    <t>1757-7799</t>
  </si>
  <si>
    <t>WIRES CLIM CHANGE</t>
  </si>
  <si>
    <t>Wiley Interdiscip. Rev.-Clim. Chang.</t>
  </si>
  <si>
    <t>e706</t>
  </si>
  <si>
    <t>10.1002/wcc.706</t>
  </si>
  <si>
    <t>Environmental Studies; Meteorology &amp; Atmospheric Sciences</t>
  </si>
  <si>
    <t>RT0IC</t>
  </si>
  <si>
    <t>WOS:000631274300001</t>
  </si>
  <si>
    <t>Córdova, C; Garrido-Ruiz, C; Machuca, A; Zagal, E; Orrego, R; Finot, V</t>
  </si>
  <si>
    <t>Cordova, Carolin; Garrido-Ruiz, Claudia; Machuca, Angela; Zagal, Erick; Orrego, Raul; Finot, Victor</t>
  </si>
  <si>
    <t>Carbon dioxide emissions at local scale linked to soil heterotrophic activity from an experimentally simulated drained peatland in Western Patagonia (Tierra del Fuego, Chile)</t>
  </si>
  <si>
    <t>SOIL USE AND MANAGEMENT</t>
  </si>
  <si>
    <t>bogs; climate change; land-use change; soil microbial respiration; sub-antarctic ecosystems</t>
  </si>
  <si>
    <t>ORGANIC-MATTER DECOMPOSITION; TEMPERATURE SENSITIVITY; MICROBIAL ACTIVITY; MANAGED PEATLANDS; CO2 EFFLUX; RESPIRATION; NITROGEN; ECOSYSTEMS; DEPENDENCE; PATTERNS</t>
  </si>
  <si>
    <t>Greenhouse gas emissions from managed peatlands have not been extensively studied in Western Patagonia. The objective of this study was to assess the annual CO2 emission from microbial carbon (C) mineralization in a peatland site under not saturated conditions at Tierra del Fuego. The annual CO2 emissions were measured from unsaturated soil samples (n = 41) under soil incubation at seasonal local temperatures to simulate CO2 emissions for a year, using a non-dispersive infrared gas analyser. Spatial models for total soil C and CO2 were calculated using discrete and continuous variables. The annual mean of measured cumulative CO2 was 1,358 mu g CO2 g soil(-1), lower than Northern peatlands, and 82% of the C mineralization occurred in the warmer season. The modelled CO2 in the warmer season showed levels of CO2 as high as 4 mg CO2 g soil(-1), but 66% of the area showed between 600-2000 mu g CO2 g soil(-1), which is 28%-92% and 9%-32% of CO2 values reported for crop rotations. Consequently, after a potential habilitation of the study area for agricultural use, the soil CO2 emissions from heterotrophic activity would become a C source to the global CO2 emissions. This ecosystem is highly exposed to the effects of the land-use change, and global temperature increase.</t>
  </si>
  <si>
    <t>[Cordova, Carolin; Garrido-Ruiz, Claudia; Zagal, Erick] Univ Concepcion, Fac Agron, Dept Suelos &amp; Recursos Nat, Chillan, Chile; [Machuca, Angela] Univ Concepcion, Dept Ciencias &amp; Tecnol Vegetal, Los Angeles, Chile; [Orrego, Raul] INIA Quilamapu, Inst Invest Agr, Chillan, Chile; [Finot, Victor] Univ Concepcion, Fac Agron, Dept Prod Anim, Chillan, Chile</t>
  </si>
  <si>
    <t>Universidad de Concepcion; Universidad de Concepcion; Universidad de Concepcion</t>
  </si>
  <si>
    <t>Córdova, C (corresponding author), Univ Aysen, Lab Fisiol Vegetal Aplicada, Obispo Vielmo 62, Coyhaique, Chile.</t>
  </si>
  <si>
    <t>carolin.cordova@gmail.com</t>
  </si>
  <si>
    <t>Zagal, Erick/C-1460-2012; Cordova, Carolin/AAS-3365-2021</t>
  </si>
  <si>
    <t>Cordova, Carolin/0000-0003-3726-2023; Zagal, Erick/0000-0003-3900-9769</t>
  </si>
  <si>
    <t>Comision Nacional de Investigacion Cientifica y Tecnologica [FONDECYT 1140441]</t>
  </si>
  <si>
    <t>Comision Nacional de Investigacion Cientifica y Tecnologica</t>
  </si>
  <si>
    <t>Comision Nacional de Investigacion Cientifica y Tecnologica, Grant/Award Number: FONDECYT 1140441</t>
  </si>
  <si>
    <t>0266-0032</t>
  </si>
  <si>
    <t>1475-2743</t>
  </si>
  <si>
    <t>SOIL USE MANAGE</t>
  </si>
  <si>
    <t>Soil Use Manage.</t>
  </si>
  <si>
    <t>10.1111/sum.12708</t>
  </si>
  <si>
    <t>YO2HV</t>
  </si>
  <si>
    <t>WOS:000631124000001</t>
  </si>
  <si>
    <t>Yoshida, K; Seger, A; Corkill, M; Heil, P; Karsh, K; McMinn, A; Suzuki, K</t>
  </si>
  <si>
    <t>Yoshida, Kazuhiro; Seger, Andreas; Corkill, Matthew; Heil, Petra; Karsh, Kristen; McMinn, Andrew; Suzuki, Koji</t>
  </si>
  <si>
    <t>Low Fe Availability for Photosynthesis of Sea-Ice Algae: Ex situ Incubation of the Ice Diatom Fragilariopsis cylindrus in Low-Fe Sea Ice Using an Ice Tank</t>
  </si>
  <si>
    <t>sea-ice diatom; pack ice; iron limitation; ice-edge bloom; Southern Ocean; chlorophyll a fluorescence; gene expression; photoprotection</t>
  </si>
  <si>
    <t>IRON-LIGHT INTERACTIONS; DISSOLVED IRON; PHOTOSYSTEM-II; OCEAN ACIDIFICATION; PHYTOPLANKTON PHOTOSYNTHESIS; PRIMARY PRODUCTIVITY; COMMUNITY STRUCTURE; ELECTRON-TRANSPORT; CARBON FIXATION; GENE-EXPRESSION</t>
  </si>
  <si>
    <t>Sea-ice algae play a crucial role in the ecology and biogeochemistry of sea-ice zones. They not only comprise the base of sea-ice ecosystems, but also seed populations of extensive ice-edge blooms during ice melt. Ice algae must rapidly acclimate to dynamic light environments, from the low light under sea ice to high light within open waters. Recently, iron (Fe) deficiency has been reported for diatoms in eastern Antarctic pack ice. Low Fe availability reduces photosynthetic plasticity, leading to reduced ice-algal primary production. We developed a low-Fe ice tank to manipulate Fe availability in sea ice. Over 20 days in the ice tank, the Antarctic ice diatom Fragilariopsis cylindrus was incubated in artificial low-Fe sea ice ([total Fe] = 20 nM) in high light (HL) and low light (LL) conditions. Melted ice was also exposed to intense light to simulate light conditions typical for melting ice in situ. When diatoms were frozen in, the maximum photochemical quantum efficiency of photosystem II (PSII), F-v/F-m, was suppressed by freezing stress. However, the diatoms maintained photosynthetic capability throughout the ice periods with a stable F-v/F-m value and increased photoprotection through non-photochemical quenching (NPQ) via photoprotective xanthophyll cycling (XC) and increased photoprotective carotenoid levels compared to pre-freeze-up. Photoprotection was more pronounced in the HL treatment due to greater light stress. However, the functional absorption cross section of PSII, sigma(PSII), in F. cylindrus consistently increased after freezing, especially in the LL treatment (sigma(PSII) &gt; 10 nm(2) PSII-1). Our study is the first to report such a large sigma(PSII) in ice diatoms at low Fe conditions. When the melted sea ice was exposed to high light, F-v/F-m was suppressed. NPQ and XC were slightly upregulated, but not to values normally observed when Fe is not limiting, which indicates reduced photosynthetic flexibility to adapt to environmental changes during ice melt under low Fe conditions. Although ice algae can optimize their photosynthesis to sea-ice environments, chronic Fe starvation led to less flexibility of photoacclimation, particularly in low light conditions. This may have detrimental consequences for ice algal production and trophic interactions in sea-ice ecosystems if the recent reduction in sea-ice extent continues.</t>
  </si>
  <si>
    <t>[Yoshida, Kazuhiro; Suzuki, Koji] Hokkaido Univ, Grad Sch Environm Sci, Sapporo, Hokkaido, Japan; [Yoshida, Kazuhiro; Seger, Andreas; Corkill, Matthew; McMinn, Andrew] Univ Tasmania, Inst Marine &amp; Antarctic Studies, Battery Point, Tas, Australia; [Corkill, Matthew; Heil, Petra; Karsh, Kristen; McMinn, Andrew] Univ Tasmania, Antarctic Climate &amp; Ecosyst Cooperat Res Ctr, Battery Point, Tas, Australia; [Heil, Petra] Univ Tasmania, Australian Antarctic Programme Partnership, Battery Point, Tas, Australia; [Heil, Petra] Australian Antarctic Div, Kingston, Tas, Australia; [Suzuki, Koji] Hokkaido Univ, Fac Environm Earth Sci, Sapporo, Hokkaido, Japan; [Yoshida, Kazuhiro] Saga Univ, Grad Sch Agr, Saga, Japan</t>
  </si>
  <si>
    <t>Hokkaido University; University of Tasmania; Antarctic Climate &amp; Ecosystems Cooperative Research Centre (ACE CRC); University of Tasmania; University of Tasmania; Australian Antarctic Division; Hokkaido University; Saga University</t>
  </si>
  <si>
    <t>Yoshida, K; Suzuki, K (corresponding author), Hokkaido Univ, Grad Sch Environm Sci, Sapporo, Hokkaido, Japan.;Yoshida, K; McMinn, A (corresponding author), Univ Tasmania, Inst Marine &amp; Antarctic Studies, Battery Point, Tas, Australia.;McMinn, A (corresponding author), Univ Tasmania, Antarctic Climate &amp; Ecosyst Cooperat Res Ctr, Battery Point, Tas, Australia.;Suzuki, K (corresponding author), Hokkaido Univ, Fac Environm Earth Sci, Sapporo, Hokkaido, Japan.;Yoshida, K (corresponding author), Saga Univ, Grad Sch Agr, Saga, Japan.</t>
  </si>
  <si>
    <t>sv8269@cc.saga-u.ac.jp; Andrew.McMinn@utas.edu.au; kojis@ees.hokudai.ac.jp</t>
  </si>
  <si>
    <t>Seger, Andreas/AAH-4093-2019; Suzuki, Koji/A-4349-2013; McMinn, Andrew/A-9910-2008; Yoshida, Kazuhiro/AAG-8324-2021; Suzuki, Koji/GVS-9807-2022; Yoshida, Kazuhiro/AFT-5503-2022; Suzuki, Koji/AAD-2630-2022</t>
  </si>
  <si>
    <t>Seger, Andreas/0000-0001-7018-0455; Suzuki, Koji/0000-0001-5354-1044; Yoshida, Kazuhiro/0000-0001-5768-8561; Suzuki, Koji/0000-0001-5354-1044; Yoshida, Kazuhiro/0000-0001-5768-8561;</t>
  </si>
  <si>
    <t>Australian Antarctic Programme [AAS4319]; Australian Research Council's Special Research Initiative for Antarctic Gateway Partnership [SR140300001, AAS4506]; JSPS [JP18H03352, JP17H00775]</t>
  </si>
  <si>
    <t>Australian Antarctic Programme; Australian Research Council's Special Research Initiative for Antarctic Gateway Partnership(Australian Research Council); JSPS(Ministry of Education, Culture, Sports, Science and Technology, Japan (MEXT)Japan Society for the Promotion of Science)</t>
  </si>
  <si>
    <t>This study was supported by the Australian Antarctic Programme (AAS4319) . The Fragilariopsis cylindrus collection was supported under the Australian Research Council's Special Research Initiative for Antarctic Gateway Partnership (Project ID SR140300001) . The structural analysis was supported by AAS4506. This study was also partly supported by the JSPS GrantsinAid for Scientific Research (JP18H03352 and JP17H00775) .</t>
  </si>
  <si>
    <t>10.3389/fmars.2021.632087</t>
  </si>
  <si>
    <t>RG4BE</t>
  </si>
  <si>
    <t>WOS:000635485200001</t>
  </si>
  <si>
    <t>Jiménez, VC; Monferran, MD; Sperança, MA; Castro, JP; Catelani, TA; Pellerano, RG; Perino, E; Pereira, ER; Cabaleri, NG; Gallego, OF</t>
  </si>
  <si>
    <t>Jimenez, Victoria C.; Monferran, Mateo D.; Speranca, Marco A.; Castro, Jeyne P.; Catelani, Tiago A.; Pellerano, Roberto G.; Perino, Ernesto; Pereira-Filho, Edenir R.; Cabaleri, Nora G.; Gallego, Oscar F.</t>
  </si>
  <si>
    <t>Combination of analytic techniques to chemical characterization and preservation of Jurassic clam shrimp carapaces from La Matilde Formation, Patagonia</t>
  </si>
  <si>
    <t>LIBS; RAMAN; X-ray fluorescence; Fossil clam shrimp; Principal component analysis; Chemical composition</t>
  </si>
  <si>
    <t>INDUCED BREAKDOWN SPECTROSCOPY; RAMAN-SPECTROSCOPY; ANTARCTIC PENINSULA; ORGANIC-MATTER; SANTA-CRUZ; SPINICAUDATANS; TAPHONOMY; LIBS; CONCHOSTRACANS; MORPHOLOGY</t>
  </si>
  <si>
    <t>Chemical studies of fossil clam shrimps have taken relevance in the possibility of inferring about fossilization processes. Laser-induced Breakdown Spectroscopy (LIBS) is an attractive technique for geological analyses because the laser can ablate a few micrograms directly from a small area on the solid sample. On the other hand, RAMAN spectroscopy is a technique that allows rapid and non-destructive in situ detection of the components of the samples and has been used in micropalaeontology to identify carbonaceous materials. In this study, the aim was an analysis of the preservation of the clam shrimp Eosolimnadiopsis? santacrucensis Gallego, 1994 from La Matilde Formation (Jurassic) using diverse methods including LIBS, RAMAN and X-ray fluorescence (XRF) techniques as well as surrounding rock. Afterwards LIBS results were evaluated using principal component analysis (PCA). According to XRF data, Si was the main element, indicating that the rock sample consists primarily of silicate minerals. Our results of LIBS and PCA analysis indicate chemical changes between the points from carapaces and rock matrix. Some areas of the carapace showed high peaks of Ca, Na, Mg and it was variable for Si, while in other parts of the carapace and rock matrix the Si remained at high intensity. Also, RAMAN spectroscopic analysis revealed the presence of amorphous carbon. This is the first report and evaluation on the LIBS and RAMAN techniques applied to fossil clam shrimps and contributes to obtaining a range of additional information to subsequently establish the different mechanisms involved in the taphonomic history of these organisms.</t>
  </si>
  <si>
    <t>[Jimenez, Victoria C.; Monferran, Mateo D.; Gallego, Oscar F.] Univ Nacl Nordeste, Ctr Ecol Aplicada Litoral CECOAL CONICET UNNE, RA-3400 Corrientes, Argentina; [Jimenez, Victoria C.; Monferran, Mateo D.; Gallego, Oscar F.] Univ Nacl Nordeste, Dept Biol, FaCENA, RA-3400 Corrientes, Argentina; [Speranca, Marco A.; Castro, Jeyne P.; Catelani, Tiago A.; Pereira-Filho, Edenir R.] Univ Fed Sao Carlos, Dept Chem, BR-13565905 Sao Paulo, Brazil; [Pellerano, Roberto G.] Univ Nacl Nordeste, Inst Quim Basica &amp; Aplicada Nordeste Argentino IQ, FaCENA, RA-3400 Corrientes, Argentina; [Perino, Ernesto] Univ Nacl San Luis, Inst Quim San Luis CONICET, Area Quim Analit, BWS, Chacabuco &amp; Pedernera,D5700, San Luis, Argentina; [Cabaleri, Nora G.] Univ Buenos Aires, Inst Geocronol &amp; Geol Isotop INGEIS CONICET, Ciudad Univ,C1428EHA, Buenos Aires, DF, Argentina</t>
  </si>
  <si>
    <t>Universidade Federal de Sao Carlos; Universidad Nacional de San Luis; University of Buenos Aires</t>
  </si>
  <si>
    <t>Monferran, MD (corresponding author), Univ Nacl Nordeste, Ctr Ecol Aplicada Litoral CECOAL CONICET UNNE, RA-3400 Corrientes, Argentina.;Monferran, MD (corresponding author), Univ Nacl Nordeste, Dept Biol, FaCENA, RA-3400 Corrientes, Argentina.</t>
  </si>
  <si>
    <t>victoriajimenez70@yahoo.com.ar; monfdm@gmail.com; marcosperanca@gmail.com; jeyne.castro@hotmail.com; catelaniat@gmail.com; gpellera@gmail.com; perinoernesto@gmail.com; erpf@ufscar.br; cabaleri@ingeis.uba.ar; ofgallego@live.com.ar</t>
  </si>
  <si>
    <t>Pereira-Filho, Edenir/F-5789-2010; Pereira Filho, Edenir/E-2283-2012; Castro Castilho, Jeyne Pricylla/G-6898-2016; Speranca, Marco/N-9737-2016</t>
  </si>
  <si>
    <t>Pereira Filho, Edenir/0000-0003-0608-0278; Gallego, Oscar/0000-0002-5460-6476; Castro Castilho, Jeyne Pricylla/0000-0002-2726-2479; Speranca, Marco/0000-0001-7138-9082; Pellerano, Roberto/0000-0002-4534-6668; Monferran, Mateo/0000-0003-4359-7495</t>
  </si>
  <si>
    <t>Consejo Nacional de Investigaciones Cientificas y Tecnicas (CONICET-Argentina) [PIP-112/201001/00034, PIP-11220150100117CO]; Sao Paulo Research Foundation (FAPESP) [2012/01769-3, 2012/50827-6, 2014/22408-4, 2016/01513-0, 2016/17221-8]; Conselho Nacional de Desenvolvimento Cientifico e Tecnologico (CNPq) [150517/2017-0, 401074/2014-5, 305637/2015-0]; Instituto de Quimica de San Luis (INQUISAL); Secretaria General de Ciencia y Tecnica de la Universidad Nacional del Nordeste, Corrientes, Argentina Invertebrados continentales del TriasicoJurasico de la Argentina: diversidad, evolucion y contexto paleoambiental [PI 2014 Q006, PI-18Q005]; Ministerio de Economia y Competitividad, Gobierno de Espana, Las Hoyas (Cretacico Inferior) : comunidades microbianas, diversidad y dinamica paleoecologica en el contexto de un sistema regional de humedales [CGL 2013-42643-P]</t>
  </si>
  <si>
    <t>Consejo Nacional de Investigaciones Cientificas y Tecnicas (CONICET-Argentina)(Consejo Nacional de Investigaciones Cientificas y Tecnicas (CONICET)); Sao Paulo Research Foundation (FAPESP)(Fundacao de Amparo a Pesquisa do Estado de Sao Paulo (FAPESP)); Conselho Nacional de Desenvolvimento Cientifico e Tecnologico (CNPq)(Conselho Nacional de Desenvolvimento Cientifico e Tecnologico (CNPQ)); Instituto de Quimica de San Luis (INQUISAL); Secretaria General de Ciencia y Tecnica de la Universidad Nacional del Nordeste, Corrientes, Argentina Invertebrados continentales del TriasicoJurasico de la Argentina: diversidad, evolucion y contexto paleoambiental; Ministerio de Economia y Competitividad, Gobierno de Espana, Las Hoyas (Cretacico Inferior) : comunidades microbianas, diversidad y dinamica paleoecologica en el contexto de un sistema regional de humedales</t>
  </si>
  <si>
    <t>This research was supported by grants PIP-112/201001/00034 and PIP-11220150100117CO from Consejo Nacional de Investigaciones Cientificas y Tecnicas (CONICETArgentina) , Estudio comparativo de la evolucion tectonosedimentaria, paleoambiental y paleontologica de los sistemas lacustres del Mesozoico y Cenozoico de Chubut extraandino y Cuenca Neuquina to NGC. The authors are also grateful to Sao Paulo Research Foundation (FAPESP, grants 2012/01769-3, 2012/50827-6, 2014/22408-4, 2016/01513-0 and 2016/17221-8) , Conselho Nacional de Desenvolvimento Cientifico e Tecnologico (CNPq, 150517/2017-0, 401074/2014-5 and 305637/2015-0) and Instituto de Quimica de San Luis (INQUISAL) . Also, this work was supported by projects PI 2014 Q006 and PI-18Q005 both from the Secretaria General de Ciencia y Tecnica de la Universidad Nacional del Nordeste, Corrientes, Argentina Invertebrados continentales del TriasicoJurasico de la Argentina: diversidad, evolucion y contexto paleoambiental (to OFG) , Project CGL 2013-42643-P from Ministerio de Economia y Competitividad, Gobierno de Espana, Las Hoyas (Cretacico Inferior) : comunidades microbianas, diversidad y dinamica paleoecologica en el contexto de un sistema regional de humedales (to Angela D. Buscalioni, Universidad Autonoma de Madrid) .) . Thanks to technicians of the SEM survey from the Universidad Autonoma de Madrid and the Museo Nacional de Ciencias Naturales (Madrid, Spain) . Thanks to Dr. Bioq. Guillermo J. Copello (IQUIMEFA - CONICET) for his help in identifying the Raman spectra. Thanks to G. Giordanego for the digital graphs. Special thanks to two anonymous reviewers of the journal and also to the editor, that their suggestions and comments improve the final version of this manuscript.</t>
  </si>
  <si>
    <t>10.1016/j.jsames.2021.103269</t>
  </si>
  <si>
    <t>TE8CU</t>
  </si>
  <si>
    <t>WOS:000670234800003</t>
  </si>
  <si>
    <t>Rollin, M; Coulaud, R; Rocher, B; Duflot, A; Poret, A; Le Foll, F; Xuereb, B</t>
  </si>
  <si>
    <t>Rollin, Marc; Coulaud, Romain; Rocher, Beatrice; Duflot, Aurelie; Poret, Agnes; Le Foll, Frank; Xuereb, Benoit</t>
  </si>
  <si>
    <t>N-acetyl-β-D-glucosaminidase activity in Palaemon serratus - Methodological optimisation and intrinsic variability</t>
  </si>
  <si>
    <t>COMPARATIVE BIOCHEMISTRY AND PHYSIOLOGY A-MOLECULAR &amp; INTEGRATIVE PHYSIOLOGY</t>
  </si>
  <si>
    <t>Crustaceans; Moult cycle; N-acetyl-beta-D-glucosaminidase; Palaemon</t>
  </si>
  <si>
    <t>CHITOBIASE ACTIVITY; FIDDLER-CRAB; CHITINOLYTIC ENZYMES; EUPHAUSIA-SUPERBA; ANTARCTIC KRILL; DAPHNIA-MAGNA; MOLT CYCLE; HEPATOPANCREAS; INTEGUMENT; CRUSTACEAN</t>
  </si>
  <si>
    <t>Chitinolytic enzymes fulfil a key role in the moulting process of crustaceans, in degrading the endocuticle during apolysis. Measuring the enzyme activity is an interesting manner to monitor the moult process at sub-individual level, complementary to the classical observation of the integument morphogenesis, ecdysis success, or moult cycle duration. The present study aimed to optimise the methodology of using N-acetyl-beta-D-glucosaminidase (NAGase) activity to monitor moulting in the marine prawn Palaemon serratus, and to compare NAGase activity levels along the moult cycle of both male and female specimens. First, to optimise protocols for five different organs, different reaction medium compositions were tested, considering the type buffer, concentration of the substrate, and the load in enzymatic extract. Second, levels of NAGase activity were closely monitored during eight moulting stages in male prawns. Variations in NAGase activity were observed during the moult cycle, with an increase in activity in the late premoult phase of approximately 2.4-fold the level of the intermoult phase. This response profile was observed for each tested organ. The levels of NAGase activity of male and female specimens were compared during three stages of the premoult phase. The patterns observed for both sexes were similar for all the tested organs.</t>
  </si>
  <si>
    <t>[Rollin, Marc; Coulaud, Romain; Rocher, Beatrice; Duflot, Aurelie; Poret, Agnes; Le Foll, Frank; Xuereb, Benoit] Le Havre Normandie Univ ULHN, FR CNRS SCALE 3730, UMR INERIS Environm Stresses &amp; Biomonitoring Aqua, 25 Rue Philippe Le Bon, F-76600 Le Havre, France</t>
  </si>
  <si>
    <t>Universite Le Havre Normandie</t>
  </si>
  <si>
    <t>Xuereb, B (corresponding author), Le Havre Normandie Univ ULHN, FR CNRS SCALE 3730, UMR INERIS Environm Stresses &amp; Biomonitoring Aqua, 25 Rue Philippe Le Bon, F-76600 Le Havre, France.</t>
  </si>
  <si>
    <t>benoit.xuereb@univ-lehavre.fr</t>
  </si>
  <si>
    <t>Research Federation Sciences Applied to the Environment (FR SCALE) [CNRS 3730]; Normandie Region; European Maritime and Fisheries Fund [28]</t>
  </si>
  <si>
    <t>Research Federation Sciences Applied to the Environment (FR SCALE); Normandie Region(Region Normandie); European Maritime and Fisheries Fund</t>
  </si>
  <si>
    <t>This study was supported by the Research Federation CNRS 3730 Sciences Applied to the Environment (FR SCALE), the Normandie Region and the European Maritime and Fisheries Fund (action 28 Partnerships between scientists and fishermen; GeDuBouq project). This study benefitted from the French GDR Aquatic Ecotoxciology framework which aims at fostering stimulating scientific discussions and collaborations for more integrative approaches. We would like to thank Koketso Ludwig, owner of KAYS Freelancing (www.linkedin.com/in/koketsoludwig) for English language editing.</t>
  </si>
  <si>
    <t>1095-6433</t>
  </si>
  <si>
    <t>1531-4332</t>
  </si>
  <si>
    <t>COMP BIOCHEM PHYS A</t>
  </si>
  <si>
    <t>Comp. Biochem. Physiol. A-Mol. Integr. Physiol.</t>
  </si>
  <si>
    <t>10.1016/j.cbpa.2021.110932</t>
  </si>
  <si>
    <t>Biochemistry &amp; Molecular Biology; Physiology; Zoology</t>
  </si>
  <si>
    <t>RN5KB</t>
  </si>
  <si>
    <t>WOS:000640388900007</t>
  </si>
  <si>
    <t>Isola, JI; Bravo, ME; Bozzano, G; Palma, FI; Ormazabal, JP; Principi, S; Spoltore, D; Martin, R; Esteban, FD; Tassone, AA</t>
  </si>
  <si>
    <t>Isola, J. I.; Bravo, M. E.; Bozzano, G.; Palma, F., I; Ormazabal, J. P.; Principi, S.; Spoltore, D.; Martin, R.; Esteban, F. D.; Tassone, A. A.</t>
  </si>
  <si>
    <t>The Late-Quaternary deposits of the Piedra Buena Terrace (Patagonian continental slope, SW Atlantic): An example of interaction between bottom currents and seafloor morphology</t>
  </si>
  <si>
    <t>MARINE GEOLOGY</t>
  </si>
  <si>
    <t>Multi-beam bathymetry; Seismic interpretation; Mixed Systems; Argentinian Continental Margin; Western South Atlantic</t>
  </si>
  <si>
    <t>The Piedra Buena Terrace (PBT), situated in the Patagonian continental slope, is swept by the vigorous flow of Antarctic-sourced bottom water masses, and intersected by a considerable submarine canyon system. It thus represents a world-class natural laboratory to investigate the sedimentary dynamics of deep-ocean settings influenced by both, along-slope, and down-slope sedimentary processes. In the framework of the Pampa Azul project, the PBT was surveyed with swath bathymetry and a high-resolution parametric sub-bottom seismic profiler and sampled at several locations with a 7 m long gravity corer. Through the integration of the acoustic data, grain size results from a sediment core and two AMS C-14 ages this work attempts to: (1) describe for the first time the detailed geomorphology of a poorly known region of the Patagonian continental slope; (2) depict the principal sub-surface seismic units, illustrating their internal structure, geometry, and distribution; (3) establish a correlation between sub-surface seismic facies and sediment deposits using the first age constraints for this region; (4) propose a model with the depositional history of the PBT, focusing on the interaction between alongslope and down-slope processes and seafloor morphology. The acquired bathymetric data imaged with unprecedent detail the geomorphology of the southern part of the PBT revealing the presence of a field of kilometricsized, sub-circular, crater-like depressions, and a submarine canyon. The analyzed seismic sub-bottom profiles showed that the shallow sedimentary structure of the study area is represented by patchy-mounded deposits characterized by three distinctive features: cyclic stacks of two seismic facies (FA and FB), mounded shape, and preferential location northwards the morphological depressions and the submarine canyon. Integration of a seismic sub-bottom profile with one sediment core indicates that the alternation of seismic facies reflects variations in the hydrodynamic conditions. FA is related to a high to moderate energy medium with input of terrigenous material and FB is related to a low energy environment with a limited contribution of sediments from the continent. The patchy distribution, mounded shape and preferential location are associated with hydrodynamic processes occurring between the geomorphological features and the north-flowing Antarctic bottom currents, which result in the deposition of mounded contourites in the northern flank of depressions and hybrid along-slope down-slope deposits northwards a submarine canyon. The C-14 ages constrain the chronological framework of these sediments to the Late-Pleistocene. This is in contrast with previous investigations that have suggested much older ages (Late Miocene) for the sub-surface sediments of PBT. Finally, a conceptual model is here proposed to illustrate the Late Quaternary sediment depositional history of the PBT where the interaction between north-flowing bottom contouritic currents and seafloor relief played an important role in the deposition and preservation of sediments in this area.</t>
  </si>
  <si>
    <t>[Isola, J. I.; Bravo, M. E.; Palma, F., I; Ormazabal, J. P.; Principi, S.; Esteban, F. D.; Tassone, A. A.] Univ Buenos Aires, Inst Geociencias Basicas Aplicadas &amp; Ambientales, CONICET, Buenos Aires, DF, Argentina; [Isola, J. I.; Bravo, M. E.; Palma, F., I; Ormazabal, J. P.; Principi, S.; Martin, R.; Esteban, F. D.; Tassone, A. A.] Univ Nacl Buenos Aires, Fac Ciencias Exactas &amp; Nat, Dept Ciencias Geol, RA-1428 Buenos Aires, DF, Argentina; [Bozzano, G.; Spoltore, D.] Serv Hidrog Naval, Montes De Oca 2124, RA-1270 Buenos Aires, Argentina; [Bozzano, G.] Consejo Nacl Invest Cient &amp; Tecn CONICET, Buenos Aires, DF, Argentina; [Palma, F., I; Principi, S.] YPF Tecnol SA Y TEC, Av Petr S-N, RA-1923 Buenos Aires, DF, Argentina; [Martin, R.] UBA CONICET, Inst Estudios Andinos, C Univ, RA-1428 Buenos Aires, DF, Argentina</t>
  </si>
  <si>
    <t>University of Buenos Aires; Consejo Nacional de Investigaciones Cientificas y Tecnicas (CONICET); Servicio de Hidrografia Naval; Consejo Nacional de Investigaciones Cientificas y Tecnicas (CONICET); Consejo Nacional de Investigaciones Cientificas y Tecnicas (CONICET); University of Buenos Aires</t>
  </si>
  <si>
    <t>Isola, JI (corresponding author), Univ Buenos Aires, Inst Geociencias Basicas Aplicadas &amp; Ambientales, CONICET, Buenos Aires, DF, Argentina.</t>
  </si>
  <si>
    <t>jose.isola91@gmail.com</t>
  </si>
  <si>
    <t>isola, jose/0000-0002-1451-3144; Esteban, Federico/0000-0002-0641-7371; Bravo, Maria Emilia/0000-0003-2760-1212; Ormazabal, Juan Pablo/0000-0001-7948-8376; Palma, Fermin/0000-0003-0877-6973</t>
  </si>
  <si>
    <t>Ministry of Science Technology and Productive Innovation of Argentina (MINCyT); Y-TEC</t>
  </si>
  <si>
    <t>This contribution is framed within the Pampa Azul Project which is funded by the Ministry of Science Technology and Productive Innovation of Argentina (MINCyT). Pampa Azul is an umbrella project designed to concentrate and organize Argentine efforts to study the national offshore territory providing support, and in some cases funding for oceanographic cruises. The data presented in this manuscript was acquired on board the R/V Austral in the cruise YTEC-GTGM 2 as part of a Pampa Azul subproject coined YTEC-GTGM. This still ongoing subproject contemplates the acquisition of marine geological and geophysical data along the ACM during several cruises. The YTECGTGM project is framed in a collaboration between YPF technology S. A. (Y-TEC) and the National Scientific and Technical Research Council (CONICET -MINCyT). Part of the funding for the cruises and data analysis was provided by Y-TEC. The authors thank to YPF S.A. for their constant support. The authors are also especially grateful to the Servicio de Hidrografia Naval (SHN; Argentine Hydrographic Survey) and the captain, officials, and crew of the R/V Austral. Finally, our appreciation and gratitude to the members of the Marine Geology Working Group who made this work possible, with their prior support and during the campaign of data acquisition: Ariel M. De la Canal, Guillermo Lizasoain, Eloy Mendoza, Edgardo Monteros, Feliciano Paganini, Juan Pons, Lucia Rivas, Daniel Vargas. We would also like to thank Dr. Rebesco, Dr. Brackenridge and the two anonymous reviewers, who have contributed to improve this manuscript with their constructive comments.</t>
  </si>
  <si>
    <t>0025-3227</t>
  </si>
  <si>
    <t>1872-6151</t>
  </si>
  <si>
    <t>MAR GEOL</t>
  </si>
  <si>
    <t>Mar. Geol.</t>
  </si>
  <si>
    <t>10.1016/j.margeo.2021.106459</t>
  </si>
  <si>
    <t>Geosciences, Multidisciplinary; Oceanography</t>
  </si>
  <si>
    <t>Geology; Oceanography</t>
  </si>
  <si>
    <t>RN2MM</t>
  </si>
  <si>
    <t>WOS:000640186100010</t>
  </si>
  <si>
    <t>Sepehr, A; Kashani, RB; Esmaeili, N; Safari, O; Rombenso, A</t>
  </si>
  <si>
    <t>Sepehr, Aref; Kashani, Reza Bahari; Esmaeili, Noah; Safari, Omid; Rombenso, Artur</t>
  </si>
  <si>
    <t>Effects of extruded, milled, and whole flaxseed (Linum usitatissimum) on egg performance, lipid components, and fatty acids concentrations in yolk and blood, and antioxidant system of commercial laying hens</t>
  </si>
  <si>
    <t>ANIMAL FEED SCIENCE AND TECHNOLOGY</t>
  </si>
  <si>
    <t>Extruded flaxseed; Egg performance; n-6; n-3 ratio; Blood cholesterol</t>
  </si>
  <si>
    <t>ALPHA-LINOLENIC-ACID; GROWTH-PERFORMANCE; FEEDING FLAXSEED; CARCASS CHARACTERISTICS; NUTRIENT DIGESTIBILITY; PRODUCTION PARAMETERS; SENSORY EVALUATION; DIETARY FLAXSEED; VITAMIN-E; 2 STRAINS</t>
  </si>
  <si>
    <t>This study evaluated the effects of three inclusion levels (3, 6, and 9%) of different processing types of flaxseed (no processing, milled and extruded) on egg performance, egg yolk fatty acids (FAs), and lipids components in yolk and blood of Hy-Line W-36 75-week-old for nine weeks. We allocated 300 laying hens to ten treatments, including control and three inclusion levels (3, 6, and 9%) of three processed methods (whole, WF; milled, MF; and extruded, EF). Each treatment had six replicates containing five hens each. Egg performance, Haugh unit, feed intake, and egg production increased concomitantly with enhancing the percentage of flaxseed in diets. In contrast, shell thickness, shell strength, yolk weight, feed conversion efficiency, and egg mass remained unchanged. Interestingly, the extrusion method had positive effects on egg weight, egg production, feed intake, and egg mass contents, unlike other groups. In respect of yolk FAs, as predicted, individuals fed the 9%EF (9.31 g/100 g) diet had the highest value of n-3 fatty acids. Consequently, n-6/n-3 ratio was improved from 9.20 g/100 g in the yolk of chicks fed the control diet to 1.26 g/100 g in hens fed the 9%EF diets. While cholesterol (CHO) in yolk, egg, and blood of hens fed 9%EF diet were significantly lower than control, total protein in blood was significantly higher than control (P &lt; 0.05). Although superoxide dismutase in the blood of birds fed the control diet was significantly higher than those fed 9%EF diets, serological enzymes in laying hens were not affected by experimental diets. In conclusion, feeding birds with 9%EF significantly improved most of the egg quality parameters, FAs profile, blood factors, and antioxidant capacity. Therefore, extruded flaxseed up to 90 g/kg can be used as a useful method towards improving the productive performance of old laying hens in a commercial-scale study without impairing the antioxidant system and inducing liver damage.</t>
  </si>
  <si>
    <t>[Sepehr, Aref; Kashani, Reza Bahari] Islamic Azad Univ, Mashhad Branch, Sch Agr, Mashhad, Razavi Khorasan, Iran; [Esmaeili, Noah] Univ Tasmania, Inst Marine &amp; Antarctic Studies, Hobart, Tas, Australia; [Safari, Omid] Ferdowsi Univ Mashhad, Dept Fisheries, Fac Nat Resources &amp; Environm, Mashhad, Razavi Khorasan, Iran; [Rombenso, Artur] CSIRO, Agr &amp; Food, Aquaculture Program, Bribie Isl Res Ctr, Bribie Isl, Qld 4507, Australia</t>
  </si>
  <si>
    <t>Islamic Azad University; University of Tasmania; Ferdowsi University Mashhad; Commonwealth Scientific &amp; Industrial Research Organisation (CSIRO)</t>
  </si>
  <si>
    <t>Kashani, RB (corresponding author), Islamic Azad Univ, Mashhad Branch, Sch Agr, Mashhad, Razavi Khorasan, Iran.</t>
  </si>
  <si>
    <t>r.baharikashani@gmail.com</t>
  </si>
  <si>
    <t>Esmaeili, Noah/Q-4536-2019; Rombenso, Artur N/B-6978-2019; Safari, Omid/G-1983-2016; Kashani, Reza Bahari/AAU-5158-2021</t>
  </si>
  <si>
    <t>Esmaeili, Noah/0000-0001-8704-939X; Safari, Omid/0000-0001-8378-8291;</t>
  </si>
  <si>
    <t>Islamic Azad University, Mashhad Branch (Mashhad, Iran)</t>
  </si>
  <si>
    <t>Islamic Azad University, Mashhad Branch (Mashhad, Iran)(Islamic Azad University)</t>
  </si>
  <si>
    <t>The authors wish to thank the Islamic Azad University, Mashhad Branch (Mashhad, Iran) for financial support. Thanks are also extended to the technical staff of Baharan Joje Company (Mashhad, Iran) for their valuable practical assistance and Dr. Ha Truong, CSIRO Australia, for revising the manuscript.</t>
  </si>
  <si>
    <t>0377-8401</t>
  </si>
  <si>
    <t>1873-2216</t>
  </si>
  <si>
    <t>ANIM FEED SCI TECH</t>
  </si>
  <si>
    <t>Anim. Feed Sci. Technol.</t>
  </si>
  <si>
    <t>10.1016/j.anifeedsci.2021.114877</t>
  </si>
  <si>
    <t>Agriculture, Dairy &amp; Animal Science</t>
  </si>
  <si>
    <t>SE0BC</t>
  </si>
  <si>
    <t>WOS:000651738800022</t>
  </si>
  <si>
    <t>Nilsson-Kerr, K; Anand, P; Holden, PB; Clemens, SC; Leng, MJ</t>
  </si>
  <si>
    <t>Nilsson-Kerr, Katrina; Anand, Pallavi; Holden, Philip B.; Clemens, Steven C.; Leng, Melanie J.</t>
  </si>
  <si>
    <t>Dipole patterns in tropical precipitation were pervasive across landmasses throughout Marine Isotope Stage 5</t>
  </si>
  <si>
    <t>COMMUNICATIONS EARTH &amp; ENVIRONMENT</t>
  </si>
  <si>
    <t>INTERTROPICAL CONVERGENCE ZONE; GRAIN-SIZE DISTRIBUTIONS; SEA-SURFACE TEMPERATURE; EAST-ASIAN MONSOON; PACIFIC WARM POOL; INDIAN MONSOON; CHRONOLOGY AICC2012; WESTERN PACIFIC; AFRICAN CLIMATE; ANTARCTIC ICE</t>
  </si>
  <si>
    <t>Most of Earth's rain falls in the tropics, often in highly seasonal monsoon rains, which are thought to be coupled to the inter-hemispheric migrations of the Inter-Tropical Convergence Zone in response to the seasonal cycle of insolation. Yet characterization of tropical rainfall behaviour in the geologic past is poor. Here we combine new and existing hydroclimate records from six large-scale tropical regions with fully independent model-based rainfall reconstructions across the last interval of sustained warmth and ensuing climate cooling between 130 to 70 thousand years ago (Marine Isotope Stage 5). Our data-model approach reveals large-scale heterogeneous rainfall patterns in response to changes in climate. We note pervasive dipole-like tropical precipitation patterns, as well as different loci of precipitation throughout Marine Isotope Stage 5 than recorded in the Holocene. These rainfall patterns cannot be solely attributed to meridional shifts in the Inter-Tropical Convergence Zone. Tropical rainfall patterns varied throughout Marine Isotope Stage 5, beyond the influence of meridional shifts in the Inter-Tropical Convergence Zone, suggest analyses of tropical hydroclimate proxy records and model-based precipitation reconstructions.</t>
  </si>
  <si>
    <t>[Nilsson-Kerr, Katrina; Anand, Pallavi; Holden, Philip B.] Open Univ, Sch Environm Earth &amp; Ecosyst Sci, Fac STEM, Milton Keynes, Bucks, England; [Clemens, Steven C.] Brown Univ, Dept Geol Sci, Providence, RI 02912 USA; [Leng, Melanie J.] British Geol Survey, Natl Environm Isotope Facil, Nottingham, England; [Leng, Melanie J.] Univ Nottingham, Sch Biosci, Loughborough, Leics, England; [Nilsson-Kerr, Katrina] Heriot Watt Univ, Lyell Ctr, Edinburgh, Midlothian, Scotland</t>
  </si>
  <si>
    <t>Open University - UK; Brown University; UK Research &amp; Innovation (UKRI); Natural Environment Research Council (NERC); NERC British Geological Survey; University of Nottingham; Heriot Watt University</t>
  </si>
  <si>
    <t>Nilsson-Kerr, K (corresponding author), Open Univ, Sch Environm Earth &amp; Ecosyst Sci, Fac STEM, Milton Keynes, Bucks, England.;Nilsson-Kerr, K (corresponding author), Heriot Watt Univ, Lyell Ctr, Edinburgh, Midlothian, Scotland.</t>
  </si>
  <si>
    <t>k.nilsson-kerr@hw.ac.uk</t>
  </si>
  <si>
    <t>Holden, Philip/K-6152-2013</t>
  </si>
  <si>
    <t>Holden, Philip/0000-0002-2369-0062; Nilsson-Kerr, Katrina/0000-0001-7379-2684; Anand, Pallavi/0000-0002-3159-0096</t>
  </si>
  <si>
    <t>NERC [NE/L002493/1, NE/M021181/1, NE/P015093/1]; NIGFSC [IP-1649-1116, IP-1838-1118]; CENTA Doctoral Training Partnership; NERC [bgs06003, NE/V003917/1, NE/M021181/1] Funding Source: UKRI</t>
  </si>
  <si>
    <t>NERC(UK Research &amp; Innovation (UKRI)Natural Environment Research Council (NERC)); NIGFSC; CENTA Doctoral Training Partnership; NERC(UK Research &amp; Innovation (UKRI)Natural Environment Research Council (NERC))</t>
  </si>
  <si>
    <t>We thank H. Sloane for help with the stable isotope analysis and S.J. Hammond for help with trace-element analysis. Samples were provided by the IODP and we thank staff at the Kochi Core Centre (KCC). We appreciate comments from P.F. Sexton and thank I. Hall for early discussion of results. P.A. and K.N.-K. acknowledge funding through a NERC PhD grant (NE/L002493/1) associated with the CENTA Doctoral Training Partnership. Stable isotope analysis of planktic foraminifera was funded by NIGFSC (IP-1649-1116 and IP-1838-1118) and NERC (NE/M021181/1) grants to P.A. and P.B.H. (NE/P015093/1) acknowledges NERC funding support.</t>
  </si>
  <si>
    <t>2662-4435</t>
  </si>
  <si>
    <t>COMMUN EARTH ENVIRON</t>
  </si>
  <si>
    <t>Commun. Earth Environ.</t>
  </si>
  <si>
    <t>MAR 19</t>
  </si>
  <si>
    <t>10.1038/s43247-021-00133-7</t>
  </si>
  <si>
    <t>SY3CO</t>
  </si>
  <si>
    <t>Green Accepted, Green Published, gold, Green Submitted</t>
  </si>
  <si>
    <t>WOS:000665768900005</t>
  </si>
  <si>
    <t>Rontani, JF; Amiraux, R; Smik, L; Wakeham, SG; Paulmier, A; Vaultier, F; Sun-Yong, H; Jun-oh, M; Belt, ST</t>
  </si>
  <si>
    <t>Rontani, Jean-Francois; Amiraux, Remi; Smik, Lukas; Wakeham, Stuart G.; Paulmier, Aurelien; Vaultier, Frederic; Sun-Yong, Ha; Jun-oh, Min; Belt, Simon T.</t>
  </si>
  <si>
    <t>Type II photosensitized oxidation in senescent microalgal cells at different latitudes: Does low under-ice irradiance in polar regions enhance efficiency?</t>
  </si>
  <si>
    <t>Photodynamic effect; Senescent phytoplankton; Latitude; Polar regions; Solar irradiance</t>
  </si>
  <si>
    <t>PARTICULATE ORGANIC-MATTER; SINGLET OXYGEN; SEA-ICE; ABIOTIC DEGRADATION; LIPID-PEROXIDATION; FATTY-ACIDS; SIDE-CHAIN; MARINE; ALGAE; PHOTODEGRADATION</t>
  </si>
  <si>
    <t>Comparison of Type II photosensitized oxidation of lipids (the photodynamic effect) and photodegradation of chlorophyll (sensitizer photobleaching) in samples of particulate matter collected previously from locations representing a diverse range of latitudes reveals an enhancement of the photooxidation of lipids at the expense of chlorophyll photodegradation in the polar regions. The efficiency of the photodynamic effect appears to be particularly high in sinking particles collected under sea ice and is attributed to the rapid settling of highly aggregated sympagic algae to depths of low light transmission favouring the photodynamic effect at the expense of photobleaching of the sensitizer. Paradoxically, the low efficiency of Type II photosensitized oxidation of lipids observed in temperate and equatorial regions is associated with high solar irradiances in these regions. Type II photosensitized oxidation of lipids in senescent phytoplankton seems thus to be strongly dependent of the intensity of solar irradiance. (c) 2021 Elsevier B.V. All rights reserved.</t>
  </si>
  <si>
    <t>[Rontani, Jean-Francois; Amiraux, Remi; Vaultier, Frederic] Univ Toulon &amp; Var, Aix Marseille Univ, CNRS INSU IRD, Mediterranean Inst Oceanog MIO,UM 110, F-13288 Marseille, France; [Amiraux, Remi] Univ Laval, Dept Biol, CNRS, Laval Univ Canada,Takuvik Joint Int Lab, Quebec City, PQ G1V 0A6, Canada; [Amiraux, Remi] Inst Univ Europeen Mer IUEM, UMR 6539, Lab Sci Environm Marin, CNRS,UBO,IRD,Ifremer, Plouzane, France; [Smik, Lukas; Belt, Simon T.] Univ Plymouth, Sch Geog Earth &amp; Environm Sci, Biogeochem Res Ctr, Plymouth PL4 8AA, Devon, England; [Wakeham, Stuart G.] Skidaway Inst Oceanog, Savannah, GA USA; [Paulmier, Aurelien] Univ Toulouse, IRD CNRS UPS CNES, Lab Etud Geophys &amp; Oceanog Spatiales LEGOS, F-31401 Toulouse 9, France; [Sun-Yong, Ha; Jun-oh, Min] Korea Polar Res Inst, Div Ocean Sci, 26 Songdomirae Ro, Incheon 21990, South Korea; [Jun-oh, Min] Hanyang Univ, Dept Marine Sci &amp; Convergence Technol, 55 Hanyangdaehak Ro, Ansan 15588, South Korea</t>
  </si>
  <si>
    <t>Aix-Marseille Universite; Universite de Toulon; Laval University; Universite de Bretagne Occidentale; Institut Universitaire Europeen de la Mer (IUEM); Centre National de la Recherche Scientifique (CNRS); CNRS - Institute of Ecology &amp; Environment (INEE); Ifremer; Institut de Recherche pour le Developpement (IRD); University of Plymouth; University System of Georgia; University of Georgia; Skidaway Institute of Oceanography; Korea Polar Research Institute (KOPRI); Hanyang University</t>
  </si>
  <si>
    <t>Rontani, JF (corresponding author), Univ Toulon &amp; Var, Aix Marseille Univ, CNRS INSU IRD, Mediterranean Inst Oceanog MIO,UM 110, F-13288 Marseille, France.</t>
  </si>
  <si>
    <t>jean-francois.rontani@mio.osupytheas</t>
  </si>
  <si>
    <t>Amiraux, Rémi/AAJ-4595-2021; PAULMIER, Aurelien/U-7521-2017</t>
  </si>
  <si>
    <t>Amiraux, Remi/0000-0002-1369-3614; Smik, Lukas/0000-0003-2280-7342; PAULMIER, Aurelien/0000-0002-4128-7824</t>
  </si>
  <si>
    <t>U.S. Joint Global Ocean Flux Program through U.S. National Science Foundation [OCE-90-22319, OCE-93-10364]; NSF [ANT-1143836]; University of Manitoba Start-up grant; Natural Sciences and Engineering Research Council of Canada (NSERC); GBMF-MMI [2293, 2928]; Brazilian government (Ministerio da Marinha); FEDER [1166-39417]; [SFB754]; [NSF-OCE-0934095]</t>
  </si>
  <si>
    <t>U.S. Joint Global Ocean Flux Program through U.S. National Science Foundation; NSF(National Science Foundation (NSF)); University of Manitoba Start-up grant; Natural Sciences and Engineering Research Council of Canada (NSERC)(Natural Sciences and Engineering Research Council of Canada (NSERC)); GBMF-MMI; Brazilian government (Ministerio da Marinha); FEDER(European Union (EU)Spanish Government); ;</t>
  </si>
  <si>
    <t>The sediment trap samples off Peru were collected thanks to the AMOP (Activity of research dedicated to the Minimum of Oxygen in the eastern Pacific) project. We would like to thank the crews of the German R/V Meteor, Peruvian R/V Olaya and French R/V Atalante for the AMOP fixed mooring servicing. We would like to thank M. Soto (IRD, Peru), E. Carrasco (IMARPE, Peru) and J. Grelet (IMAGO/IRD, France), as well as O. De Gesincourt, L. Scouarnec, A. Royer and E. De Saint Leger (DT-INSU/CNRS, France) for general logistics and administrative support. We would like also to thank C. Panagiotopoulos (MIO, France) and F.O. Velazco (IMARPE, Peru) for the sediment trap sampling, N. Leblond (OOV, France) andM. Bretagnon (LEGOS) for the initial samples processing, as well as A. Oschlies for a complementary SFB754 funding. Equatorial Pacific and Arabian Sea samples were collected under the auspices of the U.S. Joint Global Ocean Flux Program through U.S. National Science Foundation grants OCE-90-22319 and OCE9310364, respectively, to SGW. Sediment trap samples from the Beaufort Sea were obtained through the Long-Term Oceanic Observatories Program of the ArcticNet Network of Centres of Excellence (NCE) of Canada. Thanks are due to the scientific party and crew of cruise NBP1402 funded by NSF (ANT-1143836) for the sampling of Antarctic samples. Collection of Resolute Passage samples (sea ice, SPMand sinking particles) was supported through a University of Manitoba Start-up grant and Natural Sciences and Engineering Research Council of Canada (NSERC). We thank the Captain and crew of the R.V Tethys II (Institut National des Sciences de l'Univers, France) for assistance in the field during recovery and deployment of the trap mooring in Ligurian Sea. We acknowledge GBMF-MMI Grants 2293 and 2928 and NSF-OCE0934095 for the financial support provided to Amazon plume collections, as well as the Brazilian government (Ministerio da Marinha). Thanks are due to Philipp Assmy for collecting a sample of Melosira arctica during the Rijpfjorden transect which was funded by the former Centre for Ice, Climate and Ecosystems at the Norwegian Polar Institute. Thanks are also due to the scientific party and crew of cruise NBP1402 funded by NSF (ANT-1143836) for the sampling of East Antarctic samples. Samples from the Amundsen Sea transect were collected as part of the project `Carbon cycle change and ecosystem response under the Southern Ocean warming' (PE21110). Further, we thank the FEDER 1166-39417 for the funding of the apparatus employed. We are also grateful to two anonymous reviewers for their useful and constructive comments.</t>
  </si>
  <si>
    <t>10.1016/j.scitotenv.2021.146363</t>
  </si>
  <si>
    <t>SJ7AS</t>
  </si>
  <si>
    <t>WOS:000655683800004</t>
  </si>
  <si>
    <t>Dupont, SM; Barbraud, C; Chastel, O; Delord, K; Parenteau, C; Trouvé, C; Angelier, F</t>
  </si>
  <si>
    <t>Dupont, Sophie M.; Barbraud, Christophe; Chastel, Olivier; Delord, Karine; Parenteau, Charline; Trouve, Colette; Angelier, Frederic</t>
  </si>
  <si>
    <t>?Home alone!? influence of nest parental attendance on offspring behavioral and hormonal stress responses in an Antarctic seabird, the snow petrel (Pagodroma nivea)</t>
  </si>
  <si>
    <t>HORMONES AND BEHAVIOR</t>
  </si>
  <si>
    <t>Parental presence; Offspring stress sensitivity; Corticosterone stress response; Defensive behavior; Pagodroma nivea</t>
  </si>
  <si>
    <t>CORTICOSTERONE; ELEVATION; BIRD; LONG</t>
  </si>
  <si>
    <t>In altricial species, parents brood their chicks constantly before leaving them unattended sometimes for extended periods when they become thermally independent. During this second phase, there is sometimes important interindividual differences in parental attendance and the fitness costs and benefits of parental strategies have previously been extensively investigated. However, the impact of parental presence on offspring behaviors and stress physiology has been overlooked. Here, we examined the influence of parental presence on offspring hormonal and behavioral stress sensitivities in snow petrel chicks. We demonstrated for the first time in a wild bird species that attended chicks had lower stress-induced corticosterone levels and a lower probability to show defensive behavior compared to the alone chicks. This reduced stress sensitivity is certainly explained by the well-known link between corticosterone and nutritional status, and by the recent delivery of meals to the attended chicks and the improvement of their nutritional status. It may also be explained by the parental protection against predators or inclement weather, or/and by the psychosocial comfort of parental presence for the offspring. Overall, these results suggest that the presence of a parent in the nest reduces offspring stress sensitivity in wild birds. Further studies would now be required to disentangle the impact of nutritional status and parental presence on stress sensitivity and to better understand the potential impact of parental presence and circulating corticosterone levels on growth and cognitive development in wild birds.</t>
  </si>
  <si>
    <t>[Dupont, Sophie M.; Barbraud, Christophe; Chastel, Olivier; Delord, Karine; Parenteau, Charline; Trouve, Colette; Angelier, Frederic] CNRS ULR, Ctr Etud Biol Chize, UMR 7372, F-79360 Villiers En Bois, France</t>
  </si>
  <si>
    <t>Dupont, SM (corresponding author), CNRS ULR, Ctr Etud Biol Chize, UMR 7372, F-79360 Villiers En Bois, France.</t>
  </si>
  <si>
    <t>sophie.dupont93@gmail.com</t>
  </si>
  <si>
    <t>Barbraud, Christophe/0000-0003-0146-212X</t>
  </si>
  <si>
    <t>French Polar Institute [109]; Terres Australes et Antarctiques Francaises; Conseil General des Deux-Sevres; Region Nouvelle-Aquitaine</t>
  </si>
  <si>
    <t>French Polar Institute; Terres Australes et Antarctiques Francaises; Conseil General des Deux-Sevres(Region Nouvelle-Aquitaine); Region Nouvelle-Aquitaine(Region Nouvelle-Aquitaine)</t>
  </si>
  <si>
    <t>Fieldwork was financially and logistically supported by the French Polar Institute (programme No 109) and the Terres Australes et Antarctiques Francaises. S.M. Dupont was supported by a grant from the Conseil General des Deux-Sevres and the Region Nouvelle-Aquitaine. We are indebted to A. Baduel, G. Lamotte and N. Jamot for their assistance in the field. We thank C. Ribout for her excellent technical assistance in molecular sexing.</t>
  </si>
  <si>
    <t>ACADEMIC PRESS INC ELSEVIER SCIENCE</t>
  </si>
  <si>
    <t>SAN DIEGO</t>
  </si>
  <si>
    <t>525 B ST, STE 1900, SAN DIEGO, CA 92101-4495 USA</t>
  </si>
  <si>
    <t>0018-506X</t>
  </si>
  <si>
    <t>1095-6867</t>
  </si>
  <si>
    <t>HORM BEHAV</t>
  </si>
  <si>
    <t>Horm. Behav.</t>
  </si>
  <si>
    <t>10.1016/j.yhbeh.2021.104962</t>
  </si>
  <si>
    <t>Behavioral Sciences; Endocrinology &amp; Metabolism</t>
  </si>
  <si>
    <t>RY1MU</t>
  </si>
  <si>
    <t>WOS:000647681600002</t>
  </si>
  <si>
    <t>Matsuoka, K; Skoglund, A; Roth, G; de Pomereu, J; Griffiths, H; Headland, R; Herried, B; Katsumata, K; Le Brocq, A; Licht, K; Morgan, F; Neff, PD; Ritz, C; Scheinert, M; Tamura, T; Van de Putte, A; van den Broeke, M; von Deschwanden, A; Deschamps-Berger, C; Van Liefferinge, B; Tronstad, S; Melvær, Y</t>
  </si>
  <si>
    <t>Matsuoka, Kenichi; Skoglund, Anders; Roth, George; de Pomereu, Jean; Griffiths, Huw; Headland, Robert; Herried, Brad; Katsumata, Katsuro; Le Brocq, Anne; Licht, Kathy; Morgan, Fraser; Neff, Peter D.; Ritz, Catherine; Scheinert, Mirko; Tamura, Takeshi; Van de Putte, Anton; van den Broeke, Michiel; von Deschwanden, Angela; Deschamps-Berger, Cesar; Van Liefferinge, Brice; Tronstad, Stein; Melvaer, Yngve</t>
  </si>
  <si>
    <t>Quantarctica, an integrated mapping environment for Antarctica, the Southern Ocean, and sub-Antarctic islands</t>
  </si>
  <si>
    <t>ENVIRONMENTAL MODELLING &amp; SOFTWARE</t>
  </si>
  <si>
    <t>Geographical information system; Regional analytical tool; Polar regions</t>
  </si>
  <si>
    <t>SURFACE MASS-BALANCE; SUBGLACIAL LAKES; EAST ANTARCTICA; ICE; MODEL; SNOW; MAP; TEMPERATURES; INVENTORY; ELEVATION</t>
  </si>
  <si>
    <t>Quantarctica (https://www.npolar.no/quantarctica) is a geospatial data package, analysis environment, and visualization platform for the Antarctic Continent, Southern Ocean (&gt;40oS), and sub-Antarctic islands. Quantarctica works with the free, cross-platform Geographical Information System (GIS) software QGIS and can run without an Internet connection, making it a viable tool for fieldwork in remote areas. The data package includes basemaps, satellite imagery, terrain models, and scientific data in nine disciplines, including physical and biological sciences, environmental management, and social science. To provide a clear and responsive user experience, cartography and rendering settings are carefully prepared using colour sets that work well for typical data combinations and with consideration of users with common colour vision deficiencies. Metadata included in each dataset provides brief abstracts for non-specialists and references to the original data sources. Thus, Quantarctica provides an integrated environment to view and analyse multiple Antarctic datasets together conveniently and with a low entry barrier.</t>
  </si>
  <si>
    <t>[Matsuoka, Kenichi; Skoglund, Anders; Roth, George; von Deschwanden, Angela; Deschamps-Berger, Cesar; Van Liefferinge, Brice; Tronstad, Stein; Melvaer, Yngve] Norwegian Polar Res Inst, Tromso, Norway; [de Pomereu, Jean; Headland, Robert] Univ Cambridge, Scott Polar Res Inst, Cambridge, England; [Griffiths, Huw] British Antarctic Survey, Cambridge, England; [Herried, Brad] Univ Minnesota, Polar Geospatial Ctr, St Paul, MN 55108 USA; [Katsumata, Katsuro] Japan Agcy Marine Earth Sci &amp; Technol, Yokosuka, Kanagawa, Japan; [Le Brocq, Anne] Univ Exeter, Coll Life &amp; Environm Sci, Geog, Exeter, Devon, England; [Licht, Kathy] Indiana Univ Purdue Univ, Indianapolis, IN 46202 USA; [Morgan, Fraser] Manaaki Whenua Landcare Res, Auckland, New Zealand; [Morgan, Fraser] Univ Auckland, Te Punaha Matatini, Auckland, New Zealand; [Neff, Peter D.] Univ Minnesota, Dept Soil Water &amp; Climate, St Paul, MN 55108 USA; [Ritz, Catherine] Univ Grenoble Alpes, IGE, Grenoble INP, CNRS,IRD, F-38000 Grenoble, France; [Scheinert, Mirko] Tech Univ Dresden, Inst Planetare Geodasie, D-01062 Dresden, Germany; [Tamura, Takeshi] Natl Inst Polar Res, Tachikawa, Tokyo 1908518, Japan; [Van de Putte, Anton] Royal Belgian Inst Nat Sci, B-1000 Brussels, Belgium; [van den Broeke, Michiel] Univ Utrecht, Inst Marine &amp; Atmospher Res, Utrecht, Netherlands; [Deschamps-Berger, Cesar] Univ Toulouse, CNES CNRS INRAE IRD UPS, CESBIO, Toulouse, France</t>
  </si>
  <si>
    <t>Norwegian Polar Institute; University of Cambridge; UK Research &amp; Innovation (UKRI); Natural Environment Research Council (NERC); NERC British Antarctic Survey; University of Minnesota System; University of Minnesota Twin Cities; Japan Agency for Marine-Earth Science &amp; Technology (JAMSTEC); University of Exeter; Indiana University System; Indiana University-Purdue University Indianapolis; Landcare Research - New Zealand; University of Auckland; University of Minnesota System; University of Minnesota Twin Cities; Communaute Universite Grenoble Alpes; Universite Grenoble Alpes (UGA); Institut de Recherche pour le Developpement (IRD); Institut National Polytechnique de Grenoble; Centre National de la Recherche Scientifique (CNRS); Technische Universitat Dresden; Research Organization of Information &amp; Systems (ROIS); National Institute of Polar Research (NIPR) - Japan; Royal Belgian Institute of Natural Sciences; Utrecht University; Universite de Toulouse; Universite Toulouse III - Paul Sabatier; Centre National de la Recherche Scientifique (CNRS); Institut de Recherche pour le Developpement (IRD); INRAE</t>
  </si>
  <si>
    <t>Matsuoka, K (corresponding author), Norwegian Polar Res Inst, Tromso, Norway.</t>
  </si>
  <si>
    <t>kenichi.matsuoka@npolar.no</t>
  </si>
  <si>
    <t>Griffiths, Huw J/D-4234-2009; Van den Broeke, Michiel R./F-7867-2011; Katsumata, Katsuro/AAR-5034-2020; Neff, Peter David/ABB-7688-2021; Matsuoka, Kenichi/B-7298-2017</t>
  </si>
  <si>
    <t>Griffiths, Huw J/0000-0003-1764-223X; Van den Broeke, Michiel R./0000-0003-4662-7565; Katsumata, Katsuro/0000-0002-4683-7610; Matsuoka, Kenichi/0000-0002-3587-3405; Van de Putte, Anton/0000-0003-1336-5554; Neff, Peter/0000-0003-1697-0936; Scheinert, Mirko/0000-0002-0892-8941; de Pomereu, Jean/0000-0003-0058-765X; Licht, Kathy/0000-0002-2233-2853</t>
  </si>
  <si>
    <t>Norwegian Ministry of Foreign Affairs [QZA-15/0332]</t>
  </si>
  <si>
    <t>Norwegian Ministry of Foreign Affairs</t>
  </si>
  <si>
    <t>Development of Quantarctica version 3 was funded by the Norwegian Ministry of Foreign Affairs (grant number: QZA-15/0332). Quantarctica became highly visible and widely used in the Antarctic community, thanks to SCAR's endorsement of QA as a SCAR product and promotions made by Association of Polar Early Career Scientists (APECS), and SCAR's scientific research programs, action groups and expert groups, as well as SCADM and SCAGI. The Norwegian Environment Agency, Tasmanian Partnership for Advanced Computing, Arctic and Antarctic Data Archive System at the National Institute of Polar Research, National Center for Polar and Ocean Research, and Polar Geospatial Center provide distributed global download capabilities. The RADARSAT-2 image used in Fig. 3c provided by NSC/KSAT under the Norwegian-Canadian RADARSAT agreement. We acknowledge all data providers who supported Quantarctica.</t>
  </si>
  <si>
    <t>1364-8152</t>
  </si>
  <si>
    <t>1873-6726</t>
  </si>
  <si>
    <t>ENVIRON MODELL SOFTW</t>
  </si>
  <si>
    <t>Environ. Modell. Softw.</t>
  </si>
  <si>
    <t>10.1016/j.envsoft.2021.105015</t>
  </si>
  <si>
    <t>Computer Science, Interdisciplinary Applications; Engineering, Environmental; Environmental Sciences; Water Resources</t>
  </si>
  <si>
    <t>Computer Science; Engineering; Environmental Sciences &amp; Ecology; Water Resources</t>
  </si>
  <si>
    <t>RY1PY</t>
  </si>
  <si>
    <t>WOS:000647690400004</t>
  </si>
  <si>
    <t>Thyrring, J; Peck, LS</t>
  </si>
  <si>
    <t>Thyrring, Jakob; Peck, Lloyd S.</t>
  </si>
  <si>
    <t>Global gradients in intertidal species richness and functional groups</t>
  </si>
  <si>
    <t>ELIFE</t>
  </si>
  <si>
    <t>LATITUDINAL DIVERSITY GRADIENT; ROCKY SHORES; COASTAL HETEROGENEITY; COMMUNITY COMPOSITION; MARINE DIVERSITY; CLIMATE-CHANGE; CANOPY ALGAE; PATTERNS; SCALE; BIODIVERSITY</t>
  </si>
  <si>
    <t>Whether global latitudinal diversity gradients exist in rocky intertidal alpha-diversity and across functional groups remains unknown. Using literature data from 433 intertidal sites, we investigated alpha-diversity patterns across 155 degrees of latitude, and whether local-scale or global-scale structuring processes control alpha-diversity. We, furthermore, investigated how the relative composition of functional groups changes with latitude. alpha-Diversity differed among hemispheres with a mid-latitudinal peak in the north, and a non-significant unimodal pattern in the south, but there was no support for a tropical-to-polar decrease in alpha-diversity. Although global-scale drivers had no discernible effect, the local-scale drivers significantly affected alpha-diversity, and our results reveal that latitudinal diversity gradients are outweighed by local processes. In contrast to adiversity patterns, species richness of three functional groups (predators, grazers, and suspension feeders) declined with latitude, coinciding with an inverse gradient in algae. Polar and tropical intertidal data were sparse, and more sampling is required to improve knowledge of marine biodiversity.</t>
  </si>
  <si>
    <t>[Thyrring, Jakob; Peck, Lloyd S.] British Antarctic Survey, Cambridge, England; [Thyrring, Jakob] Univ British Columbia, Dept Zool, Vancouver, BC, Canada; [Thyrring, Jakob] Aarhus Univ, Arctic Res Ctr, Dept Biosci, Silkeborg, Denmark; [Thyrring, Jakob] Univ Cambridge, Homerton Coll, Cambridge, England; [Thyrring, Jakob] Aarhus Univ, Dept Biosci, Marine Ecol, Silkeborg, Denmark</t>
  </si>
  <si>
    <t>UK Research &amp; Innovation (UKRI); Natural Environment Research Council (NERC); NERC British Antarctic Survey; University of British Columbia; Aarhus University; University of Cambridge; Aarhus University</t>
  </si>
  <si>
    <t>Thyrring, J (corresponding author), British Antarctic Survey, Cambridge, England.;Thyrring, J (corresponding author), Univ British Columbia, Dept Zool, Vancouver, BC, Canada.;Thyrring, J (corresponding author), Aarhus Univ, Arctic Res Ctr, Dept Biosci, Silkeborg, Denmark.;Thyrring, J (corresponding author), Univ Cambridge, Homerton Coll, Cambridge, England.;Thyrring, J (corresponding author), Aarhus Univ, Dept Biosci, Marine Ecol, Silkeborg, Denmark.</t>
  </si>
  <si>
    <t>jakyrr57@bas.ac.uk</t>
  </si>
  <si>
    <t>Thyrring, Jakob/M-9479-2015</t>
  </si>
  <si>
    <t>Thyrring, Jakob/0000-0002-1029-3105</t>
  </si>
  <si>
    <t>Danmarks Frie Forskningsfond [7027-00060B]; Natural Environment Research Council; H2020 Marie Sklodowska-Curie Actions [797387]; Marie Curie Actions (MSCA) [797387] Funding Source: Marie Curie Actions (MSCA)</t>
  </si>
  <si>
    <t>Danmarks Frie Forskningsfond; Natural Environment Research Council(UK Research &amp; Innovation (UKRI)Natural Environment Research Council (NERC)); H2020 Marie Sklodowska-Curie Actions; Marie Curie Actions (MSCA)(Marie Curie Actions)</t>
  </si>
  <si>
    <t>Danmarks Frie Forskningsfond 7027-00060B Jakob Thyrring; Natural Environment Research Council Lloyd S Peck; H2020 Marie Sklodowska-Curie Actions 797387 Jakob Thyrring; The funders had no role in study design, data collection and interpretation, or the decision to submit the work for publication.</t>
  </si>
  <si>
    <t>eLIFE SCIENCES PUBL LTD</t>
  </si>
  <si>
    <t>SHERATON HOUSE, CASTLE PARK, CAMBRIDGE, CB3 0AX, ENGLAND</t>
  </si>
  <si>
    <t>2050-084X</t>
  </si>
  <si>
    <t>eLife</t>
  </si>
  <si>
    <t>e64541</t>
  </si>
  <si>
    <t>10.7554/eLife.64541</t>
  </si>
  <si>
    <t>RM2DG</t>
  </si>
  <si>
    <t>Green Submitted, Green Accepted, gold, Green Published</t>
  </si>
  <si>
    <t>WOS:000639468400001</t>
  </si>
  <si>
    <t>Lowe, M; Ebbing, J; El-Sharkawy, A; Meier, T</t>
  </si>
  <si>
    <t>Lowe, Maximilian; Ebbing, Jorg; El-Sharkawy, Amr; Meier, Thomas</t>
  </si>
  <si>
    <t>Gravity effect of Alpine slab segments based on geophysical and petrological modelling</t>
  </si>
  <si>
    <t>SOLID EARTH</t>
  </si>
  <si>
    <t>CHILEAN SUBDUCTION ZONE; UPPER-MANTLE; LITHOSPHERE STRUCTURE; TECTONIC EVOLUTION; MOHO TOPOGRAPHY; BOHEMIAN MASSIF; EASTERN ALPS; WESTERN ALPS; PLATE; BENEATH</t>
  </si>
  <si>
    <t>In this study, we present an estimate of the gravity signal of the slabs beneath the Alpine mountain belt. Estimates of the gravity effect of the subducting slabs are often omitted or simplified in crustal-scale models. The related signal is calculated here for alternative slab configurations at near-surface height and at a satellite altitude of 225 km. We apply three different modelling approaches in order to estimate the gravity signal from the subducting slab segments: (i) direct conversion of upper mantle seismic velocities to density distribution, which are then forward calculated to obtain the gravity signal; (ii) definition of slab geometries based on seismic crustal thickness and high-resolution upper mantle tomography for two competing slab configurations - the geometries are then forward calculated by assigning a constant density contrast and slab thickness; (iii) accounting for compositional and thermal variations with depth within the predefined slab geometry. Forward calculations predict a gravity signal of up to 40 mGal for the Alpine slab configuration. Significant differences in the gravity anomaly patterns are visible for different slab geometries in the near-surface gravity field. However, different contributing slab segments are not easily separated, especially at satellite altitude. Our results demonstrate that future studies addressing the lithospheric structure of the Alps should have to account for the subducting slabs in order to provide a meaningful representation of the geodynamic complex Alpine area.</t>
  </si>
  <si>
    <t>[Lowe, Maximilian; Ebbing, Jorg; El-Sharkawy, Amr; Meier, Thomas] Univ Kiel, Inst Geosci, Dept Geophys, Kiel, Germany; [Lowe, Maximilian] NERC British Antarctic Survey, Cambridge, England; [Lowe, Maximilian] Univ Edinburgh, Sch Geosci, Edinburgh, Midlothian, Scotland; [El-Sharkawy, Amr] Natl Res Inst Astron &amp; Geophys NRIAG, Cairo, Egypt</t>
  </si>
  <si>
    <t>University of Kiel; University of Edinburgh; Egyptian Knowledge Bank (EKB); National Research Institute of Astronomy &amp; Geophysics - NRIAG</t>
  </si>
  <si>
    <t>Lowe, M (corresponding author), Univ Kiel, Inst Geosci, Dept Geophys, Kiel, Germany.;Lowe, M (corresponding author), NERC British Antarctic Survey, Cambridge, England.;Lowe, M (corresponding author), Univ Edinburgh, Sch Geosci, Edinburgh, Midlothian, Scotland.</t>
  </si>
  <si>
    <t>maxwe32@bas.ac.uk</t>
  </si>
  <si>
    <t>Ebbing, Joerg/B-8796-2013; Lowe, Maximilian/GPS-8065-2022; El-Sharkawy, Amr/Q-2013-2019</t>
  </si>
  <si>
    <t>Ebbing, Joerg/0000-0001-7492-5338; Lowe, Maximilian/0000-0002-0313-4253; El-Sharkawy, Amr/0000-0002-1811-786X</t>
  </si>
  <si>
    <t>Deutsche Forschungsgemeinschaft [EB255/7-1, EB 255/6-1]</t>
  </si>
  <si>
    <t>This research has been supported by the Deutsche Forschungsgemeinschaft (grant nos. EB255/7-1 and EB 255/6-1).</t>
  </si>
  <si>
    <t>1869-9510</t>
  </si>
  <si>
    <t>1869-9529</t>
  </si>
  <si>
    <t>Solid Earth</t>
  </si>
  <si>
    <t>10.5194/se-12-691-2021</t>
  </si>
  <si>
    <t>RA3VT</t>
  </si>
  <si>
    <t>WOS:000631346000002</t>
  </si>
  <si>
    <t>Albanese, D; Coleine, C; Rota-Stabelli, O; Onofri, S; Tringe, SG; Stajich, JE; Selbmann, L; Donati, C</t>
  </si>
  <si>
    <t>Albanese, Davide; Coleine, Claudia; Rota-Stabelli, Omar; Onofri, Silvano; Tringe, Susannah G.; Stajich, Jason E.; Selbmann, Laura; Donati, Claudio</t>
  </si>
  <si>
    <t>Pre-Cambrian roots of novel Antarctic cryptoendolithic bacterial lineages</t>
  </si>
  <si>
    <t>MICROBIOME</t>
  </si>
  <si>
    <t>Antarctica; Extremophiles; Cryptoendolithic communities; Bacteria; Evolution; Adaptation; Metagenomics; MAG; Functionality</t>
  </si>
  <si>
    <t>MICROBIAL DIVERSITY; INTERNATIONAL CODE; FAST GENOME; DESERT; PHYLUM; COLD; NOMENCLATURE; CHLOROFLEXI; COMMUNITIES; EVOLUTION</t>
  </si>
  <si>
    <t>Background: Cryptoendolithic communities are microbial ecosystems dwelling inside porous rocks that are able to persist at the edge of the biological potential for life in the ice-free areas of the Antarctic desert. These regions include the McMurdo Dry Valleys, often accounted as the closest terrestrial counterpart of the Martian environment and thought to be devoid of life until the discovery of these cryptic life-forms. Despite their interest as a model for the early colonization by living organisms of terrestrial ecosystems and for adaptation to extreme conditions of stress, little is known about the evolution, diversity, and genetic makeup of bacterial species that reside in these environments. Using the Illumina Novaseq platform, we generated the first metagenomes from rocks collected in Continental Antarctica over a distance of about 350 km along an altitudinal transect from 834 up to 3100 m above sea level (a.s.l.). Results: A total of 497 draft bacterial genome sequences were assembled and clustered into 269 candidate species that lack a representative genome in public databases. Actinobacteria represent the most abundant phylum, followed by Chloroflexi and Proteobacteria. The Candidatus Jiangella antarctica has been recorded across all samples, suggesting a high adaptation and specialization of this species to the harshest Antarctic desert environment. The majority of these new species belong to monophyletic bacterial clades that diverged from related taxa in a range from 1.2 billion to 410 Ma and are functionally distinct from known related taxa. Conclusions: Our findings significantly increase the repertoire of genomic data for several taxa and, to date, represent the first example of bacterial genomes recovered from endolithic communities. Their ancient origin seems to not be related to the geological history of the continent, rather they may represent evolutionary remnants of pristine clades that evolved across the Tonian glaciation. These unique genomic resources will underpin future studies on the structure, evolution, and function of these ecosystems at the edge of life.</t>
  </si>
  <si>
    <t>[Albanese, Davide; Rota-Stabelli, Omar; Donati, Claudio] Fdn Edmund Mach, Res &amp; Innovat Ctr, Via E Mach 1, I-38098 San Michele All Adige, Italy; [Coleine, Claudia; Onofri, Silvano; Selbmann, Laura] Univ Tuscia, Dept Ecol &amp; Biol Sci, I-01100 Viterbo, Italy; [Tringe, Susannah G.] Joint Genome Inst, Dept Energy, One Cyclotron Rd, Berkeley, CA 94720 USA; [Stajich, Jason E.] Univ Calif Riverside, Dept Microbiol &amp; Plant Pathol, Watkins Dr 3401, Riverside, CA 92507 USA; [Stajich, Jason E.] Univ Calif Riverside, Inst Integrat Genome Biol, Watkins Dr 3401, Riverside, CA 92507 USA; [Selbmann, Laura] Italian Antarctic Natl Museum MNA, Mycol Sect, Via Porto Antico, I-16128 Genoa, Italy</t>
  </si>
  <si>
    <t>Fondazione Edmund Mach; Tuscia University; United States Department of Energy (DOE); Joint Genome Institute - JGI; University of California System; University of California Riverside; University of California System; University of California Riverside</t>
  </si>
  <si>
    <t>Selbmann, L (corresponding author), Univ Tuscia, Dept Ecol &amp; Biol Sci, I-01100 Viterbo, Italy.;Stajich, JE (corresponding author), Univ Calif Riverside, Dept Microbiol &amp; Plant Pathol, Watkins Dr 3401, Riverside, CA 92507 USA.;Stajich, JE (corresponding author), Univ Calif Riverside, Inst Integrat Genome Biol, Watkins Dr 3401, Riverside, CA 92507 USA.</t>
  </si>
  <si>
    <t>jason.stajich@ucr.edu; selbmann@unitus.it</t>
  </si>
  <si>
    <t>Stajich, Jason Eric/C-7297-2008; Selbmann, Laura/L-3056-2013; Donati, Claudio/AAF-1246-2020; Coleine, Claudia/AAE-1889-2020; Tringe, Susannah Green/T-9431-2019; Rota-Stabelli, Omar/G-8477-2011</t>
  </si>
  <si>
    <t>Stajich, Jason Eric/0000-0002-7591-0020; Selbmann, Laura/0000-0002-8967-3329; Coleine, Claudia/0000-0002-9289-6179; Tringe, Susannah Green/0000-0001-6479-8427; Donati, Claudio/0000-0001-8688-1651</t>
  </si>
  <si>
    <t>Office of Science of the U.S. Department of Energy [DE-AC020-5CH11231]</t>
  </si>
  <si>
    <t>Office of Science of the U.S. Department of Energy(United States Department of Energy (DOE))</t>
  </si>
  <si>
    <t>The work conducted by the U.S. Department of Energy Joint Genome Institute, a DOE Office of Science User Facility, is supported by the Office of Science of the U.S. Department of Energy under Contract No. DE-AC020-5CH11231.</t>
  </si>
  <si>
    <t>BMC</t>
  </si>
  <si>
    <t>CAMPUS, 4 CRINAN ST, LONDON N1 9XW, ENGLAND</t>
  </si>
  <si>
    <t>2049-2618</t>
  </si>
  <si>
    <t>Microbiome</t>
  </si>
  <si>
    <t>10.1186/s40168-021-01021-0</t>
  </si>
  <si>
    <t>QZ5EK</t>
  </si>
  <si>
    <t>Green Published, Green Submitted, gold</t>
  </si>
  <si>
    <t>WOS:000630749100001</t>
  </si>
  <si>
    <t>Spence, MA; Thorpe, RB; Blackwell, PG; Scott, F; Southwell, R; Blanchard, JL</t>
  </si>
  <si>
    <t>Spence, Michael A.; Thorpe, Robert B.; Blackwell, Paul G.; Scott, Finlay; Southwell, Richard; Blanchard, Julia L.</t>
  </si>
  <si>
    <t>Quantifying uncertainty and dynamical changes in multi-species fishing mortality rates, catches and biomass by combining state-space and size-based multi-species models</t>
  </si>
  <si>
    <t>FISH AND FISHERIES</t>
  </si>
  <si>
    <t>Bayesian Statistics; MCMC; mechanistic models; multi‐ species modelling; size‐ based modelling; state‐ space approach; uncertainty quantification</t>
  </si>
  <si>
    <t>FISHERIES; MANAGEMENT; FRAMEWORK; ECOSYSTEMS; TARGETS; WEIGHT; WORLD; MCMC</t>
  </si>
  <si>
    <t>In marine management, fish stocks are often managed on a stock-by-stock basis using single-species models. Many of these models are based upon statistical techniques and are good at assessing the current state and making short-term predictions; however, as they do not model interactions between stocks, they lack predictive power on longer timescales. Additionally, there are size-based multi-species models that represent key biological processes and consider interactions between stocks such as predation and competition for resources. Due to the complexity of these models, they are difficult to fit to data, and so many size-based multi-species models depend upon single-species models where they exist, or ad hoc assumptions when they do not, for parameters such as annual fishing mortality. In this paper, we demonstrate that by taking a state-space approach, many of the uncertain parameters can be treated dynamically, allowing us to fit, with quantifiable uncertainty, size-based multi-species models directly to data. We demonstrate this by fitting uncertain parameters, including annual fishing mortality, of a size-based multi-species model of the Celtic Sea, for species with and without single-species stock assessments. Consequently, errors in the single-species models no longer propagate through the multi-species model and underlying assumptions are more transparent. Building size-based multi-species models that are internally consistent, with quantifiable uncertainty, will improve their credibility and utility for management. This may lead to their uptake by being either used to corroborate single-species models; directly in the advice process to make predictions into the future; or used to provide a new way of managing data-limited stocks.</t>
  </si>
  <si>
    <t>[Spence, Michael A.; Thorpe, Robert B.] Ctr Environm Fisheries &amp; Aquaculture Sci, Pakefield Rd, Lowestoft NR33 OHT, Suffolk, England; [Blackwell, Paul G.] Univ Sheffield, Sch Math &amp; Stat, Sheffield, S Yorkshire, England; [Blackwell, Paul G.; Blanchard, Julia L.] Univ Tasmania, Inst Marine &amp; Antarctic Studies, Hobart, Tas, Australia; [Blackwell, Paul G.; Blanchard, Julia L.] Univ Tasmania, Ctr Marine Socioecol, Hobart, Tas, Australia; [Scott, Finlay] Pacific Community SPC, Ocean Fisheries Programme, Noumea, New Caledonia; [Southwell, Richard] Univ York, Dept Math, York, N Yorkshire, England</t>
  </si>
  <si>
    <t>Centre for Environment Fisheries &amp; Aquaculture Science; University of Sheffield; University of Tasmania; University of Tasmania; University of York - UK</t>
  </si>
  <si>
    <t>Spence, MA (corresponding author), Ctr Environm Fisheries &amp; Aquaculture Sci, Pakefield Rd, Lowestoft NR33 OHT, Suffolk, England.</t>
  </si>
  <si>
    <t>michael.spence@cefas.co.uk</t>
  </si>
  <si>
    <t>Blackwell, Paul/F-2885-2017; Blanchard, Julia L/E-4919-2010</t>
  </si>
  <si>
    <t>Blanchard, Julia/0000-0003-0532-4824</t>
  </si>
  <si>
    <t>Natural Environment Research Council; Department for Environment, Food and Rural Affairs [NE/L003279/1]</t>
  </si>
  <si>
    <t>Natural Environment Research Council(UK Research &amp; Innovation (UKRI)Natural Environment Research Council (NERC)); Department for Environment, Food and Rural Affairs(Department for Environment, Food &amp; Rural Affairs (DEFRA))</t>
  </si>
  <si>
    <t>Natural Environment Research Council and Department for Environment, Food and Rural Affairs, Grant/Award Number: NE/L003279/1</t>
  </si>
  <si>
    <t>1467-2960</t>
  </si>
  <si>
    <t>1467-2979</t>
  </si>
  <si>
    <t>FISH FISH</t>
  </si>
  <si>
    <t>Fish. Fish.</t>
  </si>
  <si>
    <t>10.1111/faf.12543</t>
  </si>
  <si>
    <t>SV9AK</t>
  </si>
  <si>
    <t>Green Accepted, Green Submitted</t>
  </si>
  <si>
    <t>WOS:000630604700001</t>
  </si>
  <si>
    <t>Roman, L; Bryan, S; Bool, N; Gustafson, L; Townsend, K</t>
  </si>
  <si>
    <t>Roman, Lauren; Bryan, Scott; Bool, Natalie; Gustafson, Leah; Townsend, Kathy</t>
  </si>
  <si>
    <t>Desperate times call for desperate measures: non-food ingestion by starving seabirds</t>
  </si>
  <si>
    <t>Short-tailed shearwater; Ardenna tenuirostris; Food selectivity; Pica; Lithophagia; Geophagia; Mass mortality; Pumice; 2012 Havre eruption</t>
  </si>
  <si>
    <t>SHORT-TAILED SHEARWATERS; PUFFINUS-TENUIROSTRIS; MASS-MORTALITY; PLASTIC INGESTION; MARINE; PUMICE; SEA; INDICATORS; PARTICLES; FOOD</t>
  </si>
  <si>
    <t>Food deprivation may decrease selectivity in food; however, (1) whether animals can cross a selectivity threshold whereby they ingest non-nutritive items ('non-food') in lieu of food (engaging in pica/lithophagia), (2) their behaviour, or (3) the implications of these behaviours are not documented. By examining carcasses of seabirds that ingested pumice of known provenance prior to death, we provide insights into whether wild animals starve because they have eaten non-food, or whether they eat non-food because they are starving. We investigated ingestion of pumice and plastic in carcasses of short-tailed shearwaters Ardenna tenuirostris following a significant starvation mortality event (also known as seabird wreck), during which millions of shearwaters died along the eastern Australian coastline in 2013. We found that the stomachs of 96.5% of 172 seabirds sampled contained pumice or plastic at the time of death. We used global location sensors to track the 2013 shearwater migration and overlaid these tracks with the dispersing pumice raft from the 2012 Havre underwater volcanic eruption, Kermadec Islands, New Zealand. We determined that shearwaters in a starved state had ingested pumice 12-41 h before death, indicating that starving or food-stressed seabirds exhibit reduced prey discrimination. The provenance of the ingested plastic was not known. Ingestion of non-nutritive items has serious implications for wildlife, particularly long-lived or migrating species. Additional risk to already nutritionally compromised animals includes dietary dilution, gastric foreign body obstruction and toxicity. With a projected changing climate and increased marine pollution and over-exploitation of resources, this study has implications for the interaction of stressors, mass mortalities and exacerbation of existing threats to marine species.</t>
  </si>
  <si>
    <t>[Roman, Lauren] CSIRO Oceans &amp; Atmosphere, Hobart, Tas 7004, Australia; [Roman, Lauren; Bool, Natalie] Univ Tasmania, Inst Marine &amp; Antarctic Studies, Hobart, Tas 7004, Australia; [Bryan, Scott; Gustafson, Leah] Queensland Univ Technol, Sch Earth &amp; Atmospher Sci, Brisbane, Qld 4001, Australia; [Townsend, Kathy] Univ Sunshine Coast, Fac Sci Technol &amp; Engn, Hervey Bay 4655, Australia</t>
  </si>
  <si>
    <t>Commonwealth Scientific &amp; Industrial Research Organisation (CSIRO); University of Tasmania; Queensland University of Technology (QUT); University of the Sunshine Coast</t>
  </si>
  <si>
    <t>Roman, L (corresponding author), CSIRO Oceans &amp; Atmosphere, Hobart, Tas 7004, Australia.;Roman, L (corresponding author), Univ Tasmania, Inst Marine &amp; Antarctic Studies, Hobart, Tas 7004, Australia.</t>
  </si>
  <si>
    <t>lauren.roman@csiro.au</t>
  </si>
  <si>
    <t>Roman, Lauren/K-3804-2015; Townsend, Kathy/K-9486-2016</t>
  </si>
  <si>
    <t>Roman, Lauren/0000-0003-3591-4905; Townsend, Kathy/0000-0002-2581-2158; Gustafson, Leah/0000-0003-2760-1044</t>
  </si>
  <si>
    <t>QUT Vacation Research Experience Scholarship</t>
  </si>
  <si>
    <t>We acknowledge those who assisted in the collection of short-tailed shearwaters used in this study from beaches in Eastern Australia. We thank Linda Behrendorff (Queensland Parks and Wildlife Service), David Stewart (Queensland Department of Environment and Science) and Currumbin Wildlife Sanctuary Hospital, Chief Veterinarian Dr. Mic Pyne (Currumbin Wildlife Sanctuary Hospital) for donation of seabird carcasses. We also thank the University of Queensland's Moreton Bay Research Station where necropsies took place. This research was financially supported by a QUT Vacation Research Experience Scholarship to L.G.</t>
  </si>
  <si>
    <t>MAR 18</t>
  </si>
  <si>
    <t>10.3354/meps13626</t>
  </si>
  <si>
    <t>RT4NX</t>
  </si>
  <si>
    <t>WOS:000644438800011</t>
  </si>
  <si>
    <t>Testa, G; Piñones, A; Castro, LR</t>
  </si>
  <si>
    <t>Testa, Giovanni; Pinones, Andrea; Castro, Leonardo R.</t>
  </si>
  <si>
    <t>Physical and Biogeochemical Regionalization of the Southern Ocean and the CCAMLR Zone 48.1</t>
  </si>
  <si>
    <t>Southern Ocean; CCAMLR 48; 1; regionalization; spatial variability; biogeochemistry</t>
  </si>
  <si>
    <t>ANTARCTIC PENINSULA; SEA-ICE; PHYTOPLANKTON BLOOMS; IRON FERTILIZATION; MARINE SYSTEM; SURFACE-WATER; CLIMATE; KRILL; BIOGEOGRAPHY; VARIABILITY</t>
  </si>
  <si>
    <t>The Southern Ocean plays a major role in the Earth's climate, provides fisheries products and help the maintenance of biodiversity. The degree of correspondence between physical and biogeochemical spatial variability and regionalization were investigated by calculating the main physical factors that statistically explained the biogeochemical variability within the Southern Ocean and the 48.1 zone of the Commission for the Conservation of Antarctic Marine Living Resources (CCAMLR). The mean value of physical and biogeochemical variables was estimated during austral summer within a grid of 1 degrees x 1 degrees south of 50 degrees S. The regionalization was developed using both non-hierarchical and hierarchical clustering method, whereas BIO-ENV package and distance-based redundancy analysis (db-RDA) were applied in order to calculate which physical factors primarily explained the biogeochemical spatial variability. A total of 12 physical and 18 biogeochemical significant clusters were identified for the Southern Ocean (alpha: 0.05). The combination of bathymetry and sea ice coverage majorly explained biogeochemical variability (Spearman rank correlation coefficient: 0.68) and db-RDA indicated that physical variables expressed the 60.1% of biogeochemical variance. On the other hand, 14 physical and 16 biogeochemical significant clusters were identified for 48.1 CCAMLR zone. Bathymetry was the main factor explaining biogeochemical variability (Spearman coefficient: 0.81) and db-RDA analysis resulted in 77.1% of biogeochemical variance. The correspondence between physical and biogeochemical regions was higher for CCAMLR 48.1 zone with respect to the whole Southern Ocean. Our results provide useful information for both Southern Ocean and CCAMLR 48.1 zone ecosystem management and modeling parametrization.</t>
  </si>
  <si>
    <t>[Testa, Giovanni] Univ Concepcion, Dept Oceanog, Programa Postgrad Oceanog, Concepcion, Chile; [Testa, Giovanni; Pinones, Andrea; Castro, Leonardo R.] FONDAP Ctr Invest Dinam Ecosistemas Marinos Altas, Valdivia, Chile; [Pinones, Andrea] Univ Austral Chile, Inst Ciencias Marinas &amp; Limnol, Valdivia, Chile; [Pinones, Andrea; Castro, Leonardo R.] Univ Concepcion, Ctr Invest COPAS Sur Austral, Concepcion, Chile; [Castro, Leonardo R.] Univ Concepcion, Fac Ciencias Nat &amp; Oceanog, Dept Oceanog, Concepcion, Chile</t>
  </si>
  <si>
    <t>Universidad de Concepcion; Universidad Austral de Chile; Universidad de Concepcion; Universidad de Concepcion</t>
  </si>
  <si>
    <t>Piñones, A (corresponding author), FONDAP Ctr Invest Dinam Ecosistemas Marinos Altas, Valdivia, Chile.;Piñones, A (corresponding author), Univ Austral Chile, Inst Ciencias Marinas &amp; Limnol, Valdivia, Chile.;Piñones, A (corresponding author), Univ Concepcion, Ctr Invest COPAS Sur Austral, Concepcion, Chile.</t>
  </si>
  <si>
    <t>andrea.pinones@uach.cl</t>
  </si>
  <si>
    <t>Pinones, Andrea/0000-0002-1737-9016; Testa, Giovanni/0000-0002-0787-606X</t>
  </si>
  <si>
    <t>FONDECYT [11170913]; FONDAP [15150003]; National Agency for Research and Development (ANID)/PFCHA/Doctorado Nacional [21170561]; COPAS Sur Austral ANID PIA Apoyo CCTE [AFB 170006]</t>
  </si>
  <si>
    <t>FONDECYT(Comision Nacional de Investigacion Cientifica y Tecnologica (CONICYT)CONICYT FONDECYT); FONDAP; National Agency for Research and Development (ANID)/PFCHA/Doctorado Nacional; COPAS Sur Austral ANID PIA Apoyo CCTE</t>
  </si>
  <si>
    <t>This study was supported by FONDECYT 11170913, FONDAP 15150003, National Agency for Research and Development (ANID)/PFCHA/Doctorado Nacional/2017-21170561, and COPAS Sur Austral ANID PIA Apoyo CCTE AFB 170006.</t>
  </si>
  <si>
    <t>10.3389/fmars.2021.592378</t>
  </si>
  <si>
    <t>RG5JN</t>
  </si>
  <si>
    <t>WOS:000635574500001</t>
  </si>
  <si>
    <t>Jackson, EE; Hawes, I; Jungblut, AD</t>
  </si>
  <si>
    <t>Jackson, Eleanor E.; Hawes, Ian; Jungblut, Anne D.</t>
  </si>
  <si>
    <t>16S rRNA gene and 18S rRNA gene diversity in microbial mat communities in meltwater ponds on the McMurdo Ice Shelf, Antarctica</t>
  </si>
  <si>
    <t>Microbial mat; 16S rRNA; 18S rRNA; Aquatic ecosystems; Ice shelf; Antarctica</t>
  </si>
  <si>
    <t>BRATINA ISLAND; VICTORIA LAND; ALGAL MATS; MELT PONDS; BIODIVERSITY; PATTERNS; STREAMS; VALLEY</t>
  </si>
  <si>
    <t>The undulating ice of the McMurdo Ice Shelf, Southern Victoria Land, supports one of the largest networks of ice-based, multiyear meltwater pond habitats in Antarctica, where microbial mats are abundant and contribute most of the biomass and biodiversity. We used 16S rRNA and 18S rRNA gene high-throughput sequencing to compare variance of the community structure in microbial mats within and between ponds with different salinities and pH. Proteobacteria and Cyanobacteria were the most abundant phyla, and composition at OTU level was highly specific for the meltwater ponds with strong community sorting along the salinity gradient. Our study provides the first detailed evaluation of eukaryote communities for the McMurdo Ice Shelf using the 18S rRNA gene. They were dominated by Ochrophyta, Chlorophyta and Ciliophora, consistent with previous microscopic analyses, but many OTUs belonging to less well-described heterotrophic protists from Antarctic ice shelves were also identified including Amoebozoa, Rhizaria and Labyrinthulea. Comparison of 16S and 18S rRNA gene communities showed that the Eukaryotes had lower richness and greater similarity between ponds in comparison with Bacteria and Archaea communities on the McMurdo Ice shelf. While there was a weak correlation between community dissimilarity and geographic distance, the congruity of microbial assemblages within ponds, especially for Bacteria and Archaea, implies strong habitat filtering in ice shelf meltwater pond ecosystems, especially due to salinity. These findings help to understand processes that are important in sustaining biodiversity and the impact of climate change on ice-based aquatic habitats in Antarctica.</t>
  </si>
  <si>
    <t>[Jackson, Eleanor E.; Jungblut, Anne D.] Nat Hist Museum, Life Sci Dept, Cromwell Rd 18, London SW7 5BD, England; [Jackson, Eleanor E.] Univ Reading, Sch Biol Sci, Reading, Berks, England; [Hawes, Ian] Univ Waikato, Coastal Marine Field Stn, 58 Cross Rd, Tauranga 3110, New Zealand</t>
  </si>
  <si>
    <t>Natural History Museum London; University of Reading; University of Waikato</t>
  </si>
  <si>
    <t>Jungblut, AD (corresponding author), Nat Hist Museum, Life Sci Dept, Cromwell Rd 18, London SW7 5BD, England.</t>
  </si>
  <si>
    <t>a.jungblut@nhm.ac.uk</t>
  </si>
  <si>
    <t>Jackson, Eleanor/ABE-8939-2021</t>
  </si>
  <si>
    <t>Jackson, Eleanor/0000-0002-9884-2972; Jungblut, Anne D./0000-0002-4569-8233</t>
  </si>
  <si>
    <t>10.1007/s00300-021-02843-2</t>
  </si>
  <si>
    <t>RG7EP</t>
  </si>
  <si>
    <t>WOS:000630296500003</t>
  </si>
  <si>
    <t>Tonicelli, GA; Croce, ME; Díaz-Tapia, P; Fredericq, S; Freshwater, DW; Gauna, MC; Parodi, ER; Verbruggen, H; Hommersand, MH</t>
  </si>
  <si>
    <t>Tonicelli, Gina A.; Croce, Maria Emilia; Diaz-Tapia, Pilar; Fredericq, Suzanne; Freshwater, David Wilson; Gauna, Maria Cecilia; Parodi, Elisa R.; Verbruggen, Heroen; Hommersand, Max H.</t>
  </si>
  <si>
    <t>Meridionella gen. nov., a New Genus of Cystocloniaceae (Gigartinales, Rhodophyta) from the Southern Hemisphere, Including M. obtusangula comb. nov. and M. antarctica sp. nov.</t>
  </si>
  <si>
    <t>JOURNAL OF PHYCOLOGY</t>
  </si>
  <si>
    <t>18S rRNA; Antarctica; biogeography; COI‐ 5P; cryptic species; Cystoclonium; rbcL; South America; UPA</t>
  </si>
  <si>
    <t>FAMILY KALLYMENIACEAE GIGARTINALES; NORTH-CAROLINA; RHEOLOGICAL PROPERTIES; GENETIC-DIVERGENCE; RED ALGA; MORPHOLOGY; SYSTEMATICS; DIVERSITY; GENERA; AUSTRALIA</t>
  </si>
  <si>
    <t>The classification of Cystoclonium obtusangulum has been questioned since the species was first described by Hooker and Harvey as Gracilaria? obtusangula. The objective of this study was to provide the first comprehensive taxonomic analysis of Cystoclonium obtusangulum, based on DNA sequences coupled with morphological observations made on syntype specimens and new collections. Sequence divergences of rbcL, UPA, and COI-5P, and maximum-likelihood phylogenies for rbcL and 18S demonstrated that specimens identified as Cystoclonium obtusangulum represent a clade of two distinct species that are distantly related to the generitype Cystoclonium purpureum. A new genus, Meridionella gen. nov., is proposed for this clade. The two species placed in this new genus were morphologically indistinguishable cryptic species, but have disjunct distributions, with Meridionella obtusangula comb. nov. found from temperate to cold coasts of South America and the Falkland Islands and Meridionella antarctica sp. nov., occurring in Antarctic waters. Vegetative and reproductive characters of Meridionella gen. nov. are described, and implications of our results for the biogeography of the family Cystocloniaceae are discussed.</t>
  </si>
  <si>
    <t>[Tonicelli, Gina A.; Croce, Maria Emilia; Gauna, Maria Cecilia; Parodi, Elisa R.] CONICET UNS, Inst Argentino Oceanog, Camino Carrindanga Km 7-5, RA-8000 Bahia Blanca, Buenos Aires, Argentina; [Tonicelli, Gina A.; Croce, Maria Emilia; Gauna, Maria Cecilia; Parodi, Elisa R.] Univ Nacl Sur, Dept Biol Bioquim &amp; Farm, San Juan 670, RA-8000 Bahia Blanca, Buenos Aires, Argentina; [Diaz-Tapia, Pilar] Univ A Coruna, Fac Sci, Coastal Biol Res Grp, La Coruna 15071, Spain; [Diaz-Tapia, Pilar] Univ A Coruna, Ctr Adv Sci Res CICA, La Coruna 15071, Spain; [Diaz-Tapia, Pilar] Ctr Oceanog A Coruna, Inst Espanol Oceanog IEO, Apdo 130, La Coruna 15080, Spain; [Fredericq, Suzanne] Univ Louisiana Lafayette, Dept Biol, Lafayette, LA 70504 USA; [Freshwater, David Wilson] Univ N Carolina, Ctr Marine Sci, 5600 Marvin Moss Lane, Wilmington, NC 28409 USA; [Verbruggen, Heroen] Univ Melbourne, Sch BioSci, Melbourne, Vic 3010, Australia; [Hommersand, Max H.] Univ N Carolina, Dept Biol, Chapel Hill, NC 27599 USA</t>
  </si>
  <si>
    <t>National University of the South; Consejo Nacional de Investigaciones Cientificas y Tecnicas (CONICET); National University of the South; Universidade da Coruna; Universidade da Coruna; Centro interdisciplinar de Quimica e Bioloxia CICA; Spanish Institute of Oceanography; University of Louisiana Lafayette; University of North Carolina; University of North Carolina Wilmington; University of Melbourne; Melbourne Genomics Health Alliance; University of North Carolina; University of North Carolina Chapel Hill</t>
  </si>
  <si>
    <t>Croce, ME (corresponding author), CONICET UNS, Inst Argentino Oceanog, Camino Carrindanga Km 7-5, RA-8000 Bahia Blanca, Buenos Aires, Argentina.;Croce, ME (corresponding author), Univ Nacl Sur, Dept Biol Bioquim &amp; Farm, San Juan 670, RA-8000 Bahia Blanca, Buenos Aires, Argentina.</t>
  </si>
  <si>
    <t>ecroce@criba.edu.ar</t>
  </si>
  <si>
    <t>Verbruggen, Heroen/C-6951-2009; Díaz-Tapia, Pilar/A-6775-2014</t>
  </si>
  <si>
    <t>Verbruggen, Heroen/0000-0002-6305-4749; Díaz-Tapia, Pilar/0000-0003-4680-4867; Tonicelli, Gina/0000-0001-7333-8078; Croce, Maria Emilia/0000-0002-8032-830X</t>
  </si>
  <si>
    <t>CONICET [PGI CSU-24/B234, P-UE IADO 22920160100057CO, PIP 11220130100070CO]; CMS DNA-Algal Trust; [03-IN858A2019-1630129]</t>
  </si>
  <si>
    <t>CONICET(Consejo Nacional de Investigaciones Cientificas y Tecnicas (CONICET)); CMS DNA-Algal Trust;</t>
  </si>
  <si>
    <t>This study is part of a PhD thesis project currently carried out by G. A. Tonicelli, Consejo Nacional de Investigaciones Cientificas y Tecnicas (CONICET) fellow. The Secretary of Science and Technology of the Universidad Nacional del Sur and CONICET provided funds, through grants PGI CSU-24/B234, P-UE IADO 22920160100057CO, and PIP 11220130100070CO, respectively, to E.R. Parodi, Consejo Nacional de Investigaciones Cientificas y Tecnicas (CONICET) researcher. The collaboration between Australian and Argentinean institutions was possible thanks to the Endeavour Research Fellowship program, granted to M. Emilia Croce by the Department of Education and Training, Australian Government. Xunta de Galicia provides support to P. Diaz-Tapia through Programa Talento Senior (03-IN858A2019-1630129). CMS DNA-Algal Trust provided funds to D. W. Freshwater for the molecular work done on this project. The authors wish to thank Geoffrey Leister for providing valuable information and insight on the historical specimens studied, and also Maggi Amsler and Chuck Amsler for providing specimens from the Antarctic Peninsula.</t>
  </si>
  <si>
    <t>0022-3646</t>
  </si>
  <si>
    <t>1529-8817</t>
  </si>
  <si>
    <t>J PHYCOL</t>
  </si>
  <si>
    <t>J. Phycol.</t>
  </si>
  <si>
    <t>10.1111/jpy.13127</t>
  </si>
  <si>
    <t>SS8AI</t>
  </si>
  <si>
    <t>WOS:000630087700001</t>
  </si>
  <si>
    <t>Rombolá, E; Franzosi, C; Tosonotto, G; Vivequin, S; Alder, V; Marschoff, E</t>
  </si>
  <si>
    <t>Rombola, E.; Franzosi, C.; Tosonotto, G.; Vivequin, S.; Alder, V.; Marschoff, E.</t>
  </si>
  <si>
    <t>Density and distribution of euphausiid larvae in the Scotia Sea in the 2011 summer</t>
  </si>
  <si>
    <t>Euphausiid larvae; Density; Geographical distribution; Scotia Sea</t>
  </si>
  <si>
    <t>THYSANOESSA-MACRURA EUPHAUSIACEA; BRANSFIELD STRAIT; ATLANTIC SECTOR; ANTARCTIC KRILL; LIFE-HISTORY; CRUSTACEA-EUPHAUSIACEA; WEDDELL SEA; SUPERBA; TEMPERATURE; VARIABILITY</t>
  </si>
  <si>
    <t>Monitoring of early euphausiid larvae provides valuable information on the mechanisms involved in recruitment to the adult populations. As the Antarctic is undergoing rapid environmental change, these mechanisms are key to ecosystem-based management of the krill fishery. We analyzed the distribution and abundance of early euphausiid larvae (calyptopes I to late furciliae) from 76 plankton samples from surface to 300 m depth in the Atlantic sector in January 2011 in relation with a previous survey and published information. Thysanoessa macrura (mean density: 209 ind m(-2)) dominated the sampling while Euphausia superba (mean density: 13.63 ind m(-2)) and Euphausia frigida (mean density: 10.05 ind m(-2)) were also present. T. macrura density increased while E. superba experienced a high decrease respect to historical data. Clustering of stations and correspondence analysis showed that the associations of larvae and water masses are in agreement with literature reports, so the differences on the abundance of early larvae are within the observed variability and cannot be attributed to any single factor, suggesting that it is due to more subtle changes such as the stability of the water column and/or vorticity in the fronts.</t>
  </si>
  <si>
    <t>[Rombola, E.; Franzosi, C.; Tosonotto, G.; Vivequin, S.; Alder, V.; Marschoff, E.] Inst Antartico Argentino, Direcc Nacl Antartico, 25 Mayo 1143, San Martin, Buenos Aires, Argentina; [Rombola, E.; Alder, V.] Consejo Nacl Invest Cient &amp; Tecn, Buenos Aires, DF, Argentina; [Alder, V.] Univ Buenos Aires, Dept Ecol Genet &amp; Evoluc, Fac Ciencias Exactas &amp; Nat, Intendente Guiraldes 2160 Ciudad Univ C1428EGA, Buenos Aires, DF, Argentina</t>
  </si>
  <si>
    <t>Instituto Antartico Argentino; Consejo Nacional de Investigaciones Cientificas y Tecnicas (CONICET); University of Buenos Aires</t>
  </si>
  <si>
    <t>Rombolá, E (corresponding author), Inst Antartico Argentino, Direcc Nacl Antartico, 25 Mayo 1143, San Martin, Buenos Aires, Argentina.;Rombolá, E (corresponding author), Consejo Nacl Invest Cient &amp; Tecn, Buenos Aires, DF, Argentina.</t>
  </si>
  <si>
    <t>rombola_emilce@hotmail.com</t>
  </si>
  <si>
    <t>Rombola, Emilce Florencia/0000-0003-1863-1911; Alder, Viviana A./0000-0002-7375-3279</t>
  </si>
  <si>
    <t>PICTO (Agencia Nacional de Promocion Cientifica y Tecnologica) [118-2010]; Instituto Antartico Argentino</t>
  </si>
  <si>
    <t>PICTO (Agencia Nacional de Promocion Cientifica y Tecnologica); Instituto Antartico Argentino</t>
  </si>
  <si>
    <t>We wish to thank members of Puerto Deseado Oceanographic vessel and scientists from Instituto Antartico Argentino for their logistic help during the campaign. The financial support was partially covered by PICTO 118-2010 (Agencia Nacional de Promocion Cientifica y Tecnologica) and Instituto Antartico Argentino, the Direccion Nacional del Antartico provided the logistic support of the campaign. We wish to thank reviewer #3 M Hamame and the other anonymous referees for comments that greatly improved the paper.</t>
  </si>
  <si>
    <t>10.1007/s00300-021-02836-1</t>
  </si>
  <si>
    <t>WOS:000629869300001</t>
  </si>
  <si>
    <t>Hinchliffe, C; Smith, JA; Everett, JD; Falster, DS; Lara-Lopez, A; Miskiewicz, AG; Richardson, AJ; Schilling, HT; Suthers, IM</t>
  </si>
  <si>
    <t>Hinchliffe, Charles; Smith, James A.; Everett, Jason D.; Falster, Daniel S.; Lara-Lopez, Ana; Miskiewicz, Anthony G.; Richardson, Anthony J.; Schilling, Hayden T.; Suthers, Iain M.</t>
  </si>
  <si>
    <t>Modelling the distribution of larval fish in a western boundary current using a multi-voyage database</t>
  </si>
  <si>
    <t>Ichthyoplankton; Fishes; Dispersal; Climatology; Phenology; Climate change</t>
  </si>
  <si>
    <t>EAST AUSTRALIAN CURRENT; LONG-TERM TRENDS; CLIMATE-CHANGE; SOUTHEASTERN AUSTRALIA; MESOPELAGIC FISHES; SPECIES RICHNESS; MARINE; SOUTHERN; OCEAN; ZOOPLANKTON</t>
  </si>
  <si>
    <t>Across the world's oceans, western boundary currents are strengthening and warming faster than the global average. This is expected to have large impacts on the distribution of pelagic fishes, as their dispersal and physiological range limits shift. Monitoring the distribution of larval fish assemblages, sampled with plankton nets, allows for population and community-level responses to climate-driven changes to be observed without reliance on fisheries data. Here, we characterise patterns in the distribution of larval fish over 15 degrees of latitude with highly variable conditions driven by a western boundary current, the East Australian Current, using a newly available larval fish database supplemented with recently collected samples. Using generalized additive mixed models, we show strong non-linear relationships between larval fish taxonomic richness and abundance with latitude. During autumn, winter and spring, both larval fish abundance and richness are greater in equatorward latitudes (28 degrees S) than in more poleward ones (43 degrees S), with this pattern reversed during the summer. The region where the East Australian Current separates from the coast delineates a zone of marked change in larval fish richness and abundance. Analyses of larval fish assemblages using Gaussian copula graphics models revealed a strong association between assemblage composition and temperature. The direction of temperature effects on individual taxa varied greatly, highlighting the complex nature of possible climate-driven shifts. Our study highlights the utility of compiling multi-voyage databases and their role in monitoring the global oceans.</t>
  </si>
  <si>
    <t>[Hinchliffe, Charles; Smith, James A.; Everett, Jason D.; Falster, Daniel S.; Miskiewicz, Anthony G.; Schilling, Hayden T.; Suthers, Iain M.] Univ New South Wales, Sch Biol Earth &amp; Environm Sci, Sydney, NSW 2052, Australia; [Smith, James A.] Univ Calif Santa Cruz, Inst Marine Sci, Santa Cruz, CA 95064 USA; [Everett, Jason D.; Richardson, Anthony J.] Univ Queensland, Sch Math &amp; Phys, Ctr Applicat Nat Resource Math, St Lucia, Qld 4072, Australia; [Lara-Lopez, Ana] Univ Tasmania, Inst Marine &amp; Antarctic Studies, Private Bag 110, Hobart, Tas 7001, Australia; [Miskiewicz, Anthony G.] Australian Museum, Res Inst, Ichthyol, 1 William St, Sydney, NSW 2010, Australia; [Richardson, Anthony J.] Queensland BioSci Precinct QBP, CSIRO Oceans &amp; Atmosphere, St Lucia, Qld 4072, Australia; [Schilling, Hayden T.; Suthers, Iain M.] Sydney Inst Marine Sci, Bldg 19,Chowder Bay Rd, Mosman, NSW 2088, Australia</t>
  </si>
  <si>
    <t>University of New South Wales Sydney; University of California System; University of California Santa Cruz; University of Queensland; University of Tasmania; Australian Museum; Commonwealth Scientific &amp; Industrial Research Organisation (CSIRO); Sydney Institute of Marine Science</t>
  </si>
  <si>
    <t>Hinchliffe, C (corresponding author), Univ New South Wales, Sch Biol Earth &amp; Environm Sci, Sydney, NSW 2052, Australia.</t>
  </si>
  <si>
    <t>c.hinchliffe@unsw.edu.au</t>
  </si>
  <si>
    <t>Richardson, Anthony J/B-3649-2010; Falster, Daniel/AFP-7008-2022; Schilling, Hayden/K-1659-2019; Suthers, Iain/C-4559-2008; Everett, Jason/C-4557-2008</t>
  </si>
  <si>
    <t>Richardson, Anthony J/0000-0002-9289-7366; Falster, Daniel/0000-0002-9814-092X; Schilling, Hayden/0000-0002-7291-347X; Lara-Lopez, Ana/0000-0003-2896-1367; Suthers, Iain/0000-0002-9340-7461; Everett, Jason/0000-0002-6681-8054; Smith, James/0000-0002-0496-3221; Hinchliffe, Charles/0000-0001-9625-4088</t>
  </si>
  <si>
    <t>Australian Fisheries Management Authority [2015/0819]; Integrated Marine Observing System (IMOS); Australian Government Research Training Program Scholarship; Australian Research Council [DP150102656, DP190102293]; Research Technology Services at UNSW Sydney</t>
  </si>
  <si>
    <t>Australian Fisheries Management Authority; Integrated Marine Observing System (IMOS); Australian Government Research Training Program Scholarship(Australian GovernmentDepartment of Industry, Innovation and Science); Australian Research Council(Australian Research Council); Research Technology Services at UNSW Sydney</t>
  </si>
  <si>
    <t>We thank all researchers who contributed to the IMOS Larval fish database, and the crews of the vessels who obtained the samples. We particularly acknowledge the on-going support of the Marine National Facility. The dataset which allowed us to undertake this study is the outcome of some dedicated postgraduate and honours students over the past three decades, and includes the efforts of many volunteers who provided a helping hand. We acknowledge the Australian Fisheries Management Authority who funded part of this study (Grant: 2015/0819). We acknowledge the support of the Integrated Marine Observing System (IMOS), which currently undertakes the larval fish monitoring at the National Reference Stations. CH is funded by an Australian Government Research Training Program Scholarship. JDE was funded by Australian Research Council Discovery Projects DP150102656 and DP190102293. This research includes computations using the computational cluster Katana supported by Research Technology Services at UNSW Sydney.</t>
  </si>
  <si>
    <t>10.1007/s11160-021-09647-x</t>
  </si>
  <si>
    <t>RU3YP</t>
  </si>
  <si>
    <t>WOS:000630253500001</t>
  </si>
  <si>
    <t>Gavrilo, MV; Chupin, II; Kozlov, MV</t>
  </si>
  <si>
    <t>Gavrilo, Maria, V; Chupin, Igor I.; Kozlov, Mikhail, V</t>
  </si>
  <si>
    <t>Carried with the wind: mass occurrence of Zeiraphera griseana (Hubner, 1799) (Lepidoptera, Tortricidae) on Vize Island (Russian High Arctic)</t>
  </si>
  <si>
    <t>NOTA LEPIDOPTEROLOGICA</t>
  </si>
  <si>
    <t>PENINSULA; INSECTA</t>
  </si>
  <si>
    <t>Vize Island, located in the northern part of the Kara Sea (79 degrees 30'N, 76 degrees 59'E), is one of the least studied islands of the Russian High Arctic in terms of its biota. Hundreds of live and freshly dead individuals of Larch Budmoth Zeiraphera griseana (Hubner, 1799) were observed on this island from 16 July-2 August 2020. This is the first and the only terrestrial invertebrate ever discovered on Vize Island. The moths were likely transported to the island by air currents from the northern part of the Krasnoyarsk region, where an outbreak of Z. griseana was reported on over 75,000 ha. The distance travelled by moths approached 1200 km. Thus, the high Arctic islands are less isolated from insect migrants than was commonly thought. These islands will be colonised by boreal insects as soon as changing environmental conditions allow the establishment of local populations.</t>
  </si>
  <si>
    <t>[Gavrilo, Maria, V] Arctic &amp; Antarctic Res Inst, Bering Str 38, St Petersburg 198397, Russia; [Chupin, Igor I.] Russian Acad Sci, Inst Systemat &amp; Ecol Anim, Siberian Branch, Frunze Str 11, Novosibirsk 630091, Russia; [Kozlov, Mikhail, V] Univ Turku, Dept Biol, Turku 20014, Finland</t>
  </si>
  <si>
    <t>Arctic &amp; Antarctic Research Institute; Russian Academy of Sciences; University of Turku</t>
  </si>
  <si>
    <t>Gavrilo, MV (corresponding author), Arctic &amp; Antarctic Res Inst, Bering Str 38, St Petersburg 198397, Russia.</t>
  </si>
  <si>
    <t>m_gavrilo@mail.ru; chupin.i@mail.ru; mikoz@utu.fi</t>
  </si>
  <si>
    <t>Gavrilo, Maria V/R-7091-2016; Kozlov, Mikhail V./I-5037-2013</t>
  </si>
  <si>
    <t>Gavrilo, Maria V/0000-0002-3500-9617;</t>
  </si>
  <si>
    <t>Societas Europaea Lepidopterologica (SEL)</t>
  </si>
  <si>
    <t>The expedition work was carried out within the framework of the Scientific Research Plan of the Arctic and Antarctic Research Institute for 2020. We are grateful to the staff of the Polar Station Vize for their hospitality, and we thank our colleague Yu. Davydova and Vize station technician V. Khrustalyev for their valuable assistance and three reviewers and David Lees for their comments. The publication was supported by the Societas Europaea Lepidopterologica (SEL).</t>
  </si>
  <si>
    <t>PENSOFT PUBLISHERS</t>
  </si>
  <si>
    <t>SOFIA</t>
  </si>
  <si>
    <t>12 PROF GEORGI ZLATARSKI ST, SOFIA, 1700, BULGARIA</t>
  </si>
  <si>
    <t>0342-7536</t>
  </si>
  <si>
    <t>2367-5365</t>
  </si>
  <si>
    <t>NOTA LEPIDOPTEROLOGI</t>
  </si>
  <si>
    <t>MAR 17</t>
  </si>
  <si>
    <t>10.3897/nl.44.63662</t>
  </si>
  <si>
    <t>QY6WJ</t>
  </si>
  <si>
    <t>WOS:000630178100003</t>
  </si>
  <si>
    <t>Kylander, ME; Holm, M; Fitchett, J; Grab, S; Cortizas, AM; Norström, E; Bindler, R</t>
  </si>
  <si>
    <t>Kylander, Malin E.; Holm, Mikaela; Fitchett, Jennifer; Grab, Stefan; Martinez Cortizas, Antonio; Norstrom, Elin; Bindler, Richard</t>
  </si>
  <si>
    <t>Late glacial (17,060-13,400 cal yr BP) sedimentary and paleoenvironmental evolution of the Sekhokong Range (Drakensberg), southern Africa</t>
  </si>
  <si>
    <t>LATE PLEISTOCENE; CLIMATE-CHANGE; HOLOCENE PALEOENVIRONMENTS; PRECIPITATION HISTORY; ISOTOPIC EVIDENCE; ORGANIC-MATTER; STABLE CARBON; WESTERN CAPE; POLLEN; LESOTHO</t>
  </si>
  <si>
    <t>Southern Africa sits at the junction of tropical and temperate systems, leading to the formation of seasonal precipitation zones. Understanding late Quaternary paleoclimatic change in this vulnerable region is hampered by a lack of available, reliably-dated records. Here we present a sequence from a well-stratified sedimentary infill occupying a lower slope basin which covers 17,060 to 13,400 cal yr BP with the aim to reconstruct paleoclimatic variability in the high Drakensberg during the Late Glacial. We use a combination of pollen, total organic carbon and nitrogen, delta C-13, Fourier transform infrared spectroscopy attenuated total reflectance (FTIR-ATR) spectral and elemental data on contiguous samples with high temporal resolution (10 to 80 years per sample). Our data support a relatively humid environment with considerable cold season precipitation during what might have been the final stage of niche-glaciation on the adjoining southern aspects around 17,000 cal yr BP. Then, after an initial warmer and drier period starting similar to 15,600 cal yr BP, we identify a return to colder and drier conditions with more winter precipitation starting similar to 14,380 cal yr BP, which represents the first local evidence for the Antarctic Cold Reversal (ACR) in this region. On decadal to centennial timescales, the Late Glacial period was one marked by considerable climatic fluctuation and bi-directional environmental change, which has not been identified in previous studies for this region. Our study shows complex changes in both moisture and thermal conditions providing a more nuanced picture of the Late Glacial for the high Drakensburg.</t>
  </si>
  <si>
    <t>[Kylander, Malin E.; Holm, Mikaela] Stockholm Univ, Dept Geol Sci, Stockholm, Sweden; [Kylander, Malin E.; Holm, Mikaela; Norstrom, Elin] Stockholm Univ, Bolin Ctr Climate Res, Stockholm, Sweden; [Fitchett, Jennifer; Grab, Stefan] Univ Witwatersrand, Sch Geog Archaeol &amp; Environm Studies, Johannesburg, South Africa; [Martinez Cortizas, Antonio] Univ Santiago Compostela, Fac Biol, EcoPast GI 1553, Santiago De Compostela, Spain; [Norstrom, Elin] Stockholm Univ, Dept Phys Geog, Stockholm, Sweden; [Bindler, Richard] Umea Univ, Dept Ecol &amp; Environm Sci, Umea, Sweden</t>
  </si>
  <si>
    <t>Stockholm University; University of Witwatersrand; Universidade de Santiago de Compostela; Stockholm University; Umea University</t>
  </si>
  <si>
    <t>Kylander, ME (corresponding author), Stockholm Univ, Dept Geol Sci, Stockholm, Sweden.;Kylander, ME (corresponding author), Stockholm Univ, Bolin Ctr Climate Res, Stockholm, Sweden.</t>
  </si>
  <si>
    <t>malin.kylander@geo.su.se</t>
  </si>
  <si>
    <t>Fitchett, Jennifer/ABE-7179-2021; Martínez-Cortizas, Antonio/M-6196-2015</t>
  </si>
  <si>
    <t>Fitchett, Jennifer/0000-0002-0854-1720; Martínez-Cortizas, Antonio/0000-0003-0430-5760; Kylander, Malin/0000-0001-8787-5069; Bindler, Richard/0000-0002-7900-309X</t>
  </si>
  <si>
    <t>Bolin Centre for Climate Research; Swedish Society for Anthropology and Geography (SSAG)</t>
  </si>
  <si>
    <t>MEK and MH received funding from the Bolin Centre for Climate Research, Research Area 5 for completing fieldwork and age dating. MH was granted funding from the Swedish Society for Anthropology and Geography (SSAG) for fieldwork and a research visit. The funders had no role in study design, data collection and analysis, decision to publish, or preparation of the manuscript.</t>
  </si>
  <si>
    <t>e0246821</t>
  </si>
  <si>
    <t>10.1371/journal.pone.0246821</t>
  </si>
  <si>
    <t>QY9GW</t>
  </si>
  <si>
    <t>WOS:000630345000017</t>
  </si>
  <si>
    <t>Pascal, PY; Reynaud, Y; Poulin, E; De Ridder, C; Saucede, T</t>
  </si>
  <si>
    <t>Pascal, Pierre-Yves; Reynaud, Yann; Poulin, Elie; De Ridder, Chantal; Saucede, Thomas</t>
  </si>
  <si>
    <t>Feeding in spatangoids: the case of Abatus Cordatus in the Kerguelen Islands (Southern Ocean)</t>
  </si>
  <si>
    <t>Irregular sea urchin; Selectivity; Deposit feeding; Ingestion rate; Meiofauna; Nematode</t>
  </si>
  <si>
    <t>URCHIN ECHINOCARDIUM-CORDATUM; SHALLOW REEF LAGOON; FOOD WEB STRUCTURE; ECHINOIDS ECHINODERMATA; BRISSOPSIS-LYRIFERA; DISCOVERY BAY; STABLE-ISOTOPES; CLIMATE-CHANGE; FATTY-ACIDS; SEDIMENT</t>
  </si>
  <si>
    <t>Irregular urchins exclusively live in marine soft bottom habitats, dwelling either upon or inside sediments and selectively picking up sediment grains and organic particles, or swallowing bulk sediment to feed on the associated organic matter. The exact food source and dietary requirements of most irregular echinoids, however, remain incompletely understood. The schizasterid species Abatus cordatus (Verrill, 1876) is a sub-Antarctic spatangoid that is endemic to the Kerguelen. The feeding behaviour of A. cordatus was investigated using simultaneously metabarcoding and stable isotope approaches. Comparison of ingested and surrounding sediments by metabarcoding revealed a limited selective ingestion of prokaryotes and eukaryotes by the urchin. Compared to surrounding sediments, the gut content had (i) higher carbon and nitrogen concentrations potentially due to selective ingestion of organic matter and/or the sea urchin mucus secretion and (ii) delta N-15 enrichment due to the selective assimilation of lighter isotope in the gut. Feeding experiments were performed using C-13 and (15) N-enriched sediments in aquariums. The progression of stable isotope enrichment in proximal and distal parts of the digestive track of A. cordatus revealed that all particles are not similarly transported likely due to siphon functioning. Ingestion of water with associated dissolved and particulate organic matter should play an important role in urchin nutrition. A. cordatus had a gut resident time fluctuating between 76 and 101 h and an ingestion rate of 36 mg dry sediment h(-1) suggesting that dense populations of the species may play a key ecological role through bioturbation in soft bottom shallow-water habitats of the Kerguelen Islands.</t>
  </si>
  <si>
    <t>[Pascal, Pierre-Yves] Mangrove Univ Antilles, Inst Systemat Evolut Biodivers ISYEB, UMR 7205, Equipe Biol, F-97159 Pointe A Pitre, Guadeloupe, France; [Reynaud, Yann] Inst Pasteur Guadeloupe, F-97139 Les Abymes, Guadeloupe, France; [Poulin, Elie] Univ Chile, Inst Ecol &amp; Biodiversidad, Fac Ciencias, Lab Ecol Mol, Santiago, Chile; [De Ridder, Chantal] Univ Libre Bruxelles, Lab Biol Marine CP 160 15, Brussels, Belgium; [Saucede, Thomas] Univ Bourgogne Franche Comte, Biogeosci, CNRS, UMR 6282,EPHE, Dijon, France</t>
  </si>
  <si>
    <t>Museum National d'Histoire Naturelle (MNHN); Centre National de la Recherche Scientifique (CNRS); CNRS - Institute of Ecology &amp; Environment (INEE); Universite Paris Cite; Universidad de Chile; Universite Libre de Bruxelles; Centre National de la Recherche Scientifique (CNRS); Universite de Bourgogne; Universite PSL; Ecole Pratique des Hautes Etudes (EPHE)</t>
  </si>
  <si>
    <t>Pascal, PY (corresponding author), Mangrove Univ Antilles, Inst Systemat Evolut Biodivers ISYEB, UMR 7205, Equipe Biol, F-97159 Pointe A Pitre, Guadeloupe, France.</t>
  </si>
  <si>
    <t>pypascal@univ-ag.fr</t>
  </si>
  <si>
    <t>Reynaud, Yann/ABD-7936-2021; Poulin, Elie/C-2654-2012</t>
  </si>
  <si>
    <t>Poulin, Elie/0000-0001-7736-0969; Pascal, Pierre-Yves/0000-0002-7647-5999; Reynaud, Yann/0000-0002-1966-7249</t>
  </si>
  <si>
    <t>French Polar Institute [1044]; Chilean PIA CONICYT [ACT172065]; France Genomique [ANR-10-INBS-09-09]; IBISA</t>
  </si>
  <si>
    <t>French Polar Institute; Chilean PIA CONICYT; France Genomique; IBISA</t>
  </si>
  <si>
    <t>This study is a contribution to program PROTEKER (No. 1044) of the French Polar Institute and LTSER Zone ATelier Antarctique (ZATA, France). Work in the field also benefited from the support of the National Nature Reserve of the French Southern Territories and its staff and from Chilean PIA CONICYT ACT172065 for EP. We are particularly indebted to Gilles Marty, Sebastien Motreuil and to the crew of the boat Le Commerson for their invaluable help and support in the field. We would like to thank Stanislas Dubois for helpful comments about stable isotope data and Gerard Duineveld for useful suggestions. Metabarcoding sequencing performed at Biomics Platform, C2RT, Institut Pasteur, Paris, France, supported by France Genomique (ANR-10-INBS-09-09) and IBISA.</t>
  </si>
  <si>
    <t>10.1007/s00300-021-02841-4</t>
  </si>
  <si>
    <t>WOS:000629869500001</t>
  </si>
  <si>
    <t>Silber, I; Fridlind, AM; Verlinde, J; Ackerman, AS; Cesana, G; Knopf, DA</t>
  </si>
  <si>
    <t>Silber, Israel; Fridlind, Ann M.; Verlinde, Johannes; Ackerman, Andrew S.; Cesana, Gregory, V; Knopf, Daniel A.</t>
  </si>
  <si>
    <t>The prevalence of precipitation from polar supercooled clouds</t>
  </si>
  <si>
    <t>LIQUID WATER PATH; RADAR OBSERVATIONS; ICE NUCLEI; MICROWAVE RADIOMETERS; VERTICAL MOTIONS; PHASE; SNOWFALL; SURFACE; CLIMATE; TRANSFORMATIONS</t>
  </si>
  <si>
    <t>Supercooled clouds substantially impact polar surface energy budgets, but large-scale models often underestimate their occurrence, which motivates accurately establishing metrics of basic processes. An analysis of long-term measurements at Utqiagvik, Alaska, and McMurdo Station, Antarctica, combines lidar-validated use of soundings to identify supercooled cloud layers and colocated ground-based profiling radar measurements to quantify cloud base precipitation. We find that more than 85 % (75 %) of sampled supercooled layers are precipitating over the Arctic (Antarctic) site, with more than 75 % (50 %) precipitating continuously to the surface. Such high frequencies can be reconciled with substantially lesser spaceborne estimates by considering differences in radar hydrometeor detection sensitivity. While ice precipitation into supercooled clouds from aloft is common, we also find that the great majority of supercooled cloud layers without ice falling into them are themselves continuously generating precipitation. Such sustained primary ice formation is consistent with continuous activation of immersion-mode ice-nucleating particles (INPs), suggesting that supercooled cloud formation is a principal gateway to ice formation at temperatures greater than similar to -38 degrees C over polar regions. The prevalence of weak precipitation fluxes is also consistent with supercooled cloud longevity and with well-observed and widely simulated case studies. An analysis of colocated microwave radiometer retrievals suggests that weak precipitation fluxes can be nonetheless consequential to moisture budgets for supercooled clouds owing to small liquid water paths. The results here also demonstrate that the observed abundance of mixed-phase clouds can vary substantially with instrument sensitivity and methodology. Finally, we suggest that these ground-based precipitation rate statistics offer valuable guidance for improving the representation of polar cloud processes in large-scale models.</t>
  </si>
  <si>
    <t>[Silber, Israel; Verlinde, Johannes] Penn State Univ, Dept Meteorol &amp; Atmospher Sci, University Pk, PA 16802 USA; [Fridlind, Ann M.; Ackerman, Andrew S.; Cesana, Gregory, V] NASA, Goddard Inst Space Studies, New York, NY USA; [Cesana, Gregory, V] Columbia Univ, Ctr Climate Syst Res, Earth Inst, New York, NY USA; [Knopf, Daniel A.] SUNY Stony Brook, Sch Marine &amp; Atmospher Sci, Stony Brook, NY 11794 USA</t>
  </si>
  <si>
    <t>Pennsylvania Commonwealth System of Higher Education (PCSHE); Pennsylvania State University; Pennsylvania State University - University Park; National Aeronautics &amp; Space Administration (NASA); NASA Goddard Space Flight Center; Goddard Institute for Space Studies; Columbia University; State University of New York (SUNY) System; State University of New York (SUNY) Stony Brook</t>
  </si>
  <si>
    <t>Silber, I (corresponding author), Penn State Univ, Dept Meteorol &amp; Atmospher Sci, University Pk, PA 16802 USA.</t>
  </si>
  <si>
    <t>ixs34@psu.edu</t>
  </si>
  <si>
    <t>Knopf, Daniel A/F-2040-2011; Ackerman, Andrew/D-4433-2012; Fridlind, Ann/E-1495-2012; /H-8351-2017</t>
  </si>
  <si>
    <t>Knopf, Daniel A/0000-0001-7732-3922; Fridlind, Ann/0000-0002-9020-0852; /0000-0002-9121-3110; Silber, Israel/0000-0001-6588-2145; Cesana, Gregory/0000-0002-8899-0509</t>
  </si>
  <si>
    <t>U.S. Department of Energy [DE-SC0017981, DE-SC0018046, DE-SC0020006, DE-SC0021034]; National Aeronautics and Space Administration [NNX17AJ12G]; U.S. Department of Energy (DOE) [DE-SC0017981, DE-SC0020006, DE-SC0018046, DE-SC0021034] Funding Source: U.S. Department of Energy (DOE)</t>
  </si>
  <si>
    <t>U.S. Department of Energy(United States Department of Energy (DOE)); National Aeronautics and Space Administration(National Aeronautics &amp; Space Administration (NASA)); U.S. Department of Energy (DOE)(United States Department of Energy (DOE))</t>
  </si>
  <si>
    <t>This research has been supported by the U.S. Department of Energy (grant nos. DE-SC0017981, DE-SC0018046, DE-SC0020006, and DE-SC0021034) and the National Aeronautics and Space Administration (grant no. NNX17AJ12G).</t>
  </si>
  <si>
    <t>10.5194/acp-21-3949-2021</t>
  </si>
  <si>
    <t>QY7PV</t>
  </si>
  <si>
    <t>WOS:000630230400002</t>
  </si>
  <si>
    <t>Ramoneda, J; Hawes, I; Pascual-García, A; Mackey, TJ; Sumner, DY; Jungblut, AD</t>
  </si>
  <si>
    <t>Ramoneda, Josep; Hawes, Ian; Pascual-Garcia, Alberto; Mackey, Tyler J.; Sumner, Dawn Y.; Jungblut, Anne D.</t>
  </si>
  <si>
    <t>Importance of environmental factors over habitat connectivity in shaping bacterial communities in microbial mats and bacterioplankton in an Antarctic freshwater system</t>
  </si>
  <si>
    <t>FEMS MICROBIOLOGY ECOLOGY</t>
  </si>
  <si>
    <t>biofilm; bacterioplankton; freshwater; 16S rRNA gene; McMurdo Dry Valleys; Antarctica</t>
  </si>
  <si>
    <t>MCMURDO DRY VALLEYS; CLIMATE-CHANGE; ASSEMBLY PROCESSES; LAKE VANDA; ICE SHELF; DIVERSITY; CYANOBACTERIA; LANDSCAPE; PONDS; DNA</t>
  </si>
  <si>
    <t>Freshwater ecosystems are considered hotspots of biodiversity in Antarctic polar deserts. Anticipated warming is expected to change the hydrology of these systems due to increased meltwater and reduction of ice cover, with implications for environmental conditions and physical connectivity between habitats. Using 16S rRNA gene sequencing, we evaluated microbial mat and planktonic communities within a connected freshwater system in the McMurdo Wright Valley, Antarctica, to determine the roles of connectivity and habitat conditions in controlling microbial assemblage composition. We examined communities from glacial Lake Brownworth, the perennially ice-covered Lake Vanda and the Onyx River, which connects the two. In Lake Vanda, we found distinct microbial assemblages occupying sub-habitats at different lake depths, while the communities from Lake Brownworth and Onyx River were structurally similar. Despite the higher physical connectivity and dispersal opportunities between bacterial communities in the shallow parts of the system, environmental abiotic conditions dominated over dispersal in driving community structure. Functional metabolic pathway predictions suggested differences in the functional gene potential between the microbial mat communities located in shallower and deeper water depths. The findings suggest that increasing temperatures and meltwater due to future climate change will affect bacterial diversity and functioning in Antarctic freshwater ecosystems.</t>
  </si>
  <si>
    <t>[Ramoneda, Josep; Jungblut, Anne D.] Nat Hist Museum, Life Sci Dept, Cromwell Rd, London SW7 5BD, England; [Hawes, Ian] Univ Waikato, Coastal Marine Field Stn, 58 Cross Rd, Tauranga 3110, New Zealand; [Pascual-Garcia, Alberto] Swiss Fed Inst Technol, Inst Integrat Biol, Theoret Biol, Univ Str 16, CH-8006 Zurich, Switzerland; [Mackey, Tyler J.; Sumner, Dawn Y.] Univ Calif Davis, Dept Earth &amp; Planetary Sci, One Shields Ave, Davis, CA 95618 USA; [Ramoneda, Josep] Swiss Fed Inst Aquat Sci &amp; Technol Eawag, Dept Environm Microbiol, CH-8600 Dubendorf, Switzerland; [Mackey, Tyler J.] Univ New Mexico, Dept Earth &amp; Planetary Sci, 221 Yale Blvd NE, Albuquerque, NM 87131 USA</t>
  </si>
  <si>
    <t>Natural History Museum London; University of Waikato; Swiss Federal Institutes of Technology Domain; ETH Zurich; University of California System; University of California Davis; Swiss Federal Institutes of Technology Domain; Swiss Federal Institute of Aquatic Science &amp; Technology (EAWAG); University of New Mexico</t>
  </si>
  <si>
    <t>Jungblut, AD (corresponding author), Nat Hist Museum, Life Sci Dept, 18 Cromwell Rd, London SW7 5BD, England.</t>
  </si>
  <si>
    <t>Sumner, Dawn Y/E-8744-2011</t>
  </si>
  <si>
    <t>Pascual Garcia, Alberto/0000-0002-8444-3196</t>
  </si>
  <si>
    <t>New Zealand Ministry of Business, Innovation and Employment [UOWX1401]; British Phycological Society; Simons Collaboration on Principles of Microbial Ecosystems (PriME) [542381]; Antarctica New Zealand; New Zealand Ministry of Business, Innovation &amp; Employment (MBIE) [UOWX1401] Funding Source: New Zealand Ministry of Business, Innovation &amp; Employment (MBIE)</t>
  </si>
  <si>
    <t>New Zealand Ministry of Business, Innovation and Employment(New Zealand Ministry of Business, Innovation and Employment (MBIE)); British Phycological Society; Simons Collaboration on Principles of Microbial Ecosystems (PriME); Antarctica New Zealand; New Zealand Ministry of Business, Innovation &amp; Employment (MBIE)(New Zealand Ministry of Business, Innovation and Employment (MBIE))</t>
  </si>
  <si>
    <t>Field research was funded by the New Zealand Ministry of Business, Innovation and Employment (grant UOWX1401 to IH). The field work of ADJ was supported by a British Phycological Society project grant. APG was funded by the Simons Collaboration on Principles of Microbial Ecosystems (PriME) (award number 542381). The field work and logistics were supported by the Antarctica New Zealand.</t>
  </si>
  <si>
    <t>0168-6496</t>
  </si>
  <si>
    <t>1574-6941</t>
  </si>
  <si>
    <t>FEMS MICROBIOL ECOL</t>
  </si>
  <si>
    <t>FEMS Microbiol. Ecol.</t>
  </si>
  <si>
    <t>fiab044</t>
  </si>
  <si>
    <t>10.1093/femsec/fiab044</t>
  </si>
  <si>
    <t>RT5OA</t>
  </si>
  <si>
    <t>Green Published, Green Submitted, Green Accepted, Bronze</t>
  </si>
  <si>
    <t>WOS:000644508800021</t>
  </si>
  <si>
    <t>da Silva, TH; Camara, PEAS; Pinto, OHB; Carvalho-Silva, M; Oliveira, FS; Convey, P; Rosa, CA; Rosa, LH</t>
  </si>
  <si>
    <t>da Silva, Thamar Holanda; Camara, Paulo E. A. S.; Pinto, Otavio Henrique Bezerra; Carvalho-Silva, Micheline; Oliveira, Fabio Soares; Convey, Peter; Rosa, Carlos Augusto; Rosa, Luiz Henrique</t>
  </si>
  <si>
    <t>Diversity of Fungi Present in Permafrost in the South Shetland Islands, Maritime Antarctic</t>
  </si>
  <si>
    <t>Antarctica; Climate change; Fungi; Frozen soil; Metabarcoding</t>
  </si>
  <si>
    <t>CLIMATE-CHANGE; COMMUNITIES; SOILS; PLANT; MACROALGAE; ECOLOGY; LIFE</t>
  </si>
  <si>
    <t>We assess the fungal diversity present in permafrost from different islands in the South Shetland Islands archipelago, maritime Antarctic, using next-generation sequencing (NGS). We detected 1,003,637 fungal DNA reads representing, in rank abundance order, the phyla Ascomycota, Mortierellomycota, Basidiomycota, Chytridiomycota, Rozellomycota, Mucoromycota, Calcarisporiellomycota and Zoopagomycota. Ten taxa were dominant these being, in order of abundance, Pseudogymnoascus appendiculatus, Penicillium sp., Pseudogymnoascus roseus, Penicillium herquei, Curvularia lunata, Leotiomycetes sp., Mortierella sp. 1, Mortierella fimbricystis, Fungal sp. 1 and Fungal sp. 2. A further 38 taxa had intermediate abundance and 345 were classified as rare. The total fungal community detected in the permafrost showed high indices of diversity, richness and dominance, although these varied between the sampling locations. The use of a metabarcoding approach revealed the presence of DNA of a complex fungal assemblage in the permafrost of the South Shetland Islands including taxa with a range of ecological functions among which were multiple animal, human and plant pathogenic fungi. Further studies are required to determine whether the taxa identified are present in the form of viable cells or propagules and which might be released from melting permafrost to other Antarctic habitats and potentially dispersed more widely.</t>
  </si>
  <si>
    <t>[da Silva, Thamar Holanda; Rosa, Carlos Augusto; Rosa, Luiz Henrique] Univ Fed Minas Gerais, Lab Microbiol Polar &amp; Conexoes Tropicais, Dept Microbiol, Inst Ciencias Biol, POB 486, BR-31270901 Belo Horizonte, MG, Brazil; [Camara, Paulo E. A. S.; Carvalho-Silva, Micheline] Univ Brasilia, Dept Bot, Brasilia, DF, Brazil; [Pinto, Otavio Henrique Bezerra] Univ Brasilia, Dept Biol Celular, Brasilia, DF, Brazil; [Oliveira, Fabio Soares] Univ Fed Minas Gerais, Dept Geog, Belo Horizonte, MG, Brazil; [Convey, Peter] British Antarctic Survey, NERC, High Cross,Madingley Rd, Cambridge CB3 0ET, England</t>
  </si>
  <si>
    <t>Universidade Federal de Minas Gerais; Universidade de Brasilia; Universidade de Brasilia; Universidade Federal de Minas Gerais; UK Research &amp; Innovation (UKRI); Natural Environment Research Council (NERC); NERC British Antarctic Survey</t>
  </si>
  <si>
    <t>Rosa, LH (corresponding author), Univ Fed Minas Gerais, Lab Microbiol Polar &amp; Conexoes Tropicais, Dept Microbiol, Inst Ciencias Biol, POB 486, BR-31270901 Belo Horizonte, MG, Brazil.</t>
  </si>
  <si>
    <t>lhrosa@icb.ufmg.br</t>
  </si>
  <si>
    <t>Convey, Peter/0000-0001-8497-9903; Camara, Paulo/0000-0002-3944-996X; Pinto, Otavio/0000-0002-8382-2987; Silva, Micheline/0000-0002-2389-3804; Oliveira, Fabio/0000-0002-1450-7609</t>
  </si>
  <si>
    <t>CNPq; PROANTAR; FAPEMIG; Coordenacao de Aperfeicoamento de Pessoal de Nivel Superior - Brasil (CAPES); INCT Criosfera 2; NERC; NERC [bas0100036] Funding Source: UKRI</t>
  </si>
  <si>
    <t>CNPq(Conselho Nacional de Desenvolvimento Cientifico e Tecnologico (CNPQ)); PROANTAR; FAPEMIG(Fundacao de Amparo a Pesquisa do Estado de Minas Gerais (FAPEMIG)); Coordenacao de Aperfeicoamento de Pessoal de Nivel Superior - Brasil (CAPES)(Coordenacao de Aperfeicoamento de Pessoal de Nivel Superior (CAPES)); INCT Criosfera 2; NERC(UK Research &amp; Innovation (UKRI)Natural Environment Research Council (NERC)); NERC(UK Research &amp; Innovation (UKRI)Natural Environment Research Council (NERC))</t>
  </si>
  <si>
    <t>This study received financial support from CNPq, PROANTAR, FAPEMIG, Coordenacao de Aperfeicoamento de Pessoal de Nivel Superior - Brasil (CAPES), INCT Criosfera 2. P. Convey is supported by NERC core funding to the British Antarctic Survey's `Biodiversity, Evolution and Adaptation' Team.</t>
  </si>
  <si>
    <t>10.1007/s00248-021-01735-6</t>
  </si>
  <si>
    <t>WOS:000629902700003</t>
  </si>
  <si>
    <t>Michael, K; Suberg, LA; Wessels, W; Kawaguchi, S; Meyer, B</t>
  </si>
  <si>
    <t>Michael, Katharina; Suberg, Lavinia A.; Wessels, Wiebke; Kawaguchi, So; Meyer, Bettina</t>
  </si>
  <si>
    <t>Facing Southern Ocean warming: Temperature effects on whole animal performance of Antarctic krill (Euphausia superba)</t>
  </si>
  <si>
    <t>ZOOLOGY</t>
  </si>
  <si>
    <t>Antarctic krill; Euphausia superba; climate change; temperature; whole animal performance</t>
  </si>
  <si>
    <t>NATURAL GROWTH-RATES; MEGANYCTIPHANES-NORVEGICA; NORTHERN KRILL; MODELING GROWTH; PHYSIOLOGY; FOOD; SEX; REPRODUCTION; RESPIRATION; METABOLISM</t>
  </si>
  <si>
    <t>The ongoing environmental changes in the Southern Ocean may cause a dramatic decrease in habitat quality. Due to its central position in the food web, Antarctic krill (Euphausia superba) is a key species of the marine Antarctic ecosystem. It is therefore crucial to understand how increasing water temperatures affect important krill life-cycle processes. Here, a long-term (August - March) laboratory acclimation experiment at different temperature scenarios (0.5 degrees C, 1.5 degrees C, 2.5 degrees C, 3.5 degrees C, 5 degrees C, 7 degrees C) was performed and the effects of elevated temperatures on whole animal parameters (O2 consumption, body length, length of the digestive gland) were analyzed. The response of krill oxygen consumption to different experimental temperatures differed between acute/short-term and long-term acclimation. After 8 months, krill oxygen consumption remained unchanged up to temperatures of 3.5 degrees C and was significantly higher at temperatures &gt; 3.5 degrees C. Krill acclimated to temperatures &gt; 3.5 degrees C were significantly smaller at the end of the experiment. Limited food intake and/or conversion may have contributed to this effect, especially pronounced after the onset of the reproductive period. In addition, the seasonal growth pattern in males differed from that of females. Together, our findings indicate that warming Southern Ocean waters are likely to increase metabolic rate in krill, possibly altering the amount of energy available for other important life-cycle processes, a finding directly related to future population dynamics and fisheries management.</t>
  </si>
  <si>
    <t>[Michael, Katharina; Wessels, Wiebke; Meyer, Bettina] Carl von Ossietzky Univ Oldenburg, Inst Chem &amp; Biol Marine Environm, Carl von Ossietzky Str 9-11, D-26111 Oldenburg, Germany; [Kawaguchi, So] Dept Agr Water &amp; Environm, Australian Antarctic Div, 203 Channel Highway, Kingston, Tas 7050, Australia; [Kawaguchi, So] Antarctic Climate &amp; Ecosyst Cooperat Res Ctr, 20 Castray Esplanade, Hobart, Tas 7000, Australia; [Suberg, Lavinia A.; Meyer, Bettina] Helmholtz Ctr Polar &amp; Marine Res, Sci Div Polar Biol Oceanog, Alfred Wegener Inst, Handelshafen 12, D-27570 Bremerhaven, Germany; [Meyer, Bettina] Univ Oldenburg HIFMB, Helmholtz Inst Funct Marine Biodivers, Ammerlander Heerstr 231, D-26129 Oldenburg, Germany</t>
  </si>
  <si>
    <t>Carl von Ossietzky Universitat Oldenburg; Australian Antarctic Division; Antarctic Climate &amp; Ecosystems Cooperative Research Centre (ACE CRC); Helmholtz Association; Alfred Wegener Institute, Helmholtz Centre for Polar &amp; Marine Research</t>
  </si>
  <si>
    <t>Michael, K (corresponding author), Carl von Ossietzky Univ Oldenburg, Inst Chem &amp; Biol Marine Environm, Carl von Ossietzky Str 9-11, D-26111 Oldenburg, Germany.</t>
  </si>
  <si>
    <t>katharina.michael@uol.de</t>
  </si>
  <si>
    <t>Kawaguchi, So/N-1795-2017</t>
  </si>
  <si>
    <t>Michael, Katharina/0000-0002-1630-045X; Kawaguchi, So/0000-0002-2042-5095; Meyer, Bettina/0000-0001-6804-9896</t>
  </si>
  <si>
    <t>German Ministry for Education and Research (BMBF) [FKZ 03F0746A]; Australian Antarctic Program Project [4037]</t>
  </si>
  <si>
    <t>German Ministry for Education and Research (BMBF)(Federal Ministry of Education &amp; Research (BMBF)); Australian Antarctic Program Project</t>
  </si>
  <si>
    <t>The staff of the krill aquarium at the Australian Antarctic Division (namely Robert King, Tasha Waller, Ashley Cooper, Blair Smith and Melanie Evans) is highly acknowledged for their advice and major assistance with the maintenance and sampling of Antarctic krill during the longterm experiment. We are also indebted to Marvin Dodrries for his assistance during the second respiration measurement campaign as well as Lloyd S. Peck for his advice on the experimental design. A sincere thank you to Ryan Driscoll for the diligent grammar and spelling check of the manuscript. This work was funded by the project PEKRIS (FKZ 03F0746A) of the German Ministry for Education and Research (BMBF) and Australian Antarctic Program Project #4037.</t>
  </si>
  <si>
    <t>ELSEVIER GMBH</t>
  </si>
  <si>
    <t>MUNICH</t>
  </si>
  <si>
    <t>HACKERBRUCKE 6, 80335 MUNICH, GERMANY</t>
  </si>
  <si>
    <t>0944-2006</t>
  </si>
  <si>
    <t>1873-2720</t>
  </si>
  <si>
    <t>10.1016/j.zool.2021.125910</t>
  </si>
  <si>
    <t>SV1OB</t>
  </si>
  <si>
    <t>WOS:000663593400005</t>
  </si>
  <si>
    <t>Cherel, Y</t>
  </si>
  <si>
    <t>Cherel, Yves</t>
  </si>
  <si>
    <t>Revisiting taxonomy of cephalopod prey of sperm whales caught commercially in subtropical and Southern Ocean waters</t>
  </si>
  <si>
    <t>Antarctica; Cetacean; Histioteuthidae; Odontocete; Squid; Trophic relationships</t>
  </si>
  <si>
    <t>The sperm whale is the largest toothed whale that feeds almost exclusively on oceanic cephalopods. Since it was actively hunted commercially, considerably more is known about its food than for many other large marine apex predators. However, the use of those unique dietary information is today hampered by out-of-date cephalopod taxonomy. Here, the names of cephalopod prey of sperm whales were revisited by reviewing taxonomic investigations and tracking over time the names of sclerotized beaks that accumulate in predators? stomachs. The study focused on the seminal investigations by Clarke (1980) and Clarke and MacLeod (1982), which form the basis of our knowledge on the feeding habits of sperm whales in the Southern Hemisphere. Forty-five different beaks were identified, of which the labelling of 24% taxa is valid today, 7% are still undetermined, and the name of the 69% remaining beaks had to be changed due to improvement in both taxonomy (31%) and beak identification (27%), and to initial misidentifications (11%). Few taxonomic changes occurred at the family level, but changes at the species level are substantial and reveal the dietary importance of poorly known squid species (e.g. Galiteuthis suhmi, Histioteuthis macrohista). Within the southern subtropics, sperm whales feed primarily on five histioteuthids, with Histioteuthis atlantica ranking first numerically, and on octopoteuthids, cranchiids and onychoteuthids. In contrast, whales caught in the Antarctic prey mainly upon three species of Southern Ocean endemics, the cranchiid Mesonychoteuthis hamiltoni, and the onychoteuthids Filippovia knipovitchi and Moroteuthopsis longimana. In conclusion, revisiting taxonomy allowed a better understanding of the deep-sea ecosystem by improving our knowledge on oceanic cephalopods and on the feeding habits of sperm whales, a cephalopod predator that has a key trophic role in the oceans.</t>
  </si>
  <si>
    <t>[Cherel, Yves] La Rochelle Univ, Ctr Etud Biol Chize CEBC, UMR 7372, CNRS, F-79360 Villiers En Bois, France</t>
  </si>
  <si>
    <t>Cherel, Y (corresponding author), La Rochelle Univ, Ctr Etud Biol Chize CEBC, UMR 7372, CNRS, F-79360 Villiers En Bois, France.</t>
  </si>
  <si>
    <t>cherel@cebc.cnrs.fr</t>
  </si>
  <si>
    <t>Cherel, Yves/0000-0001-9469-9489</t>
  </si>
  <si>
    <t>10.1016/j.dsr.2021.103490</t>
  </si>
  <si>
    <t>RF5JE</t>
  </si>
  <si>
    <t>WOS:000634873800001</t>
  </si>
  <si>
    <t>Adusumilli, S; Fish, M; Fricker, HA; Medley, B</t>
  </si>
  <si>
    <t>Adusumilli, Susheel; Fish, Meredith; Fricker, Helen Amanda; Medley, Brooke</t>
  </si>
  <si>
    <t>Atmospheric River Precipitation Contributed to Rapid Increases in Surface Height of the West Antarctic Ice Sheet in 2019</t>
  </si>
  <si>
    <t>GREENLAND; CLIMATE; MODEL; ACCUMULATION; SNOWFALL; SCIENCE; DRIVEN; OCEAN</t>
  </si>
  <si>
    <t>Estimating the relative contributions of the atmospheric and dynamic components of ice-sheet mass balance is critical for improving projections of future sea level rise. Existing estimates of changes in Antarctic ice-sheet height, which can be used to infer changes in mass, are only accurate at multiyear time scales. However, NASA's Ice, Cloud, and land Elevation Satellite-2 (ICESat-2) laser altimetry mission now allows us to accurately measure changes in ice-sheet height at subannual time scales. Here, we use ICESat-2 data to estimate height changes over Antarctica between April 2019 and June 2020. These data show widespread increases in surface height over West Antarctica during the 2019 austral winter. Using climate reanalysis data, we show that 41% of increases in height during winter were from snow accumulation via extreme precipitation events-63% of these events were associated with landfalling atmospheric rivers (ARs) which occurred only 5.1% of the time. Plain Language Summary Over a hundred gigatonnes of ice are being lost to the ocean from Antarctica each year, adding to ongoing sea level rise. Policymakers and stakeholders are interested in how much sea level rise will occur in the coming decades due to ice loss from Antarctica, but the range of values that scientists are providing is currently too large for efficient planning. One reason for this large range in predictions is the lack of data over the vast ice sheets. Satellites are the only way in which we can collect sufficient data to improve projections. In 2018, NASA launched a new satellite, ICESat-2, that is capable of accurately measuring changes in height over Antarctica. Using these data, we found large increases in height over the ice sheet in 2019. Using a computational model of the atmosphere and snow, we show that these height increases occurred due to increased snowfall. After evaluating the ability of the model to accurately represent ongoing changes, we used it to show that 41% of height changes due to winter snowfall over West Antarctica occurred because regions in the atmosphere where a lot of moisture is transported, called atmospheric rivers, delivered large quantities of snow.</t>
  </si>
  <si>
    <t>[Adusumilli, Susheel; Fricker, Helen Amanda] Univ Calif San Diego, Scripps Inst Oceanog, La Jolla, CA 92093 USA; [Fish, Meredith] Rutgers State Univ, Dept Earth &amp; Planetary Sci, New Brunswick, NJ USA; [Fish, Meredith] Rutgers State Univ, Rutgers Inst Earth Ocean &amp; Atmospher Sci, New Brunswick, NJ USA; [Medley, Brooke] NASA, Goddard Space Flight Ctr, Cryospher Sci Lab, Greenbelt, MD USA</t>
  </si>
  <si>
    <t>University of California System; University of California San Diego; Scripps Institution of Oceanography; Rutgers University System; Rutgers University New Brunswick; Rutgers University System; Rutgers University New Brunswick; National Aeronautics &amp; Space Administration (NASA); NASA Goddard Space Flight Center</t>
  </si>
  <si>
    <t>Adusumilli, S (corresponding author), Univ Calif San Diego, Scripps Inst Oceanog, La Jolla, CA 92093 USA.</t>
  </si>
  <si>
    <t>suadusum@ucsd.edu</t>
  </si>
  <si>
    <t>Fricker, Helen Amanda/0000-0002-0921-1432; Fish, Meredith/0000-0002-3684-1042</t>
  </si>
  <si>
    <t>NASA Earth and Space Science Fellowship; NASA [80NSSC20K0977]; Rhodium Group, Climate Impact Lab consortium; ICESat-2 Project Science Office</t>
  </si>
  <si>
    <t>NASA Earth and Space Science Fellowship; NASA(National Aeronautics &amp; Space Administration (NASA)); Rhodium Group, Climate Impact Lab consortium; ICESat-2 Project Science Office</t>
  </si>
  <si>
    <t>We would like to thank the ICESat-2 Science Team, particularly the Land Ice group, for supporting the mission. We also thank the two anonymous reviewers and members of the Scripps Polar Center for their important contributions to this manuscript. This work was supported by the NASA Earth and Space Science Fellowship (Adusumilli), NASA grant 80NSSC20K0977 (Fricker and Adusumilli), a grant from the Rhodium Group as part of the Climate Impact Lab consortium (Fish), and the ICESat-2 Project Science Office (Medley).</t>
  </si>
  <si>
    <t>MAR 16</t>
  </si>
  <si>
    <t>e2020GL091076</t>
  </si>
  <si>
    <t>10.1029/2020GL091076</t>
  </si>
  <si>
    <t>QV3RJ</t>
  </si>
  <si>
    <t>WOS:000627892100089</t>
  </si>
  <si>
    <t>Boehme, L; Rosso, I</t>
  </si>
  <si>
    <t>Boehme, Lars; Rosso, Isabella</t>
  </si>
  <si>
    <t>Classifying Oceanographic Structures in the Amundsen Sea, Antarctica</t>
  </si>
  <si>
    <t>Amundsen Sea; Pine Island glacier; circumpolar deep water; machine learning; unsupervised clustering; Thwaites glacier</t>
  </si>
  <si>
    <t>CIRCUMPOLAR DEEP-WATER; CONTINENTAL-SHELF; OCEAN; VARIABILITY; CIRCULATION; GLACIER; INFLOW</t>
  </si>
  <si>
    <t>The remote and often ice-covered Amundsen Sea Embayment in Antarctica is important for transporting relatively warm modified Circumpolar Deep Water (mCDW) to the Western Antarctic Ice Sheet, potentially accelerating its thinning and contribution to sea level rise. To investigate potential pathways and variability of mCDW, 3809 CTD profiles (instrumented seal and ship-based data) are classified using a machine learning approach (Profile Classification Model). Five vertical regimes are identified, and areas of larger variability highlighted. Three spatial regimes are captured: Off-Shelf, Eastern and Central Troughs. The on-shelf profiles further show a separation between cold and warm modes. The variability is higher north of Burke Island and at the southern end of the Eastern Trough, which reflects the convergence of different mCDW pathways between the Eastern and the Central Trough. Finally, a clear but variable clockwise circulation is identified in Pine Island Bay.</t>
  </si>
  <si>
    <t>[Boehme, Lars] Univ St Andrews, Scottish Oceans Inst, St Andrews, Fife, Scotland; [Rosso, Isabella] Univ Calif San Diego, Scripps Inst Oceanog, La Jolla, CA 92093 USA</t>
  </si>
  <si>
    <t>University of St Andrews; University of California System; University of California San Diego; Scripps Institution of Oceanography</t>
  </si>
  <si>
    <t>Boehme, L (corresponding author), Univ St Andrews, Scottish Oceans Inst, St Andrews, Fife, Scotland.</t>
  </si>
  <si>
    <t>lb284@st-andrews.ac.uk</t>
  </si>
  <si>
    <t>; Boehme, Lars/B-6567-2009</t>
  </si>
  <si>
    <t>rosso, isabella/0000-0002-6761-7297; Boehme, Lars/0000-0003-3513-6816</t>
  </si>
  <si>
    <t>National Science Foundation (NSF) [1738992]; Natural Environment Research Council (NERC) [NE/S006591/1]; NSF's SOCCOM project (NSF) [PLR-1425989]; NOAA; NASA; NERC [NE/S006591/1] Funding Source: UKRI</t>
  </si>
  <si>
    <t>National Science Foundation (NSF)(National Science Foundation (NSF)National Research Foundation of Korea); Natural Environment Research Council (NERC)(UK Research &amp; Innovation (UKRI)Natural Environment Research Council (NERC)); NSF's SOCCOM project (NSF); NOAA(National Oceanic Atmospheric Admin (NOAA) - USA); NASA(National Aeronautics &amp; Space Administration (NASA)); NERC(UK Research &amp; Innovation (UKRI)Natural Environment Research Council (NERC))</t>
  </si>
  <si>
    <t>This work is from the TARSAN project, a component of the International Thwaites Glacier Collaboration (ITGC). Support from National Science Foundation (NSF: Grant 1738992) and Natural Environment Research Council (NERC: Grant NE/S006591/1). Logistics provided by NSF-U.S. Antarctic Program and NERC-British Antarctic Survey. ITGC Contribution No. ITGC-018. I. Rosso was supported by the NSF's SOCCOM project (NSF Award PLR-1425989), NOAA and NASA.</t>
  </si>
  <si>
    <t>e2020GL089412</t>
  </si>
  <si>
    <t>10.1029/2020GL089412</t>
  </si>
  <si>
    <t>WOS:000627892100048</t>
  </si>
  <si>
    <t>Ozaki, M; Shiokawa, K; Horne, RB; Engebretson, MJ; Lessard, M; Ogawa, Y; Hosokawa, K; Nosé, M; Ebihara, Y; Kadokura, A; Yagitani, S; Miyoshi, Y; Hashimoto, S; Sinha, S; Sinha, AK; Seemala, GK; Jun, CW</t>
  </si>
  <si>
    <t>Ozaki, Mitsunori; Shiokawa, Kazuo; Horne, Richard B.; Engebretson, Mark J.; Lessard, Marc; Ogawa, Yasunobu; Hosokawa, Keisuke; Nose, Masahito; Ebihara, Yusuke; Kadokura, Akira; Yagitani, Satoshi; Miyoshi, Yoshizumi; Hashimoto, Shion; Sinha, Shipra; Sinha, Ashwini K.; Seemala, Gopi K.; Jun, Chae-Woo</t>
  </si>
  <si>
    <t>Magnetic Conjugacy of Pc1 Waves and Isolated Proton Precipitation at Subauroral Latitudes: Importance of Ionosphere as Intensity Modulation Region</t>
  </si>
  <si>
    <t>EMIC waves; Geomagnetic conjugacy; Isolated proton aurora; Pc1 geomagnetic pulsations; Wave‐ particle interactions</t>
  </si>
  <si>
    <t>Pc1 geomagnetic pulsations, equivalent to electromagnetic ion cyclotron waves in the magnetosphere, display a specific amplitude modulation, though the region of the modulation remains an open issue. To classify whether the amplitude modulation has a magnetospheric or ionospheric origin, an isolated proton aurora (IPA), which is a proxy of Pc1 wave-particle interactions, is compared with the associated Pc1 waves for a geomagnetic conjugate pair, Halley Research Base in Antarctica and Nain in Canada. The temporal variation of an IPA shows a higher correlation coefficient (0.88) with Pc1 waves in the same hemisphere than that in the opposite hemisphere. This conjugate observation reveals that the classic cyclotron resonance is insufficient to determine the amplitude modulation. We suggest that direct wave radiation from the ionospheric current by IPA should also contribute to the amplitude modulation.</t>
  </si>
  <si>
    <t>[Ozaki, Mitsunori; Yagitani, Satoshi; Hashimoto, Shion] Kanazawa Univ, Grad Sch Nat Sci &amp; Technol, Kanazawa, Ishikawa, Japan; [Shiokawa, Kazuo; Nose, Masahito; Miyoshi, Yoshizumi; Jun, Chae-Woo] Nagoya Univ, Inst Space Earth Environm Res, Nagoya, Aichi, Japan; [Horne, Richard B.] British Antarctic Survey, Cambridge, England; [Engebretson, Mark J.] Augsburg Univ, Minneapolis, MN USA; [Lessard, Marc] Univ New Hampshire, Durham, NH 03824 USA; [Ogawa, Yasunobu; Kadokura, Akira] Natl Inst Polar Res, Tachikawa, Tokyo, Japan; [Ogawa, Yasunobu; Kadokura, Akira] SOKENDAI, Dept Polar Sci, Grad Univ Adv Studies, Tachikawa, Tokyo, Japan; [Ogawa, Yasunobu; Kadokura, Akira] Res Org Informat &amp; Syst, Joint Support Ctr Data Sci Res, Tachikawa, Tokyo, Japan; [Hosokawa, Keisuke] Univ Electrocommun, Chofu, Tokyo, Japan; [Ebihara, Yusuke] Kyoto Univ, Res Inst Sustainable Humanosphere, Uji, Japan; [Sinha, Shipra; Sinha, Ashwini K.; Seemala, Gopi K.] Indian Inst Geomagnetism, Navi Mumbai, India</t>
  </si>
  <si>
    <t>Kanazawa University; Nagoya University; UK Research &amp; Innovation (UKRI); Natural Environment Research Council (NERC); NERC British Antarctic Survey; Augsburg University; University System Of New Hampshire; University of New Hampshire; Research Organization of Information &amp; Systems (ROIS); National Institute of Polar Research (NIPR) - Japan; Graduate University for Advanced Studies - Japan; Research Organization of Information &amp; Systems (ROIS); University of Electro-Communications - Japan; Kyoto University; Department of Science &amp; Technology (India); Indian Institute of Geomagnetism (IIG)</t>
  </si>
  <si>
    <t>Ozaki, M (corresponding author), Kanazawa Univ, Grad Sch Nat Sci &amp; Technol, Kanazawa, Ishikawa, Japan.</t>
  </si>
  <si>
    <t>ozaki@is.t.kanazawa-u.ac.jp</t>
  </si>
  <si>
    <t>Horne, Richard B/U-3764-2019; Ebihara, Yusuke/D-1638-2013; Ebihara, Yusuke/ABD-4430-2021; Miyoshi, Yoshizumi/B-5834-2015; YAGITANI, Satoshi/E-7072-2015; Nose, Masahito/ISU-3248-2023; Miyoshi, Yoshizumi/T-5748-2019; Nose, Masahito/B-1900-2015; Seemala, Gopi/J-7050-2012</t>
  </si>
  <si>
    <t>Horne, Richard B/0000-0002-0412-6407; Ebihara, Yusuke/0000-0002-2293-1557; Ebihara, Yusuke/0000-0002-2293-1557; Miyoshi, Yoshizumi/0000-0001-7998-1240; Sinha, Ashwini Kumar/0000-0003-1329-6579; Ogawa, Yasunobu/0000-0002-8118-4475; Nose, Masahito/0000-0002-2789-3588; Seemala, Gopi/0000-0002-3690-7873; KADOKURA, AKIRA/0000-0002-6105-9562</t>
  </si>
  <si>
    <t>JSPS KAKENHI [JP15H05815, JP16H06286, JP17K06456, JP20H01959, JP20H02162]; Research Institute for Sustainable Humanosphere (RISH), Kyoto University; NERC National Capability grants [NE/R016038/1, NE/R016445/1]; U.S. National Science Foundation [AGS-1651263]; NSF [ANT-1745041]; NERC [bas0100031] Funding Source: UKRI</t>
  </si>
  <si>
    <t>JSPS KAKENHI(Ministry of Education, Culture, Sports, Science and Technology, Japan (MEXT)Japan Society for the Promotion of ScienceGrants-in-Aid for Scientific Research (KAKENHI)); Research Institute for Sustainable Humanosphere (RISH), Kyoto University; NERC National Capability grants; U.S. National Science Foundation(National Science Foundation (NSF)); NSF(National Science Foundation (NSF)); NERC(UK Research &amp; Innovation (UKRI)Natural Environment Research Council (NERC))</t>
  </si>
  <si>
    <t>This work was supported by JSPS KAKENHI Grant Numbers JP15H05815, JP16H06286, JP17K06456, JP20H01959, and JP20H02162 and by the research grant on Sustainable Humanosphere Science from the Research Institute for Sustainable Humanosphere (RISH), Kyoto University. R. B. Horne was supported in the UK by NERC National Capability grants NE/R016038/1 and NE/R016445/1. MACCS is operated by Augsburg University and funded by the U.S. National Science Foundation grant AGS-1651263. Support for this work was provided at UNH by NSF award ANT-1745041.</t>
  </si>
  <si>
    <t>e2020GL091384</t>
  </si>
  <si>
    <t>10.1029/2020GL091384</t>
  </si>
  <si>
    <t>WOS:000627892100097</t>
  </si>
  <si>
    <t>Zhang, XY; Deser, C; Sun, LT</t>
  </si>
  <si>
    <t>Zhang, Xiyue; Deser, Clara; Sun, Lantao</t>
  </si>
  <si>
    <t>Is There a Tropical Response to Recent Observed Southern Ocean Cooling?</t>
  </si>
  <si>
    <t>Antarctic sea ice; GCM; Observations; Southern Ocean; Teleconnection</t>
  </si>
  <si>
    <t>SEASONAL FOOTPRINTING MECHANISM; SEA-SURFACE TEMPERATURE; NORTH PACIFIC; CLIMATE; ENSO; ICE; ATLANTIC; VARIABILITY; TRENDS; IMPACT</t>
  </si>
  <si>
    <t>Despite global warming, SSTs in the Southern Ocean (SO) have cooled in recent decades largely as a result of internal variability. The global impact of this cooling is assessed by nudging evolving SO SST anomalies to observations in an ensemble of coupled climate model simulations under historical radiative forcing, and comparing against a control ensemble. The most significant remote response to observed SO cooling is found in the tropical South Atlantic, where increased clouds and strengthened trade winds cool the sea surface, partially offsetting the radiatively forced warming trend. The SO ensemble produces a more realistic tropical South Atlantic SST trend, and exhibits a higher pattern correlation with observed SST trends in the greater Atlantic basin, compared to the control ensemble. SO cooling also produces a significant increase in Antarctic sea ice, but not enough to offset radiatively induced ice loss; thus, the SO ensemble remains biased in its sea ice trends.</t>
  </si>
  <si>
    <t>[Zhang, Xiyue; Deser, Clara] Natl Ctr Atmospher Res, Climate &amp; Global Dynam, POB 3000, Boulder, CO 80307 USA; [Zhang, Xiyue] Johns Hopkins Univ, Dept Earth &amp; Planetary Sci, Baltimore, MD 21218 USA; [Sun, Lantao] Colorado State Univ, Dept Atmospher Sci, Ft Collins, CO 80523 USA</t>
  </si>
  <si>
    <t>National Center Atmospheric Research (NCAR) - USA; Johns Hopkins University; Colorado State University</t>
  </si>
  <si>
    <t>Zhang, XY (corresponding author), Natl Ctr Atmospher Res, Climate &amp; Global Dynam, POB 3000, Boulder, CO 80307 USA.;Zhang, XY (corresponding author), Johns Hopkins Univ, Dept Earth &amp; Planetary Sci, Baltimore, MD 21218 USA.</t>
  </si>
  <si>
    <t>sallyz@jhu.edu</t>
  </si>
  <si>
    <t>Sun, Lantao/D-9948-2015</t>
  </si>
  <si>
    <t>Sun, Lantao/0000-0001-8578-9175; Zhang, Xiyue/0000-0002-6031-7830</t>
  </si>
  <si>
    <t>Advanced Study Program postdoctoral fellowship from the National Center for Atmospheric Research; National Science Foundation Office of Polar Programs; National Center for Atmospheric Research - National Science Foundation [1852977]; National Science Foundation</t>
  </si>
  <si>
    <t>Advanced Study Program postdoctoral fellowship from the National Center for Atmospheric Research; National Science Foundation Office of Polar Programs(National Science Foundation (NSF)NSF - Directorate for Geosciences (GEO)); National Center for Atmospheric Research - National Science Foundation; National Science Foundation(National Science Foundation (NSF))</t>
  </si>
  <si>
    <t>The authors thank the reviewers for their constructive comments, and Nan Rosenbloom for helping with the pacemaker experimental setup. X. Zhang is supported by an Advanced Study Program postdoctoral fellowship from the National Center for Atmospheric Research and the National Science Foundation Office of Polar Programs. This material is based upon work supported by the National Center for Atmospheric Research, which is a major facility sponsored by the National Science Foundation under cooperative agreement 1852977. The authors would like to acknowledge high-performance computing support from Cheyenne (https://doi.org/10.5065/D6RX99HX) provided by NCAR's Computational and Information Systems Laboratory, sponsored by the National Science Foundation.</t>
  </si>
  <si>
    <t>e2020GL091235</t>
  </si>
  <si>
    <t>10.1029/2020GL091235</t>
  </si>
  <si>
    <t>WOS:000627892100025</t>
  </si>
  <si>
    <t>Klekociuk, AR; Tully, MB; Krummel, PB; Henderson, SI; Smale, D; Querel, R; Nichol, S; Alexander, SP; Fraser, PJ; Nedoluha, G</t>
  </si>
  <si>
    <t>Klekociuk, Andrew R.; Tully, Matthew B.; Krummel, Paul B.; Henderson, Stuart, I; Smale, Dan; Querel, Richard; Nichol, Sylvia; Alexander, Simon P.; Fraser, Paul J.; Nedoluha, Gerald</t>
  </si>
  <si>
    <t>The Antarctic ozone hole during 2018 and 2019</t>
  </si>
  <si>
    <t>JOURNAL OF SOUTHERN HEMISPHERE EARTH SYSTEMS SCIENCE</t>
  </si>
  <si>
    <t>Antarctica; climate; meteorology; Montreal Protocol; ozone; ozone depletion; ozone hole metrics; southern hemisphere; stratosphere</t>
  </si>
  <si>
    <t>While the Montreal Protocol is reducing stratospheric ozone loss, recent increases in some ozone depleting substance (ODS) emissions have been identified that may impact southern hemisphere climate systems. In this study, we discuss characteristics of the 2018 and 2019 Antarctic ozone holes using surface in situ, satellite and reanalysis data to gain a better understanding of recent ozone variability. These ozone holes had strongly contrasting characteristics. In 2018, the Antarctic stratospheric vortex was relatively stable and cold in comparison to most years of the prior decade. This resulted in a large and persistent ozone hole that ranked in the upper-tercile of metrics quantifying Antarctic ozone depletion. In contrast, strong stratospheric warming in the spring of 2019 curtailed the development of the ozone hole, causing it to be anomalously small and of similar size to ozone holes in the 1980s. As known from previous studies, the ability of planetary waves to propagate into the stratosphere at high latitudes is an important factor that influences temperatures of the polar vortex and the overall amount of ozone loss in any particular year. Disturbance and warming of the vortex by strong planetary wave activity were the dominant factors in the small 2019 ozone hole. In contrast, planetary wave disturbances to the vortex in the winter-spring of 2018 were much weaker than in 2019. These results increase our understanding of the impact of Montreal Protocol controls on ODS and the effects of Antarctic ozone on the southern hemisphere climate system.</t>
  </si>
  <si>
    <t>[Klekociuk, Andrew R.; Alexander, Simon P.] Dept Agr Water &amp; Environm, Australian Antarctic Div, Kingston, Tas, Australia; [Tully, Matthew B.] Bur Meteorol, Melbourne, Vic, Australia; [Krummel, Paul B.; Fraser, Paul J.] CSIRO Oceans &amp; Atmosphere, Climate Sci Ctr, Aspendale, Vic, Australia; [Henderson, Stuart, I] Australian Radiat Protect &amp; Nucl Safety Agcy, Yallambie, Vic, Australia; [Smale, Dan; Querel, Richard] Natl Inst Water &amp; Atmospher Res, Lauder, New Zealand; [Nichol, Sylvia] Natl Inst Water &amp; Atmospher Res, Wellington, New Zealand; [Nedoluha, Gerald] Naval Res Lab, Washington, DC 20375 USA</t>
  </si>
  <si>
    <t>Australian Antarctic Division; Bureau of Meteorology - Australia; Commonwealth Scientific &amp; Industrial Research Organisation (CSIRO); National Institute of Water &amp; Atmospheric Research (NIWA) - New Zealand; National Institute of Water &amp; Atmospheric Research (NIWA) - New Zealand; United States Department of Defense; United States Navy; Naval Research Laboratory</t>
  </si>
  <si>
    <t>Klekociuk, AR (corresponding author), Dept Agr Water &amp; Environm, Australian Antarctic Div, Kingston, Tas, Australia.</t>
  </si>
  <si>
    <t>andrew.klekociuk@awe.gov.au</t>
  </si>
  <si>
    <t>Krummel, Paul B/A-4293-2013; Tully, Matthew/AAG-1730-2020; Fraser, Paul J. B./D-1755-2012; Klekociuk, Andrew/A-4498-2015; Querel, Richard/D-3770-2015</t>
  </si>
  <si>
    <t>Krummel, Paul B/0000-0002-4884-3678; Tully, Matthew/0000-0002-6153-5610; Henderson, Stuart/0000-0002-9147-5727; smale, dan/0000-0003-3385-0880; Klekociuk, Andrew/0000-0003-3335-0034; Alexander, Simon/0000-0001-6823-8857; Querel, Richard/0000-0001-8792-2486</t>
  </si>
  <si>
    <t>Australian Government Department of Agriculture, Water and the Environment; National Institute of Water &amp; Atmospheric Research through New Zealand's Ministry of Business, Innovation and Employment; Australian Antarctic Science program [4293, 4115]</t>
  </si>
  <si>
    <t>Australian Government Department of Agriculture, Water and the Environment; National Institute of Water &amp; Atmospheric Research through New Zealand's Ministry of Business, Innovation and Employment(New Zealand Ministry of Business, Innovation and Employment (MBIE)); Australian Antarctic Science program</t>
  </si>
  <si>
    <t>We acknowledge the Australian Government Department of Agriculture, Water and the Environment for support of this work, and the assistance of the following people: Jeff Ayton and the Australian Antarctic Division's Antarctic Medical Practitioners in collecting the solar UV data, Bureau of Meteorology staff in collecting surface and upper air measurements at Cape Grim, Macquarie Island and Davis, and Antarctica New Zealand expeditioners in collecting measurements at Arrival Heights and Scott Base. Measurements at Arrival Heights and Scott Base are core-funded by the National Institute of Water &amp; Atmospheric Research through New Zealand's Ministry of Business, Innovation and Employment. The TOMS, OMI and OMPS data used in this study were provided by the National Aeronautics and Space Administration (NASA) Goddard Space Flight Center, Atmospheric Chemistry &amp; Dynamics Branch, Code 613.3. Aura/MLS data used in this study were acquired as part of the NASA's Earth-Sun System Division and archived and distributed by the Goddard Earth Sciences (GES) Data and Information Services Center (DISC) Distributed Active Archive Center. MERRA-2 reanalysis data were obtained from the GES DISC (URL: https://disc.gsfc.nasa.gov). ERA5 reanalysis data were obtained from the Copernicus Climate Data Store (URL: https://cds.climate.copernicus.eu/). MSR2 data were obtained from the Tropospheric Emission Monitoring Internet Service of the European Space Agency (URL: http://www.temis.nl/protocols/O3global.html). Davis ozonesonde measurements are available from the World Ozone and Ultraviolet Radiation Data Centre (URL: https://woudc.org). Macquarie Island, Arrival Heights and Scott Base measurements are available from the Network for the Detection of Atmospheric Composition Change (URL: https://www.ndaccdemo.org/). Part of this work was performed under Project 4293 and Project 4115 of the Australian Antarctic Science program.</t>
  </si>
  <si>
    <t>2206-5865</t>
  </si>
  <si>
    <t>J SO HEMISPH EARTH</t>
  </si>
  <si>
    <t>J. South Hemisph. Earth Syst. Sci.</t>
  </si>
  <si>
    <t>10.1071/ES20010</t>
  </si>
  <si>
    <t>RH5LN</t>
  </si>
  <si>
    <t>WOS:000630123900001</t>
  </si>
  <si>
    <t>Kufner, SK; Kakar, N; Bezada, M; Bloch, W; Metzger, S; Yuan, X; Mechie, J; Ratschbacher, L; Murodkulov, S; Deng, Z; Schurr, B</t>
  </si>
  <si>
    <t>Kufner, Sofia-Katerina; Kakar, Najibullah; Bezada, Maximiliano; Bloch, Wasja; Metzger, Sabrina; Yuan, Xiaohui; Mechie, James; Ratschbacher, Lothar; Murodkulov, Shokhruhk; Deng, Zhiguo; Schurr, Bernd</t>
  </si>
  <si>
    <t>The Hindu Kush slab break-off as revealed by deep structure and crustal deformation</t>
  </si>
  <si>
    <t>BENEATH; MANTLE; PAMIR</t>
  </si>
  <si>
    <t>Break-off of part of the down-going plate during continental collision occurs due to tensile stresses built-up between the deep and shallow slab, for which buoyancy is increased because of continental-crust subduction. Break-off governs the subsequent orogenic evolution but real-time observations are rare as it happens over geologically short times. Here we present a finite-frequency tomography, based on jointly inverted local and remote earthquakes, for the Hindu Kush in Afghanistan, where slab break-off is ongoing. We interpret our results as crustal subduction on top of a northwards-subducting Indian lithospheric slab, whose penetration depth increases along-strike while thinning and steepening. This implies that break-off is propagating laterally and that the highest lithospheric stretching rates occur during the final pinching-off. In the Hindu Kush crust, earthquakes and geodetic data show a transition from focused to distributed deformation, which we relate to a variable degree of crust-mantle coupling presumably associated with break-off at depth. Here, the authors document active slab break-off and the crustal response during continental collision under the Hindu Kush, a rarely observed process since it happens over geologically short time spans.</t>
  </si>
  <si>
    <t>[Kufner, Sofia-Katerina; Bloch, Wasja; Metzger, Sabrina; Yuan, Xiaohui; Mechie, James; Deng, Zhiguo; Schurr, Bernd] GFZ German Res Ctr Geosci, Potsdam, Germany; [Kufner, Sofia-Katerina; Bezada, Maximiliano] Univ Minnesota, Minneapolis, MI USA; [Kakar, Najibullah] Norwegian Afghanistan Comm, Kabul, Afghanistan; [Kakar, Najibullah] Univ Potsdam, Potsdam, Germany; [Ratschbacher, Lothar] TU Bergakad Freiberg, Freiberg, Germany; [Murodkulov, Shokhruhk] Tajik Acad Sci, Dushanbe, Tajikistan; [Kufner, Sofia-Katerina] British Antarctic Survey, Cambridge, England</t>
  </si>
  <si>
    <t>Helmholtz Association; Helmholtz-Center Potsdam GFZ German Research Center for Geosciences; University of Minnesota System; University of Potsdam; Technical University Freiberg; Academy of Sciences of Republic of Tajikistan; UK Research &amp; Innovation (UKRI); Natural Environment Research Council (NERC); NERC British Antarctic Survey</t>
  </si>
  <si>
    <t>Kufner, SK (corresponding author), GFZ German Res Ctr Geosci, Potsdam, Germany.;Kufner, SK (corresponding author), Univ Minnesota, Minneapolis, MI USA.;Kufner, SK (corresponding author), British Antarctic Survey, Cambridge, England.</t>
  </si>
  <si>
    <t>sofner@bas.ac.uk</t>
  </si>
  <si>
    <t>Ratschbacher, Lothar/JJF-0555-2023; Yuan, Xiaohui/G-5149-2010; Metzger, Sabrina/JTT-2005-2023</t>
  </si>
  <si>
    <t>Ratschbacher, Lothar/0000-0001-9960-2084; Yuan, Xiaohui/0000-0002-2891-1354; Metzger, Sabrina/0000-0002-0803-6599; Kufner, Sofia-Katerina/0000-0002-9687-5455; Bezada, Maximiliano/0000-0002-7337-3276; Kakar, Najibullah/0000-0002-2611-7528; Bloch, Wasja/0000-0002-0341-4925</t>
  </si>
  <si>
    <t>GFZ expedition funds; TIPTIMON and CATENA projects - German Ministry of Science and Education [03G0809A/B, 3G0878A/B]; 'German Academic Exchange Service (DAAD)' at the University of Minnesota</t>
  </si>
  <si>
    <t>GFZ expedition funds; TIPTIMON and CATENA projects - German Ministry of Science and Education; 'German Academic Exchange Service (DAAD)' at the University of Minnesota</t>
  </si>
  <si>
    <t>We thank the Department of Geology of Kabul University, the Afgha 'UNESCO International Training Course for Seismology' at GFZ Potsdam. SK was supported by a postdoc fellowship of the 'German Academic Exchange Service (DAAD)' at the University of Minnesota. Tomographic inversion used the HPC units of the Minnesota Supercomputing Institute. Figures and calculations used the Generic Mapping Tools (gmt.soest.hawaii.edu/), matplotlib (matplotlib.org), obspy (obspy.org) and Matlab (mathworks.com/products/matlab.html). M. Dziggel (GFZ) helped in preparing Fig. 5c and A. Gaete (GFZ) helped with first onset picking of teleseismic waveforms.</t>
  </si>
  <si>
    <t>10.1038/s41467-021-21760-w</t>
  </si>
  <si>
    <t>QY4CR</t>
  </si>
  <si>
    <t>WOS:000629990000005</t>
  </si>
  <si>
    <t>Isaacs, FE; Renwick, JA; Mackintosh, AN; Dadic, R</t>
  </si>
  <si>
    <t>Isaacs, Florence E.; Renwick, James A.; Mackintosh, Andrew N.; Dadic, Ruzica</t>
  </si>
  <si>
    <t>ENSO Modulates Summer and Autumn Sea Ice Variability Around Dronning Maud Land, Antarctica</t>
  </si>
  <si>
    <t>climate variability; East Antarctica; ENSO; sea ice</t>
  </si>
  <si>
    <t>SOUTHERN-HEMISPHERE CIRCULATION; EL-NINO; ATMOSPHERIC CIRCULATION; DECADAL VARIABILITY; AMERICAN MODES; CLIMATE; PRECIPITATION; OSCILLATION; TEMPERATURE; IMPACT</t>
  </si>
  <si>
    <t>Antarctica's sea ice cover is an important component of the global climate system, yet the drivers of sea ice variability are not well understood. Here we investigated the effects of climate variability on sea ice concentration (SIC) around East Antarctica by correlating the 40-years (1979-2018) satellite sea ice record and ERA5 reanalysis data. We found that summer and autumn SIC around Dronning Maud Land (DML) between 10 and 70 degrees E exhibited a statistically significant negative correlation with the Nino 3.4 index. Sea ice in DML was also correlated with sea surface temperature (SST) anomalies in the tropical Pacific, and to an atmospheric wave train pattern extending from the South Pacific to DML. We suggest that a southward-propagating atmospheric wave train triggered by SST anomalies in the tropical Pacific extends into DML and alters sea ice concentration by encouraging meridional airflow. Our results showed that shifts in meridional flow in DML affected sea ice thermodynamically, by altering local heat transport and in turn altering sea ice formation and melt.</t>
  </si>
  <si>
    <t>[Isaacs, Florence E.; Renwick, James A.; Dadic, Ruzica] Victoria Univ Wellington, Sch Geog Environm &amp; Earth Sci, Antarctic Res Ctr, Wellington, New Zealand; [Mackintosh, Andrew N.] Monash Univ, Sch Earth Atmosphere &amp; Environm, Melbourne, Vic, Australia</t>
  </si>
  <si>
    <t>Victoria University Wellington; Monash University; Melbourne Genomics Health Alliance</t>
  </si>
  <si>
    <t>Isaacs, FE (corresponding author), Victoria Univ Wellington, Sch Geog Environm &amp; Earth Sci, Antarctic Res Ctr, Wellington, New Zealand.</t>
  </si>
  <si>
    <t>florence.isaacs@vuw.ac.nz</t>
  </si>
  <si>
    <t>Mackintosh, Andrew/0000-0002-6430-4711; Dadic, Ruzica/0000-0003-1303-1896; Isaacs, Florence/0000-0002-6479-9996</t>
  </si>
  <si>
    <t>Antarctica New Zealand</t>
  </si>
  <si>
    <t>This research was supported by funding from Antarctica New Zealand.</t>
  </si>
  <si>
    <t>e2020JD033140</t>
  </si>
  <si>
    <t>10.1029/2020JD033140</t>
  </si>
  <si>
    <t>QY0YK</t>
  </si>
  <si>
    <t>WOS:000629772000017</t>
  </si>
  <si>
    <t>Morgenstern, O</t>
  </si>
  <si>
    <t>Morgenstern, O.</t>
  </si>
  <si>
    <t>The Southern Annular Mode in 6th Coupled Model Intercomparison Project Models</t>
  </si>
  <si>
    <t>attribution; CMIP6; greenhouse gases; ozone; SAM; Southern Annular Mode</t>
  </si>
  <si>
    <t>I analyze trends in the Southern Annular Mode (SAM) in CMIP6 simulations. For the period 1957-2014, simulated linear trends are generally consistent with two observational references but seasonally in disagreement with two other representations of the SAM. Using a regression analysis applied to model simulations with interactive ozone chemistry, a strengthening of the SAM in summer is attributed nearly completely to ozone depletion because a further strengthening influence due to long-lived greenhouse gases is almost fully counterbalanced by a weakening influence due to stratospheric ozone increases associated with these greenhouse gas increases. Ignoring such ozone feedbacks would yield comparable contributions from these two influences, an incorrect result. In winter, trends are smaller but an influence of greenhouse gas-mediated ozone feedbacks is also identified. The regression analysis furthermore yields significant differences in the attribution of SAM changes to the two influences between models with and without interactive ozone chemistry, with ozone depletion and GHG increases playing seasonally a stronger and weaker, respectively, role in the chemistry models versus the no-chemistry ones.</t>
  </si>
  <si>
    <t>[Morgenstern, O.] Natl Inst Water &amp; Atmospher Res NIWA, Wellington, New Zealand</t>
  </si>
  <si>
    <t>National Institute of Water &amp; Atmospheric Research (NIWA) - New Zealand</t>
  </si>
  <si>
    <t>Morgenstern, O (corresponding author), Natl Inst Water &amp; Atmospher Res NIWA, Wellington, New Zealand.</t>
  </si>
  <si>
    <t>olaf.morgenstern@niwa.co.nz</t>
  </si>
  <si>
    <t>Morgenstern, Olaf/0000-0002-9967-9740</t>
  </si>
  <si>
    <t>NZ Government's Strategic Science Investment Fund (SSIF) through the NIWA programme CACV; NeSI's collaborator institutions; MBIE's Research Infrastructure programme</t>
  </si>
  <si>
    <t>I acknowledge discussions with my IPCC lead-author colleagues, especially Yu Kosaka, Christophe Cassou, and Nathan Gillett, that have partly motivated this study. I furthermore thank the World Climate Research Programme, which, through its Working Group on Coupled Modeling, coordinated and promoted CMIP6. I acknowledge ECMWF, NCEP/NCAR, NOAA, the UK MetOffice, and the British Antarctic Survey for provision of reanalysis and observational data. I was supported by the NZ Government's Strategic Science Investment Fund (SSIF) through the NIWA programme CACV. I acknowledge the contribution of NeSI high-performance computing facilities to the results of this research. New Zealand's national facilities are provided by the New Zealand eScience Infrastructure (NeSI) and funded jointly by NeSI's collaborator institutions and through MBIE's Research Infrastructure programme. Scripts and data need to reproduce the analyses and figures in this study can be found at https://doi.org/10.5281/zenodo.4145770.</t>
  </si>
  <si>
    <t>e2020JD034161</t>
  </si>
  <si>
    <t>10.1029/2020JD034161</t>
  </si>
  <si>
    <t>WOS:000629772000006</t>
  </si>
  <si>
    <t>Fiddes, S; Pepler, A; Saunders, K; Hope, P</t>
  </si>
  <si>
    <t>Fiddes, Sonya; Pepler, Acacia; Saunders, Kate; Hope, Pandora</t>
  </si>
  <si>
    <t>Redefining southern Australia's climatic regions and seasons</t>
  </si>
  <si>
    <t>climate regions; Natural Resource Management (NRM); rainfall; topography; weather type; Southern Australia; k-means clustering; seasons; regions</t>
  </si>
  <si>
    <t>RAINFALL VARIABILITY; CLIMATOLOGY; PATTERNS</t>
  </si>
  <si>
    <t>Climate scientists routinely rely on averaging over time or space to simplify complex information and to concisely communicate findings. Currently, no consistent definitions of 'warm' or 'cool' seasons for southern Australia exist, making comparisons across studies difficult. Similarly, numerous climate studies in Australia use either arbitrarily defined areas or the Natural Resource Management (NRM) clusters to perform spatial averaging. While the NRM regions were informed by temperature and rainfall information, they remain somewhat arbitrary. Here we use weather type influence on rainfall and clustering methods to quantitatively define climatic regions and seasons over southern Australia. Three methods are explored: k-means clustering and two agglomerative clustering methods, Ward linkage and average linkage. K-means was found to be preferred in temporal clustering, while the average linkage method was preferred for spatial clustering. For southern Australia as a whole, we define the cool season as April-September and warm season as October-March, though we note that a three-season split may provide more nuanced climate analysis. We also show that different regions across southern Australia experience different seasons and demonstrate the changing spatial influence of weather types with the seasons, which may aid regionally or seasonally specific climate analysis. Division of southern Australia into 15 climatic regions shows localised agreement with the NRM clusters where distinct differences in rainfall amounts exist. However, the climate regions defined here better represent the importance of topographical aspect on weather type influence and the inland extent of particular weather types. We suggest that the use of these regions would provide consistent climate analysis across studies if widely adopted. A key requirement for climate scientists is the simplification of data sets into both seasonally or regionally averaged subsets. This simplification, by grouping like regions or seasons, is done for a number of reasons both scientific and practical, including to help understand patterns of variability, underlying drivers and trends in climate and weather, to communicate large amounts of data concisely, to reduce the amount of data required for processing (which becomes increasingly important with higher resolution climate model output), or to more simply draw a physical boundary between regions for other purposes, such as flora and fauna habitat analysis, appropriate agricultural practices or water management.</t>
  </si>
  <si>
    <t>[Fiddes, Sonya; Pepler, Acacia; Hope, Pandora] Bur Meteorol, Melbourne, Vic, Australia; [Fiddes, Sonya] Univ Tasmania, Inst Marine &amp; Antarctic Studies, Australian Antarctic Program Partnership, Hobart, Tas, Australia; [Saunders, Kate] Delft Univ Technol, Delft Inst Appl Math, Delft, Netherlands</t>
  </si>
  <si>
    <t>Bureau of Meteorology - Australia; University of Tasmania; Delft University of Technology</t>
  </si>
  <si>
    <t>Fiddes, S (corresponding author), Bur Meteorol, Melbourne, Vic, Australia.;Fiddes, S (corresponding author), Univ Tasmania, Inst Marine &amp; Antarctic Studies, Australian Antarctic Program Partnership, Hobart, Tas, Australia.</t>
  </si>
  <si>
    <t>Fiddes, Sonya/ABA-7818-2020; Pepler, Acacia/ABC-6565-2020; Hope, Pandora/ISA-8917-2023; Fiddes, Sonya L./HKM-5559-2023</t>
  </si>
  <si>
    <t>Fiddes, Sonya/0000-0002-2752-0845; Pepler, Acacia/0000-0002-1478-2512; Fiddes, Sonya L./0000-0002-2752-0845; Saunders, Kate/0000-0002-1436-7802</t>
  </si>
  <si>
    <t>Victorian Department of Environment, Land, Water and Planning as part of the Victorian Water and Climate Initiative; Australian Government</t>
  </si>
  <si>
    <t>Victorian Department of Environment, Land, Water and Planning as part of the Victorian Water and Climate Initiative; Australian Government(Australian Government)</t>
  </si>
  <si>
    <t>The authors would like to acknowledge Jennifer Catto, Andrew Dowdy and Irina Rudeva for their contributions to the weather types dataset. Sonya Fiddes, Acacia Pepler and Pandora Hope were supported by the Victorian Department of Environment, Land, Water and Planning as part of the Victorian Water and Climate Initiative. This research was undertaken with the assistance of resources and services from the National Computational Infrastructure (project eg3), which is supported by the Australian Government. The authors would like to acknowledge the traditional owners of the lands upon which this research was performed and pay our respect to elders past, present and emerging.</t>
  </si>
  <si>
    <t>10.1071/ES20003</t>
  </si>
  <si>
    <t>gold, Green Published, Green Accepted, Green Submitted</t>
  </si>
  <si>
    <t>WOS:000630123300001</t>
  </si>
  <si>
    <t>Wang, JR; Zhang, WL; Feckan, M</t>
  </si>
  <si>
    <t>Wang, JinRong; Zhang, Wenlin; Feckan, Michal</t>
  </si>
  <si>
    <t>Periodic boundary value problem for second-order differential equations from geophysical fluid flows</t>
  </si>
  <si>
    <t>MONATSHEFTE FUR MATHEMATIK</t>
  </si>
  <si>
    <t>Periodic boundary value problem; Second-order Differential Equations; Positive solutions; Existence</t>
  </si>
  <si>
    <t>WATER-WAVES; EXISTENCE; STEADY</t>
  </si>
  <si>
    <t>In this paper, we study a new model for a jet component of the Antarctic Circumpolar Current. In the case of vorticity with perturbation, we present the existence results for positive solutions to periodic boundary value problems for general nonlinear, weak nonlinearity and semilinear terms. A computational method is established and an approximate scheme of solution is also given.</t>
  </si>
  <si>
    <t>[Wang, JinRong; Zhang, Wenlin] Guizhou Univ, Dept Math, Guiyang 550025, Guizhou, Peoples R China; [Wang, JinRong] Qufu Normal Univ, Sch Math Sci, Qufu 273165, Shandong, Peoples R China; [Feckan, Michal] Comenius Univ, Fac Math Phys &amp; Informat, Dept Math Anal &amp; Numer Math, Bratislava 84248, Slovakia; [Feckan, Michal] Slovak Acad Sci, Math Inst, Stefanikova 49, Bratislava 81473, Slovakia</t>
  </si>
  <si>
    <t>Guizhou University; Qufu Normal University; Comenius University Bratislava; Slovak Academy of Sciences; Mathematical Institute, SAS</t>
  </si>
  <si>
    <t>Wang, JR (corresponding author), Guizhou Univ, Dept Math, Guiyang 550025, Guizhou, Peoples R China.;Wang, JR (corresponding author), Qufu Normal Univ, Sch Math Sci, Qufu 273165, Shandong, Peoples R China.</t>
  </si>
  <si>
    <t>jrwang@gzu.edu.cn; wlzhang1025@163.com; Michal.Feckan@fmph.uniba.sk</t>
  </si>
  <si>
    <t>Fečkan, Michal/T-4397-2018; Wang, JinRong/O-5745-2017</t>
  </si>
  <si>
    <t>Fečkan, Michal/0000-0002-7385-6737; Wang, JinRong/0000-0002-6642-1946</t>
  </si>
  <si>
    <t>National Natural Science Foundation of China [11661016]; Training Object of High Level and Innovative Talents of Guizhou Province [(2016)4006]; Guizhou Data Driven Modeling Learning and Optimization Innovation Team [[2020]5016]; Department of Science and Technology of Guizhou Province [[2018]1118]; Slovak Research and Development Agency [APVV-18-0308]; Slovak Grant Agency VEGA [1/0358/20, 2/0127/20]</t>
  </si>
  <si>
    <t>National Natural Science Foundation of China(National Natural Science Foundation of China (NSFC)); Training Object of High Level and Innovative Talents of Guizhou Province; Guizhou Data Driven Modeling Learning and Optimization Innovation Team; Department of Science and Technology of Guizhou Province(Department of Science &amp; Technology (DOST), PhilippinesDepartment of Science &amp; Technology (India)); Slovak Research and Development Agency(Slovak Research and Development Agency); Slovak Grant Agency VEGA(Vedecka grantova agentura MSVVaS SR a SAV (VEGA))</t>
  </si>
  <si>
    <t>This work is partially supported by the National Natural Science Foundation of China (11661016), Training Object of High Level and Innovative Talents of Guizhou Province ((2016)4006), Guizhou Data Driven Modeling Learning and Optimization Innovation Team ([2020]5016), Department of Science and Technology of Guizhou Province ((Fundamental Research Program [2018]1118)), the Slovak Research and Development Agency under the contract No. APVV-18-0308, and the Slovak Grant Agency VEGA No. 1/0358/20 and No. 2/0127/20.</t>
  </si>
  <si>
    <t>SPRINGER WIEN</t>
  </si>
  <si>
    <t>WIEN</t>
  </si>
  <si>
    <t>SACHSENPLATZ 4-6, PO BOX 89, A-1201 WIEN, AUSTRIA</t>
  </si>
  <si>
    <t>0026-9255</t>
  </si>
  <si>
    <t>1436-5081</t>
  </si>
  <si>
    <t>MONATSH MATH</t>
  </si>
  <si>
    <t>Mon.heft. Math.</t>
  </si>
  <si>
    <t>10.1007/s00605-021-01539-3</t>
  </si>
  <si>
    <t>SQ8BW</t>
  </si>
  <si>
    <t>WOS:000629088600002</t>
  </si>
  <si>
    <t>Shamsi, S; Day, S; Zhu, XC; McLellan, M; Barton, DP; Dang, M; Nowak, BF</t>
  </si>
  <si>
    <t>Shamsi, Shokoofeh; Day, Scott; Zhu, Xiaocheng; McLellan, Matthew; Barton, Diane P.; Dang, Mai; Nowak, Barbara F.</t>
  </si>
  <si>
    <t>Wild fish as reservoirs of parasites on Australian Murray cod farms</t>
  </si>
  <si>
    <t>Environment health; Sustainability; Conservation</t>
  </si>
  <si>
    <t>CLINOSTOMUM-COMPLANATUM RUDOLPHI; FRESH-WATER FISHES; LIFE-CYCLE; AUSTRALAPATEMON SUDARIKOV; DIGENEA CLINOSTOMIDAE; TREMATODA STRIGEIDAE; RIBOSOMAL DNA; NEW-ZEALAND; PHYLOGENY; PLATYHELMINTHES</t>
  </si>
  <si>
    <t>Controlling pathogens within the aquaculture systems is important to prevent their impact on both human health and wild native populations. It is not uncommon for aquaculture ponds to contain undesirable species of fish which can compete for food or space with the farmed fish or play a role as a reservoir of diseases. The aims of this study were to determine the occurrence of parasites in undesirable species of fish commonly found in Australian Murray cod farms in New South Wales to determine if they can act as a reservoir for important parasites. In the present study, a total of 106 Australian smelt (Retropinna semoni), and 144 gudgeons (Hypseleotris spp.) were sampled from Murray cod ponds for parasitic infections. These fish are among the most common undesirable fish found on Murray cod farms in the region. No metazoan parasites were found in Australian smelt. One hundred and nine gudgeons were used for parasitology and 35 for histology. Parasites were examined morphologically followed by analyses of their DNA sequence data. Seven percent of infected gudgeons (out of total 109 examined) had externally visible signs of parasitic infection. The gudgeons had high parasitic burdens with 89.9% containing encysted metacercaria, identified as Apatemon hypseleotris, belonging to the family Strigeidae, 41.3% nonencysted metacercaria identified as Clinostomum sp., belonging to the family Clinostomidae, 6.4% (larval) cestodes identified as the metacestode of the genus Parvitaenia, belonging to the family Gryporhynchidae and a single Camallanus larval nematode (0.9%), all known to be of low host specificity and potentially transmissible to Murray cod. Histopathology results showed the presence of an additional parasite, a monogenean parasite in the gill. Some of the parasites found in the present study can be pathogenic for infected fish. This study provides critical baseline information on the occurrence of parasites in wild reservoir fish on Murray cod farms. Further research is needed to understand the potential risks to Murray cod populations in farm systems as well as to other fish in natural water resources where Murray cod are released.</t>
  </si>
  <si>
    <t>[Shamsi, Shokoofeh; Day, Scott; Zhu, Xiaocheng; Barton, Diane P.] Charles Sturt Univ, Sch Anim &amp; Vet Sci, Wagga Wagga, NSW 2678, Australia; [Shamsi, Shokoofeh; Zhu, Xiaocheng] Charles Sturt Univ, Graham Ctr Agr Innovat, Wagga Wagga, NSW 2678, Australia; [Shamsi, Shokoofeh; Zhu, Xiaocheng] Charles Sturt Univ, NSW Dept Primary Ind, Wagga Wagga, NSW 2678, Australia; [Zhu, Xiaocheng] Wagga Wagga Agr Inst, NSW Dept Primary Ind, Wagga Wagga, NSW 2650, Australia; [McLellan, Matthew] Narrandera Fisheries Ctr, Recreat &amp; Aboriginal Fisheries, NSW Dept Primary Ind, Narrandera, NSW 2700, Australia; [Dang, Mai; Nowak, Barbara F.] Univ Tasmania, Inst Marine &amp; Antarctic Studies, Launceston, Tas 7250, Australia; [Dang, Mai] Inst Vet Res &amp; Dev Cent Vietnam, Dept Biotechnol, Km 4,2-4 St, Nha Trang 57000, Khanh Hoa, Vietnam</t>
  </si>
  <si>
    <t>Charles Sturt University; Charles Sturt University; NSW Department of Primary Industries; Charles Sturt University; NSW Department of Primary Industries; NSW Department of Primary Industries; University of Tasmania</t>
  </si>
  <si>
    <t>Shamsi, S (corresponding author), Charles Sturt Univ, Sch Anim &amp; Vet Sci, Wagga Wagga, NSW 2678, Australia.</t>
  </si>
  <si>
    <t>sshamsi@csu.edu.au</t>
  </si>
  <si>
    <t>shi, danyang/ABG-6569-2021; Shamsi, Shokoofeh/C-8159-2009; Barton, Diane/AAT-3249-2021; Zhu, Xiaocheng/B-6963-2015; Nowak, Barbara/J-7261-2014</t>
  </si>
  <si>
    <t>Shamsi, Shokoofeh/0000-0002-8606-6400; Barton, Diane/0000-0002-7462-9501; Zhu, Xiaocheng/0000-0003-4468-1090; Dang, Mai T. S./0000-0003-2542-120X; Nowak, Barbara/0000-0002-0347-643X</t>
  </si>
  <si>
    <t>Charles Sturt University [A512-828xxx-66770]</t>
  </si>
  <si>
    <t>Charles Sturt University</t>
  </si>
  <si>
    <t>This project has been funded by Charles Sturt University (A512-828xxx-66770 awarded to SS).</t>
  </si>
  <si>
    <t>JUN 30</t>
  </si>
  <si>
    <t>10.1016/j.aquaculture.2021.736584</t>
  </si>
  <si>
    <t>RY0GZ</t>
  </si>
  <si>
    <t>WOS:000647594300005</t>
  </si>
  <si>
    <t>Liu, M; Tanhua, T</t>
  </si>
  <si>
    <t>Liu, Mian; Tanhua, Toste</t>
  </si>
  <si>
    <t>Water masses in the Atlantic Ocean: characteristics and distributions</t>
  </si>
  <si>
    <t>OCEAN SCIENCE</t>
  </si>
  <si>
    <t>LABRADOR SEA-WATER; MERIDIONAL OVERTURNING CIRCULATION; OPTIMUM MULTIPARAMETER ANALYSIS; ANTARCTIC INTERMEDIATE WATER; WESTERN BOUNDARY CURRENT; NORTH-ATLANTIC; SOUTH-ATLANTIC; DEEP-WATER; DENMARK STRAIT; BIOGEOCHEMICAL PROCESSES</t>
  </si>
  <si>
    <t>A large number of water masses are presented in the Atlantic Ocean, and knowledge of their distributions and properties is important for understanding and monitoring of a range of oceanographic phenomena. The characteristics and distributions of water masses in biogeochemical space are useful for, in particular, chemical and biological oceanography to understand the origin and mixing history of water samples. Here, we define the characteristics of the major water masses in the Atlantic Ocean as source water types (SWTs) from their formation areas, and map out their distributions. The SWTs are described by six properties taken from the biased-adjusted Global Ocean Data Analysis Project version 2 (GLODAPv2) data product, including both conservative (conservative temperature and absolute salinity) and non-conservative (oxygen, silicate, phosphate and nitrate) properties. The distributions of these water masses are investigated with the use of the optimum multi-parameter (OMP) method and mapped out. The Atlantic Ocean is divided into four vertical layers by distinct neutral densities and four zonal layers to guide the identification and characterization. The water masses in the upper layer originate from wintertime subduction and are defined as central waters. Below the upper layer, the intermediate layer consists of three main water masses: Antarctic Intermediate Water (AAIW), Subarctic Intermediate Water (SAIW) and Mediterranean Water (MW). The North Atlantic Deep Water (NADW, divided into its upper and lower components) is the dominating water mass in the deep and overflow layer. The origin of both the upper and lower NADW is the Labrador Sea Water (LSW), the Iceland-Scotland Overflow Water (ISOW) and the Denmark Strait Overflow Water (DSOW). The Antarctic Bottom Water (AABW) is the only natural water mass in the bottom layer, and this water mass is redefined as Northeast Atlantic Bottom Water (NEABW) in the north of the Equator due to the change of key properties, especially silicate. Similar with NADW, two additional water masses, Circumpolar Deep Water (CDW) and Weddell Sea Bottom Water (WSBW), are defined in the Weddell Sea region in order to understand the origin of AABW.</t>
  </si>
  <si>
    <t>[Liu, Mian] Xiamen Univ, Coll Ocean &amp; Earth Sci, Xiamen 361005, Peoples R China; [Liu, Mian; Tanhua, Toste] GEOMAR Helmholtz Ctr Ocean Res Kiel, Marine Biogeochem, Chem Oceanog, Dusternbrooker Weg 20, D-24105 Kiel, Germany</t>
  </si>
  <si>
    <t>Xiamen University; Helmholtz Association; GEOMAR Helmholtz Center for Ocean Research Kiel</t>
  </si>
  <si>
    <t>Tanhua, T (corresponding author), GEOMAR Helmholtz Ctr Ocean Res Kiel, Marine Biogeochem, Chem Oceanog, Dusternbrooker Weg 20, D-24105 Kiel, Germany.</t>
  </si>
  <si>
    <t>ttanhua@geomar.de</t>
  </si>
  <si>
    <t>Tanhua, Toste/HLX-5402-2023</t>
  </si>
  <si>
    <t>Tanhua, Toste/0000-0002-0313-2557</t>
  </si>
  <si>
    <t>China Scholarship Council (CSC)</t>
  </si>
  <si>
    <t>China Scholarship Council (CSC)(China Scholarship Council)</t>
  </si>
  <si>
    <t>Mian Liu received support from the China Scholarship Council (CSC) to support the PhD study at GEOMAR Helmholtz Centre for Ocean Research Kiel.</t>
  </si>
  <si>
    <t>1812-0784</t>
  </si>
  <si>
    <t>1812-0792</t>
  </si>
  <si>
    <t>OCEAN SCI</t>
  </si>
  <si>
    <t>Ocean Sci.</t>
  </si>
  <si>
    <t>MAR 15</t>
  </si>
  <si>
    <t>10.5194/os-17-463-2021</t>
  </si>
  <si>
    <t>QY6WE</t>
  </si>
  <si>
    <t>WOS:000630177500001</t>
  </si>
  <si>
    <t>Sun, RN; Liu, XF; Yu, Y; Miao, JK; Leng, KL; Gao, H</t>
  </si>
  <si>
    <t>Sun, Runan; Liu, Xiaofang; Yu, Yuan; Miao, Junkui; Leng, Kailiang; Gao, Hua</t>
  </si>
  <si>
    <t>Preparation process optimization, structural characterization and in vitro digestion stability analysis of Antarctic krill (Euphausia superba) peptides-zinc chelate</t>
  </si>
  <si>
    <t>FOOD CHEMISTRY</t>
  </si>
  <si>
    <t>Antarctic krill (Euphausia superba); Peptides-zinc chelate; Structural characterization; Chelate site; Simulated gastrointestinal digestion</t>
  </si>
  <si>
    <t>ANTIOXIDANT ACTIVITIES; PROTEIN HYDROLYSATE; BINDING-CAPACITY; CALCIUM CHELATE; IDENTIFICATION; SOLUBILITY; BIOAVAILABILITY; ABSORPTION; COMPLEXES; CASEIN</t>
  </si>
  <si>
    <t>In the study, a novel kind of peptides-zinc (AKP-Zn) chelate was obtained using the Antarctic krill (Euphausia superba) peptides (AKP) as raw material, the reaction was carried out with the mass ratio of the AKP to ZnSO4 center dot 7H(2)O of 1:2 at pH 6.0 and 60 degrees C for 10 min. The structure and composition of the AKP, including particle size, Zeta potential, molecular weight distribution, amino acid composition, microstructure and surface elemental composition, changed significantly after chelating with zinc. The result of Fourier transform infrared spectroscopy indicated that zinc could be chelated by carboxyl oxygen and amino nitrogen atoms of the AKP. Furthermore, compared with zinc sulfate and zinc gluconate, the AKP-Zn chelate was more stable at various pH conditions and the simulated gastrointestinal digestion experiment. These findings would provide a scientific basis for developing new zinc supplements and the high-value utilization of Antarctic krill protein resource.</t>
  </si>
  <si>
    <t>[Sun, Runan; Gao, Hua] Qingdao Univ, Sch Pharm, Dept Med Chem, 38 Dengzhou Rd, Qingdao 266021, Shandong, Peoples R China; [Sun, Runan; Liu, Xiaofang; Yu, Yuan; Miao, Junkui; Leng, Kailiang] Minist Agr &amp; Rural Affairs, Key Lab Sustainable Dev Polar Fishery, Chinese Acad Fishery Sci, Yellow Sea Fisheries Res Inst, 106 Nanjing Rd, Qingdao 266071, Shandong, Peoples R China; [Leng, Kailiang] Pilot Natl Lab Marine Sci &amp; Technol Qingdao, Lab Marine Drugs &amp; Bioprod, Qingdao 266200, Shandong, Peoples R China</t>
  </si>
  <si>
    <t>Qingdao University; Ministry of Agriculture &amp; Rural Affairs; Chinese Academy of Fishery Sciences; Yellow Sea Fisheries Research Institute, CAFS; Laoshan Laboratory</t>
  </si>
  <si>
    <t>Leng, KL; Gao, H (corresponding author), Minist Agr &amp; Rural Affairs, Key Lab Sustainable Dev Polar Fishery, Chinese Acad Fishery Sci, Yellow Sea Fisheries Res Inst, 106 Nanjing Rd, Qingdao 266071, Shandong, Peoples R China.</t>
  </si>
  <si>
    <t>srn096@126.com; liuxiaofang@ysfri.ac.cn; yuyuan@ysfri.ac.cn; miaojk@ysfri.ac.cn; lengkl@ysfri.ac.cn; gaohua@qdu.edu.cn</t>
  </si>
  <si>
    <t>Li, Yan/JUU-5189-2023</t>
  </si>
  <si>
    <t>National Key Research and Development Program of China [2018YFC1406806]; Marine S&amp;T Fund of Shandong Province for Pilot National Laboratory for Marine Science and Technology (Qingdao)</t>
  </si>
  <si>
    <t>National Key Research and Development Program of China; Marine S&amp;T Fund of Shandong Province for Pilot National Laboratory for Marine Science and Technology (Qingdao)</t>
  </si>
  <si>
    <t>This study was financially supported by the National Key Research and Development Program of China (No.2018YFC1406806) and the Marine S&amp;T Fund of Shandong Province for Pilot National Laboratory for Marine Science and Technology (Qingdao) (No.2018SDKJ0304-4).</t>
  </si>
  <si>
    <t>0308-8146</t>
  </si>
  <si>
    <t>1873-7072</t>
  </si>
  <si>
    <t>FOOD CHEM</t>
  </si>
  <si>
    <t>Food Chem.</t>
  </si>
  <si>
    <t>10.1016/j.foodchem.2020.128056</t>
  </si>
  <si>
    <t>Chemistry, Applied; Food Science &amp; Technology; Nutrition &amp; Dietetics</t>
  </si>
  <si>
    <t>Chemistry; Food Science &amp; Technology; Nutrition &amp; Dietetics</t>
  </si>
  <si>
    <t>OX6RT</t>
  </si>
  <si>
    <t>WOS:000593690000007</t>
  </si>
  <si>
    <t>Cappello, S; Caruso, G; Bergami, E; Macrì, A; Venuti, V; Majolino, D; Corsi, I</t>
  </si>
  <si>
    <t>Cappello, Simone; Caruso, Gabriella; Bergami, Elisa; Macri, Angela; Venuti, Valentina; Majolino, Domenico; Corsi, Ilaria</t>
  </si>
  <si>
    <t>New insights into the structure and function of the prokaryotic communities colonizing plastic debris collected in King George Island (Antarctica): Preliminary observations from two plastic fragments</t>
  </si>
  <si>
    <t>JOURNAL OF HAZARDOUS MATERIALS</t>
  </si>
  <si>
    <t>Plastic pollution; Maritime Antarctica; FTIR-ATR; Prokaryotic community; Enzymatic profiles; Substrate nature</t>
  </si>
  <si>
    <t>BAY ROSS SEA; MARINE BIOFILMS; BACTERIAL-COLONIZATION; MICROBIAL COMMUNITIES; CULTURABLE BACTERIA; MICROPLASTICS; DIVERSITY; SEDIMENTS; DYNAMICS; SURFACE</t>
  </si>
  <si>
    <t>In Antarctic regions, the composition and metabolic activity of microbial assemblages associated with plastic debris (plastisphere) are almost unknown. A macroplastic item from land (MaL, 30 cm) and a mesoplastic from the sea (MeS, 4 mm) were collected in Maxwell Bay (King George Island, South Shetland) and analyzed by Fourier transform infrared spectroscopy in attenuated total reflectance geometry (FTIR-ATR), which confirmed a polystyrene foam and a composite high-density polyethylene composition for MaL and MeS, respectively. The structure and function of the two plastic-associated prokaryotic communities were studied by complementary 16S ribosomal RNA gene clone libraries, total bacterioplankton and culturable heterotrophic bacterial counts, enzymatic activities of the whole community and enzymatic profiles of bacterial isolates. Results showed that Gamma- and Betaproteobacteria (31% and 28%, respectively) dominated in MeS, while Beta- and Alphaproteobacteria (21% and 13%, respectively) in MaL. Sequences related to oil degrading bacteria (Alcanivorax, Marinobacter) confirmed the known anthropogenic pressure in King George Island. This investigation on plasticassociated prokaryotic structure and function represents the first attempt to characterize the ecological role of plastisphere in this Antarctic region and provides the necessary background for future research on the significance of polymer type, surface characteristics and environmental conditions in shaping the plastisphere.</t>
  </si>
  <si>
    <t>[Cappello, Simone; Macri, Angela] Natl Res Council CNR, Inst Biol Resources &amp; Marine Biotechnol IRBIM, Spianata San Raineri 86, I-98122 Messina, Italy; [Caruso, Gabriella] Natl Res Council CNR, Inst Polar Sci ISP, Spianata San Raineri 86, I-98122 Messina, Italy; [Bergami, Elisa; Corsi, Ilaria] Univ Siena, Dept Phys Earth &amp; Environm Sci, Via Mattioli 4, I-53100 Siena, Italy; [Macri, Angela] Univ Messina, Dept Chem Biol Pharmaceut &amp; Environm Sci, Viale Ferdinando Stagno DAlcontres 31, I-98166 Messina, Italy; [Venuti, Valentina; Majolino, Domenico] Univ Messina, Dept Math &amp; Comp Sci, Phys Sci &amp; Earth Sci, Viale Ferdinando Stagno DAlcontres 31, I-98166 Messina, Italy</t>
  </si>
  <si>
    <t>Consiglio Nazionale delle Ricerche (CNR); Istituto per le Risorse Biologiche Biotecnologie Marine (IRBIM-CNR); Consiglio Nazionale delle Ricerche (CNR); Istituto di Scienze Polari (ISP-CNR); University of Siena; University of Messina; University of Messina</t>
  </si>
  <si>
    <t>Caruso, G (corresponding author), Natl Res Council CNR, Inst Polar Sci ISP, Spianata San Raineri 86, I-98122 Messina, Italy.</t>
  </si>
  <si>
    <t>gabriella.caruso@cnr.it</t>
  </si>
  <si>
    <t>Caruso, Gabriella/F-5450-2013; Corsi, Ilaria/D-3795-2012; Bergami, Elisa/JFJ-1703-2023</t>
  </si>
  <si>
    <t>Caruso, Gabriella/0000-0002-3819-5486; Corsi, Ilaria/0000-0002-1811-3041; Bergami, Elisa/0000-0001-8149-9584; Macri', Angela/0000-0003-2974-1809; MAJOLINO, Domenico/0000-0002-2934-2587</t>
  </si>
  <si>
    <t>Italian National Antarctic Program (PNRA) Plastic in Antarctic Environment (PLANET) [PNRA 14_00090]; Brazilian Antarctic Program [PROANTAR 407904/2013-1]; Chilean Antarctic Institute (INACH); Italian PNRA Project Microbial colonization of benthic ANTarctic environments: response of microbial abundances, diversity, activities and larval settlement to natural or anthropogenic disturbances and search for secondary metabolites (ANTBIOFILM) [PNRA 16_00105]</t>
  </si>
  <si>
    <t>Italian National Antarctic Program (PNRA) Plastic in Antarctic Environment (PLANET); Brazilian Antarctic Program; Chilean Antarctic Institute (INACH); Italian PNRA Project Microbial colonization of benthic ANTarctic environments: response of microbial abundances, diversity, activities and larval settlement to natural or anthropogenic disturbances and search for secondary metabolites (ANTBIOFILM)</t>
  </si>
  <si>
    <t>This work was funded by 70% by the Italian National Antarctic Program (PNRA) Plastic in Antarctic Environment (PLANET, PNRA 14_00090) , in collaboration with the Brazilian Antarctic Program (PROANTAR 407904/2013-1) and the Chilean Antarctic Institute (INACH) . We gratefully acknowledge Dr. A. Krupinski Emerenciano and Prof. Jose Roberto Machado Cunha da Silva from the University of Sao Paulo (Brazil) and Dr. Jorge Gonzalez Aravena from Instituto Antartico Chileno (INACH) for their support during the Antarctic expedition. For the analysis of enzymatic activity this study was supported (30%) by the Italian PNRA Project Microbial colonization of benthic ANTarctic environments: response of microbial abundances, diversity, activities and larval settlement to natural or anthropogenic disturbances and search for secondary metabolites (ANTBIOFILM, PNRA 16_00105) .</t>
  </si>
  <si>
    <t>0304-3894</t>
  </si>
  <si>
    <t>1873-3336</t>
  </si>
  <si>
    <t>J HAZARD MATER</t>
  </si>
  <si>
    <t>J. Hazard. Mater.</t>
  </si>
  <si>
    <t>10.1016/j.jhazmat.2021.125586</t>
  </si>
  <si>
    <t>SF9AD</t>
  </si>
  <si>
    <t>WOS:000653038400002</t>
  </si>
  <si>
    <t>Torre, L; Alurralde, G; Lagger, C; Abele, D; Schloss, IR; Sahade, R</t>
  </si>
  <si>
    <t>Torre, L.; Alurralde, G.; Lagger, C.; Abele, D.; Schloss, I. R.; Sahade, R.</t>
  </si>
  <si>
    <t>Antarctic ascidians under increasing sedimentation: Physiological thresholds and ecosystem hysteresis</t>
  </si>
  <si>
    <t>MARINE ENVIRONMENTAL RESEARCH</t>
  </si>
  <si>
    <t>Alternative stable states; Antarctica; Ascidians; Glacier retreat; Hysteresis; Scope for growth; Sedimentation; Suspension feeders</t>
  </si>
  <si>
    <t>KING GEORGE ISLAND; SOUTH SHETLAND ISLANDS; ALTERNATIVE STABLE STATES; POTTER COVE; CLIMATE-CHANGE; CNEMIDOCARPA-VERRUCOSA; REGIME SHIFTS; MCMURDO SOUND; PYLORIC GLAND; SUSPENSION</t>
  </si>
  <si>
    <t>Glacier melting sediment inputs affect coastal ecosystems on the Antarctic Peninsula. In Potter Cove (South Shetland Islands, Antarctica), the shift from an ascidian dominated to a mixed assemblage has been linked to sedimentation. However, in recently described newly ice-free areas ascidians became dominant in spite of total suspended particulate matter (TSPM) concentrations, which are the highest measured in Potter Cove. Here, we compared the gut content and energy reserve of three ascidian species at three stations under different TSPM regimes. All analysed species had a higher gut content with lower %OM at these newly areas. A theoretical relationship between the scope for growth for the targeted ascidians and TSPM explained assemblages' recorded change but failed to explain current ascidians distribution. The results may indicate the existence of a TSPM threshold that allows the spatial coexistence of alternative stable states at benthic Potter Cove system.</t>
  </si>
  <si>
    <t>[Torre, L.; Alurralde, G.; Lagger, C.; Sahade, R.] Univ Nacl Cordoba, Fac Ciencias Exactas Fis &amp; Nat, Ave Velez Sarsfield 299, RA-5000 Cordoba, Argentina; [Torre, L.; Alurralde, G.; Lagger, C.; Sahade, R.] Consejo Nacl Invest Cient &amp; Tecn, Inst Diversidad &amp; Ecol Anim, Cordoba, Argentina; [Abele, D.] Helmholtz Ctr Polar &amp; Marine Res, Alfred Wegener Inst AWI, Bremerhaven, Germany; [Schloss, I. R.] Inst Antartico Argentino, San Martin, Buenos Aires, Argentina; [Schloss, I. R.] Consejo Nacl Invest Cient &amp; Tecn, Ctr Austral Invest Cient, Ushuaia, Argentina; [Schloss, I. R.] Univ Nacl Tierra del Fuego, Ushuaia, Argentina</t>
  </si>
  <si>
    <t>National University of Cordoba; Consejo Nacional de Investigaciones Cientificas y Tecnicas (CONICET); Helmholtz Association; Alfred Wegener Institute, Helmholtz Centre for Polar &amp; Marine Research; Instituto Antartico Argentino; Consejo Nacional de Investigaciones Cientificas y Tecnicas (CONICET)</t>
  </si>
  <si>
    <t>Torre, L; Sahade, R (corresponding author), Univ Nacl Cordoba, Inst Diversidad &amp; Ecol Anim, Consejo Nacl Invest Cient &amp; Tecn, Fac Ciencias Exactas Fis &amp; Nat, Ave Velez Sarsfield 299, RA-5000 Cordoba, Argentina.</t>
  </si>
  <si>
    <t>lutorre@unc.edu.ar; rsahade@unc.edu.ar</t>
  </si>
  <si>
    <t>Alurralde, Gastón/IVV-4732-2023</t>
  </si>
  <si>
    <t>Alurralde, Gastón/0000-0002-0332-3978</t>
  </si>
  <si>
    <t>Instituto Antartico Argentino (IAA); Consejo Nacional de Investigaciones Cientificas y Tecnicas CONICET; FONCyT (Fondo para la Investigacion Cientifica y Tecnologica); SECyT-UNC (Secretaria de Ciencia y Tecnologia-UNC); EU (European Union) [2010/119, 2394]; IMCONet [FP7 IRSES (International Research Staff Exchange Scheme) [318718]; PADI Foundation [11234, 32774]; DFG (Deutsche Forschungsgemeinschaft)</t>
  </si>
  <si>
    <t>Instituto Antartico Argentino (IAA); Consejo Nacional de Investigaciones Cientificas y Tecnicas CONICET(Consejo Nacional de Investigaciones Cientificas y Tecnicas (CONICET)); FONCyT (Fondo para la Investigacion Cientifica y Tecnologica)(FONCyT); SECyT-UNC (Secretaria de Ciencia y Tecnologia-UNC); EU (European Union)(European Union (EU)); IMCONet [FP7 IRSES (International Research Staff Exchange Scheme); PADI Foundation; DFG (Deutsche Forschungsgemeinschaft)(German Research Foundation (DFG))</t>
  </si>
  <si>
    <t>We thank the Carlini-Dallmann staff for their logistic support. We also thank logistic and financial support by Instituto Antartico Argentino (IAA), Consejo Nacional de Investigaciones Cientificas y Tecnicas CONICET, FONCyT (Fondo para la Investigacion Cientifica y Tecnologica), SECyT-UNC (Secretaria de Ciencia y Tecnologia-UNC), DFG (Deutsche Forschungsgemeinschaft), and EU (European Union) via grants PICTO-DNA N. 2010/119, PICT2017 N. 2394, IMCONet [FP7 IRSES (International Research Staff Exchange Scheme), action #318718], and PADI Foundation Grant #11234 and #32774. The authors have no conflicts of interest to declare.</t>
  </si>
  <si>
    <t>0141-1136</t>
  </si>
  <si>
    <t>1879-0291</t>
  </si>
  <si>
    <t>MAR ENVIRON RES</t>
  </si>
  <si>
    <t>Mar. Environ. Res.</t>
  </si>
  <si>
    <t>10.1016/j.marenvres.2021.105284</t>
  </si>
  <si>
    <t>Environmental Sciences; Marine &amp; Freshwater Biology; Toxicology</t>
  </si>
  <si>
    <t>Environmental Sciences &amp; Ecology; Marine &amp; Freshwater Biology; Toxicology</t>
  </si>
  <si>
    <t>SE0WV</t>
  </si>
  <si>
    <t>WOS:000651797100006</t>
  </si>
  <si>
    <t>Seco, J; Freitas, R; Xavier, JC; Bustamante, P; Coelho, JP; Coppola, F; Saunders, RA; Almeida, A; Fielding, S; Pardal, MA; Stowasser, G; Pompeo, G; Tarling, GA; Brierley, AS; Pereira, E</t>
  </si>
  <si>
    <t>Seco, Jose; Freitas, Rosa; Xavier, Jose C.; Bustamante, Paco; Coelho, Joao P.; Coppola, Francesca; Saunders, Ryan A.; Almeida, Angela; Fielding, Sophie; Pardal, Miguel A.; Stowasser, Gabriele; Pompeo, Giulia; Tarling, Geraint A.; Brierley, Andrew S.; Pereira, Eduarda</t>
  </si>
  <si>
    <t>Oxidative stress, metabolic activity and mercury concentrations in Antarctic krill Euphausia superba and myctophid fish of the Southern Ocean</t>
  </si>
  <si>
    <t>Toxicity; Biochemical performance; Antioxidant capacity; Baseline</t>
  </si>
  <si>
    <t>ANTIOXIDANT DEFENSE SYSTEMS; DIET; BIOMARKERS; RESPONSES; BIOACCUMULATION; CARBAMAZEPINE; VARIABILITY; CONSUMPTION; STRATEGIES; TOXICITY</t>
  </si>
  <si>
    <t>Indicators of oxidative stress and metabolic capacity are key factors in understanding the fitness of wild populations. In the present study, these factors were evaluated in the pelagic Southern Ocean taxa Antarctic krill (Euphausia superba) and myctophid fish (Electrona antarctica, Gymnoscopelus braueri and G. nicholsi) to establish a baseline record for future studies. Mercury (Hg) concentrations were also analysed to evaluate its potential impacts on species biochemical performance. E. superba had higher metabolic activity than most of the myctophid species, which may explain the comparatively lower energy reserves found in the former. The activity of antioxidant enzymes showed, generally, a lower level in E. superba than in the myctophid species. The lack of any relationship between Hg concentrations and organisms? antioxidant and biotransformation defence mechanisms indicate that levels of Hg accumulated in the studied species were not high enough to affect their biochemical processes adversely.</t>
  </si>
  <si>
    <t>[Seco, Jose; Pompeo, Giulia; Pereira, Eduarda] Univ Aveiro, Dept Chem, P-3810193 Aveiro, Portugal; [Seco, Jose; Pompeo, Giulia; Pereira, Eduarda] Univ Aveiro, CESAM REQUIMTE, P-3810193 Aveiro, Portugal; [Seco, Jose; Brierley, Andrew S.] Univ St Andrews, Pelag Ecol Res Grp, Scottish Oceans Inst, Gatty Marine,Lab Sch Biol, St Andrews KY16 8LB, Fife, Scotland; [Freitas, Rosa; Coelho, Joao P.; Coppola, Francesca; Almeida, Angela] Univ Aveiro, Dept Biol, P-3810193 Aveiro, Portugal; [Freitas, Rosa; Coelho, Joao P.; Coppola, Francesca; Almeida, Angela] Univ Aveiro, CESAM, P-3810193 Aveiro, Portugal; [Xavier, Jose C.; Saunders, Ryan A.; Fielding, Sophie; Stowasser, Gabriele; Tarling, Geraint A.] NERC, British Antarctic Survey, Madingley Rd, Cambridge CB3 0ET, England; [Xavier, Jose C.] Univ Coimbra, MARE Marine &amp; Environm Sci Ctr, Dept Life Sci, P-3000456 Coimbra, Portugal; [Bustamante, Paco] CNRS La Rochelle, Littoral Environm &amp; Soc LIENSs, UMR 7266, 2 Rue Olympe Gouges, F-17000 La Rochelle, France; [Bustamante, Paco] Inst Univ France IUF, 1 Rue Descartes, F-75005 Paris, France; [Pardal, Miguel A.] Univ Coimbra, CFE Ctr Funct Ecol, Dept Life Sci, P-3000456 Coimbra, Portugal; [Pereira, Eduarda] Univ Aveiro, REQUIMTE, P-3810193 Aveiro, Portugal</t>
  </si>
  <si>
    <t>Universidade de Aveiro; Universidade de Aveiro; University of St Andrews; Universidade de Aveiro; Universidade de Aveiro; UK Research &amp; Innovation (UKRI); Natural Environment Research Council (NERC); NERC British Antarctic Survey; Universidade de Coimbra; Centre National de la Recherche Scientifique (CNRS); CNRS - Institute of Ecology &amp; Environment (INEE); Institut Universitaire de France; Universidade de Coimbra; Universidade de Aveiro</t>
  </si>
  <si>
    <t>Freitas, R (corresponding author), Univ Aveiro, CESAM Ctr Environm &amp; Marine Studies, Dept Biol, Campus Univ Santiago, P-3810193 Aveiro, Portugal.</t>
  </si>
  <si>
    <t>rosafreitas@ua.pt</t>
  </si>
  <si>
    <t>Bustamante, Paco/G-5833-2011; Coelho, João Pedro/C-1699-2008; Coppola, Francesca/U-8869-2018; Xavier, José/KFB-6739-2024; Pereira, Eduarda C/A-5907-2012; Almeida, Ângela/K-4044-2014; Fielding, Sophie/E-5137-2012; Brierley, Andrew/G-8019-2011; Freitas, Rosa/A-7539-2012; Pardal, Miguel Angelo/C-3984-2009</t>
  </si>
  <si>
    <t>Bustamante, Paco/0000-0003-3877-9390; Coelho, João Pedro/0000-0003-1975-8308; Coppola, Francesca/0000-0002-7039-9630; /0000-0002-9621-6660; Seco, Jose/0000-0002-7957-6488; Brierley, Andrew/0000-0002-6438-6892; Freitas, Rosa/0000-0003-4900-3897; Pereira, Eduarda/0000-0002-6046-5243; Pardal, Miguel Angelo/0000-0001-6048-7007</t>
  </si>
  <si>
    <t>Portuguese Foundation for the Science and Technology (FCT) [SRFH/PD/BD/113487, SFRH/BD/118582/2016, SFRH/BD/110218/2015]; Portuguese Polar Program PROPOLAR; FCT [UIDB/04292/2020]; Integrated Program of SR&amp;TD 'Smart Valorization of Endogenous Marine Biological Resources Under a Changing Climate' [Centro-01-0145FEDER-000018]; Centro 2020 program, Portugal 2020; European Regional Development Fund; Institut Universitaire de France (IUF); British Antarctic Surveys Ecosystem Programme, NERC; UKRI; [UIDB/50017/2020+UIDP/50017/2020]; [UIDB/50006/2020]; NERC [bas0100035] Funding Source: UKRI</t>
  </si>
  <si>
    <t>Portuguese Foundation for the Science and Technology (FCT)(Fundacao para a Ciencia e a Tecnologia (FCT)); Portuguese Polar Program PROPOLAR; FCT(Fundacao para a Ciencia e a Tecnologia (FCT)); Integrated Program of SR&amp;TD 'Smart Valorization of Endogenous Marine Biological Resources Under a Changing Climate'; Centro 2020 program, Portugal 2020; European Regional Development Fund(European Union (EU)); Institut Universitaire de France (IUF); British Antarctic Surveys Ecosystem Programme, NERC; UKRI(UK Research &amp; Innovation (UKRI)); ; ; NERC(UK Research &amp; Innovation (UKRI)Natural Environment Research Council (NERC))</t>
  </si>
  <si>
    <t>We thank the officers, crew and scientists aboard RSS James Clark Ross during cruise JR15004 for their assistance in collecting samples. We acknowledge the financial support of the Portuguese Foundation for the Science and Technology (FCT) through PhD grants to Jose Seco (SRFH/PD/BD/113487), Francesca Coppola (SFRH/BD/118582/2016) and Angela Almeida (SFRH/BD/110218/2015), and the Portuguese Polar Program PROPOLAR. This study also benefited from the strategic program of MARE (Marine and Environmental Sciences Centre) financed by FCT (UIDB/04292/2020). Joao Pedro Coelho was funded by the Integrated Program of SR&amp;TD 'Smart Valorization of Endogenous Marine Biological Resources Under a Changing Climate' (Centro-01-0145FEDER-000018), co-funded by Centro 2020 program, Portugal 2020 and the European Regional Development Fund. Thanks are due for the financial support to CESAM (UIDB/50017/2020+UIDP/50017/2020) and REQUIMTE (UIDB/50006/2020). The Institut Universitaire de France (IUF) is acknowledged for its support to P. Bustamante as a Senior Member. RAS, SF, GS and GT were supported by the British Antarctic Surveys Ecosystem Programme, which is part of NERC and UKRI.</t>
  </si>
  <si>
    <t>10.1016/j.marpolbul.2021.112178</t>
  </si>
  <si>
    <t>RZ2OE</t>
  </si>
  <si>
    <t>WOS:000648437500004</t>
  </si>
  <si>
    <t>de Aranzamendi, MC; Servetto, N; Movilla, J; Bettencourt, R; Sahade, R</t>
  </si>
  <si>
    <t>de Aranzamendi, M. C.; Servetto, N.; Movilla, J.; Bettencourt, R.; Sahade, R.</t>
  </si>
  <si>
    <t>Ocean acidification effects on the stress response in a calcifying antarctic coastal organism: The case of Nacella concinna ecotypes</t>
  </si>
  <si>
    <t>Ocean acidification; Ecotypes; Nacella concinna; Coastal Antarctic ecosystem; Antarctica; Gene expression levels</t>
  </si>
  <si>
    <t>PHYSIOLOGICAL-RESPONSE; SHELL MORPHOLOGY; GENE-EXPRESSION; LIMPETS; TEMPERATURE; EXPOSURE; LIMITS; LIFE; IMPACT; ISLAND</t>
  </si>
  <si>
    <t>Ocean acidification (OA) could become a serious threat for the Antarctic marine ecosystem over coming years, as the solubility of atmospheric CO2 and CaCO3 minerals increases at lower temperatures. We evaluated the effect of OA on the stress response of the limpet Nacella concinna by measuring gene expression levels. The experiment was performed with the two ecotypes (Littoral and Sublittoral) of the species during 54 days (IPCC, 2019 scenario RCP8.5; control, -375 ppm; low-pH treatment, -923 ppm). Exposure to low-pH treatment during 15 days triggered the down-regulation of two heat-shock protein genes (HSP70A, HSP70B) only in sublittoral individuals. Little variation in the relative expression values of all genes in both ecotypes was observed probably, due to a historical exposure to the substantial daily natural pH fluctuations recorded in the study area during the experiment. This study provides relevant baseline data for future OA experiments on coastal species in Antarctica.</t>
  </si>
  <si>
    <t>[de Aranzamendi, M. C.; Servetto, N.; Sahade, R.] Univ Nacl Cordoba, Fac Ciencias Exactas Fis &amp; Nat, Av Velez Sarsfield 299 X5000JJC, Cordoba, Argentina; [de Aranzamendi, M. C.; Servetto, N.; Sahade, R.] Consejo Nacl Invest Cient &amp; Tecn, Inst Diversidad &amp; Ecol Anim IDEA, Ecosistemas Marinos Polares, Cordoba, Argentina; [Movilla, J.] Inst Espahol Oceanog, Ctr Oceanog Baleares, Estn Invest Jaume Ferrer, La Mola S-N, Menorca 07720, Spain; [Bettencourt, R.] Univ Azores, OKEANOS Marine Res Ctr, Fac Sci &amp; Technol, P-9900862 Horta, Portugal</t>
  </si>
  <si>
    <t>National University of Cordoba; Consejo Nacional de Investigaciones Cientificas y Tecnicas (CONICET); Spanish Institute of Oceanography; Universidade dos Acores</t>
  </si>
  <si>
    <t>de Aranzamendi, MC; Sahade, R (corresponding author), Univ Nacl Cordoba, Fac Ciencias Exactas Fis &amp; Nat, Av Velez Sarsfield 299 X5000JJC, Cordoba, Argentina.</t>
  </si>
  <si>
    <t>mcdearanzamendi@conicet.gov.ar; rsahade@unc.edu.ar</t>
  </si>
  <si>
    <t>Bettencourt, Raul/A-4511-2009</t>
  </si>
  <si>
    <t>Bettencourt, Raul/0000-0001-6866-7029; Movilla Martin, Juancho/0000-0003-4502-9088; de Aranzamendi, Maria Carla/0000-0003-4442-0384; Servetto, Natalia/0000-0002-3713-9116</t>
  </si>
  <si>
    <t>Direccion Nacional del Antartico (DNA); FONCyT [PICTO-2010-0119, PICT-2017-2176]; SECyT-UNC [33620180100077CB]; EU project IMCONet [318718]; Instituto Antartico Argentino (IAA); Alfred Wegener Institut (AWI)</t>
  </si>
  <si>
    <t>Direccion Nacional del Antartico (DNA); FONCyT(FONCyT); SECyT-UNC(Secretaria de Ciencia y Tecnologia (SECYT)); EU project IMCONet; Instituto Antartico Argentino (IAA); Alfred Wegener Institut (AWI)</t>
  </si>
  <si>
    <t>The authors want to thank the members of Carlini Station (CAV 2013-2014). Experimental set-up was achieved thanks to Veronica Fuentes and Institut de Ci`encies del Mar (Spain). We are grateful to Gast ' on Alurralde for experimental assistance, and to Doris Abele, Christoph Held for logistics and laboratory help. This study was supported by the Instituto Ant ' artico Argentino (IAA), Direcci ' on Nacional del Ant ' artico (DNA) and Alfred Wegener Institut (AWI). This work was funded by Argentine Grants from FONCyT (PICTO-2010-0119; PICT-2017-2176) and SECyT-UNC (33620180100077CB), and EU project IMCONet (FP7 404 IRSES, action n. 318718).</t>
  </si>
  <si>
    <t>10.1016/j.marpolbul.2021.112218</t>
  </si>
  <si>
    <t>RZ2NT</t>
  </si>
  <si>
    <t>WOS:000648436200004</t>
  </si>
  <si>
    <t>Ramos, EKS; dos Santos, SCL; Kuroki, KK; Benavalli, L; Vani, GS; Cobo, VJ; Hayashi, T; Rodrigues, E; Suda, CNK</t>
  </si>
  <si>
    <t>Ramos, Elisa K. S.; dos Santos, Stefanie C. L.; Kuroki, Kerolyn K.; Benavalli, Leticia; Vani, Gannabathula S.; Cobo, Valter J.; Hayashi, Takahisa; Rodrigues, Edson; Suda, Cecilia N. K.</t>
  </si>
  <si>
    <t>Glycoside hydrolases from the tunics of two Antarctic ascidians (Ascidia challengeri and Pyura bouvetensis) and the tropical species Phallusia nigra</t>
  </si>
  <si>
    <t>Cellulase; Xyloglucanase; Mannanase; Temperature</t>
  </si>
  <si>
    <t>CELLULOSE SYNTHASE; XYLOGLUCANASE; TOLERANCE; CELLS; ACID</t>
  </si>
  <si>
    <t>Tunicates are the only metazoans capable of synthesising cellulose, which is present in the tunic. Cellulases (endo and exoglucanases) that can degrade or remodel cellulose might be necessary during the growth phase and during scarring after injury to the tunic. However, the occurrence of these enzymes in the tunic has not been reported. Hence, the aim of the study was to investigate the presence of cellulases as well as other glycoside hydrolases, such as xyloglucanases and mannanases, in the tunic of two Antarctic ascidian species, Ascidia challengeri and Pyura bouvetensis, and in the tropical species Phallusia nigra. Endoglucanases and xyloglucanase were found in all three species. Galactomannanases were detected in P. nigra and P. bouvetensis but were not found in A. challengeri. Cellulases that can degrade Avicel were found in P. bouvetensis. To the best of our knowledge, this is the first report detailing the presence of these enzymes in the tunic of ascidians. In A. challengeri, the optimal temperature for the endoglucanase activity was 9 degrees C, higher than their habitat temperature, but within the temperature tolerance of the species, while that of P. nigra was at 25-30 degrees C, which is close to the maximum temperature of its habitat. The temperature at which the endoglucanase has optimal activity is discussed as a proxy to the limit of thermal tolerance of the species that express this enzyme.</t>
  </si>
  <si>
    <t>[Ramos, Elisa K. S.; dos Santos, Stefanie C. L.; Kuroki, Kerolyn K.; Benavalli, Leticia; Vani, Gannabathula S.; Cobo, Valter J.; Rodrigues, Edson; Suda, Cecilia N. K.] Univ Taubate, Inst Basico Biociencias, Av Tiradentes 500, BR-12030180 Taubate, SP, Brazil; [Hayashi, Takahisa] Tokyo Univ Agr, Dept Biosci, Setagaya Ku, 1-1-1 Sakuragaoka, Tokyo 1568502, Japan</t>
  </si>
  <si>
    <t>Universidade de Taubate; Tokyo University of Agriculture</t>
  </si>
  <si>
    <t>Suda, CNK (corresponding author), Univ Taubate, Inst Basico Biociencias, Av Tiradentes 500, BR-12030180 Taubate, SP, Brazil.</t>
  </si>
  <si>
    <t>cnksuda@hotmail.com</t>
  </si>
  <si>
    <t>Cobo, Valter J/E-9006-2010; Suda, Cecilia N.K./J-7071-2014; Rodrigues, Edson/C-6792-2015</t>
  </si>
  <si>
    <t>Suda, Cecilia/0000-0002-6544-8661; Benavalli, Leticia/0000-0002-8643-0524; Rodrigues, Edson/0000-0003-3968-6882</t>
  </si>
  <si>
    <t>University of Taubate [IBB-53-2012, IBB-84-2010]; National Council for Research and Development (CNPq) [557126/2009-6, 574018/2008-5]; Carlos Chagas Research Support Foundation of the State of Rio de Janeiro (FAPERJ) [E-26/170.023/2008]</t>
  </si>
  <si>
    <t>University of Taubate;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t>
  </si>
  <si>
    <t>E.K.S. Ramos and K.K. Kuroki received Research Initiation Grants from the University of Taubate (Projects IBB-53-2012 and IBB-84-2010). This work was partially supported by the National Council for Research and Development (CNPq), processes number 557126/2009-6 and 574018/2008-5, and Carlos Chagas Research Support Foundation of the State of Rio de Janeiro (FAPERJ), process number E-26/170.023/2008.</t>
  </si>
  <si>
    <t>10.1007/s00300-021-02837-0</t>
  </si>
  <si>
    <t>WOS:000628459400001</t>
  </si>
  <si>
    <t>Speakman, CN; Lloyd, ST; Camprasse, ECM; Hoskins, AJ; Hindell, MA; Costa, DP; Arnould, JPY</t>
  </si>
  <si>
    <t>Speakman, Cassie N.; Lloyd, Sebastian T.; Camprasse, Elodie C. M.; Hoskins, Andrew J.; Hindell, Mark A.; Costa, Daniel P.; Arnould, John P. Y.</t>
  </si>
  <si>
    <t>Intertrip consistency in hunting behavior improves foraging success and efficiency in a marine top predator</t>
  </si>
  <si>
    <t>central‐ place foraging; foraging behavior; intraindividual variation; marine predator; repeatability; specialization</t>
  </si>
  <si>
    <t>ARCTOCEPHALUS-PUSILLUS-DORIFERUS; FUR SEALS; HABITAT USE; SITE FIDELITY; INDIVIDUAL VARIATION; DIVING BEHAVIOR; CLIMATE-CHANGE; SPECIALIZATION; ATTENDANCE; SELECTION</t>
  </si>
  <si>
    <t>Substantial variation in foraging strategies can exist within populations, even those typically regarded as generalists. Specializations arise from the consistent exploitation of a narrow behavioral, spatial or dietary niche over time, which may reduce intraspecific competition and influence adaptability to environmental change. However, few studies have investigated whether behavioral consistency confers benefits at the individual and/or population level. While still recovering from commercial sealing overexploitation, Australian fur seals (AUFS; Arctocephalus pusillus doriferus) represent the largest marine predator biomass in south-eastern Australia. During lactation, female AUFS adopt a central-place foraging strategy and are, thus, vulnerable to changes in prey availability. The present study investigated the population-level repeatability and individual consistency in foraging behavior of 34 lactating female AUFS at a south-east Australian breeding colony between 2006 and 2019. Additionally, the influence of individual-level behavioral consistency on indices of foraging success and efficiency during benthic diving was determined. Low to moderate population-level repeatability was observed across foraging behaviors, with the greatest repeatability in the mean bearing and modal dive depth. Individual-level consistency was greatest for the proportion of benthic diving, total distance travelled, and trip duration. Indices of benthic foraging success and efficiency were positively influenced by consistency in the proportion of benthic diving, trip duration and dive rate but not influenced by consistency in bearing to most distal point, dive depth or foraging site fidelity. The results of the present study provide evidence of the benefits of consistency for individuals, which may have flow-on effects at the population level.</t>
  </si>
  <si>
    <t>[Speakman, Cassie N.; Lloyd, Sebastian T.; Camprasse, Elodie C. M.; Arnould, John P. Y.] Deakin Univ, Sch Life &amp; Environm Sci, Burwood, Vic, Australia; [Hoskins, Andrew J.] CSIRO Hlth &amp; Biosecur, Townsville, Qld, Australia; [Hindell, Mark A.] Univ Tasmania, Inst Marine &amp; Antarctic Studies, Hobart, Tas, Australia; [Costa, Daniel P.] Univ Calif Santa Cruz, Ecol &amp; Evolutionary Biol Dept, Santa Cruz, CA 95064 USA</t>
  </si>
  <si>
    <t>Deakin University; Commonwealth Scientific &amp; Industrial Research Organisation (CSIRO); University of Tasmania; University of California System; University of California Santa Cruz</t>
  </si>
  <si>
    <t>Speakman, CN (corresponding author), Deakin Univ, Sch Life &amp; Environm Sci, Burwood, Vic, Australia.</t>
  </si>
  <si>
    <t>cspeakman@deakin.edu.au</t>
  </si>
  <si>
    <t>Speakman, Cassie/IST-8189-2023; Hindell, Mark A/K-1131-2013; Hoskins, Andrew/T-2694-2019; Carlos, Universidade Federal de São/W-8832-2019; Costa, Daniel Paul/E-2616-2013; Arnould, John/E-8386-2011</t>
  </si>
  <si>
    <t>Speakman, Cassie/0000-0002-0023-518X; Hoskins, Andrew/0000-0001-8907-6682; Carlos, Universidade Federal de São/0000-0002-0334-3899; Costa, Daniel Paul/0000-0002-0233-5782; Arnould, John/0000-0003-1124-9330; Hindell, Mark/0000-0002-7823-7185</t>
  </si>
  <si>
    <t>Australian Research Council; Sea World Research and Rescue Foundation; Winnifred Violet Scott Trust; Holsworth Wildlife Research Endowment</t>
  </si>
  <si>
    <t>Australian Research Council(Australian Research Council); Sea World Research and Rescue Foundation; Winnifred Violet Scott Trust; Holsworth Wildlife Research Endowment</t>
  </si>
  <si>
    <t>10.1002/ece3.7337</t>
  </si>
  <si>
    <t>WOS:000628328300001</t>
  </si>
  <si>
    <t>Boscolo-Galazzo, F; Crichton, KA; Ridgwell, A; Mawbey, EM; Wade, BS; Pearson, PN</t>
  </si>
  <si>
    <t>Boscolo-Galazzo, Flavia; Crichton, Katherine A.; Ridgwell, Andy; Mawbey, Elaine M.; Wade, Bridget S.; Pearson, Paul N.</t>
  </si>
  <si>
    <t>Temperature controls carbon cycling and biological evolution in the ocean twilight zone</t>
  </si>
  <si>
    <t>SCIENCE</t>
  </si>
  <si>
    <t>EARTH SYSTEM MODEL; PLANKTONIC-FORAMINIFERA; DEEP-SEA; DELTA-C-13; DEPTH; MG/CA; REMINERALIZATION; CLIMATE; SIZE</t>
  </si>
  <si>
    <t>Theory suggests that the ocean's biological carbon pump, the process by which organic matter is produced at the surface and transferred to the deep ocean, is sensitive to temperature because temperature controls photosynthesis and respiration rates. We applied a combined data-modeling approach to investigate carbon and nutrient recycling rates across the world ocean over the past 15 million years of global cooling. We found that the efficiency of the biological carbon pump increased with ocean cooling as the result of a temperature-dependent reduction in the rate of remineralization (degradation) of sinking organic matter. Increased food delivery at depth prompted the development of new deep-water niches, triggering deep plankton evolution and the expansion of the mesopelagic twilight zone ecosystem.</t>
  </si>
  <si>
    <t>[Boscolo-Galazzo, Flavia; Crichton, Katherine A.; Pearson, Paul N.] Cardiff Univ, Sch Earth &amp; Environm Sci, Cardiff, Wales; [Ridgwell, Andy] Univ Calif Riverside, Dept Earth &amp; Planetary Sci, Riverside, CA 92521 USA; [Mawbey, Elaine M.; Wade, Bridget S.] UCL, Dept Earth Sci, London, England; [Boscolo-Galazzo, Flavia] Bergen Univ, Dept Earth Sci, Bergen, Norway; [Boscolo-Galazzo, Flavia] Bjerknes Ctr Climate Res, Bergen, Norway; [Crichton, Katherine A.] Exeter Univ, Dept Geog, Exeter, Devon, England; [Mawbey, Elaine M.] British Antarctic Survey, Cambridge, England</t>
  </si>
  <si>
    <t>Cardiff University; University of California System; University of California Riverside; University of London; University College London; University of Bergen; Bjerknes Centre for Climate Research; University of Exeter; UK Research &amp; Innovation (UKRI); Natural Environment Research Council (NERC); NERC British Antarctic Survey</t>
  </si>
  <si>
    <t>Boscolo-Galazzo, F (corresponding author), Cardiff Univ, Sch Earth &amp; Environm Sci, Cardiff, Wales.;Boscolo-Galazzo, F (corresponding author), Bergen Univ, Dept Earth Sci, Bergen, Norway.;Boscolo-Galazzo, F (corresponding author), Bjerknes Ctr Climate Res, Bergen, Norway.</t>
  </si>
  <si>
    <t>flavia.boscologalazzo@uib.no</t>
  </si>
  <si>
    <t>Wade, Bridget S/F-4987-2014; Boscolo-Galazzo, Flavia/ABB-3830-2021; Pearson, Paul N/B-2276-2009; Crichton, Katherine Anne/ABF-5733-2021</t>
  </si>
  <si>
    <t>Wade, Bridget S/0000-0002-7245-8614; Boscolo-Galazzo, Flavia/0000-0002-5146-5321; Crichton, Katherine Anne/0000-0001-8748-0438; Ridgwell, Andy/0000-0003-2333-0128</t>
  </si>
  <si>
    <t>Natural Environment Research Council (NERC) [NE/N001621/1]; NERC [NE/P016375/1, NE/F523293/1, NE/N002598/1]; NSF [1702913, 1736771]; Heising Simons Foundation; Directorate For Geosciences [1736771, 1702913] Funding Source: National Science Foundation; Division Of Ocean Sciences [1702913, 1736771] Funding Source: National Science Foundation; NERC [NE/T008512/1, NE/N001621/1, NE/N002598/1] Funding Source: UKRI</t>
  </si>
  <si>
    <t>Natural Environment Research Council (NERC)(UK Research &amp; Innovation (UKRI)Natural Environment Research Council (NERC)); NERC(UK Research &amp; Innovation (UKRI)Natural Environment Research Council (NERC)); NSF(National Science Foundation (NSF)); Heising Simons Foundation; Directorate For Geosciences(National Science Foundation (NSF)NSF - Directorate for Geosciences (GEO)); Division Of Ocean Sciences(National Science Foundation (NSF)NSF - Directorate for Geosciences (GEO)); NERC(UK Research &amp; Innovation (UKRI)Natural Environment Research Council (NERC))</t>
  </si>
  <si>
    <t>Supported by Natural Environment Research Council (NERC) grant NE/N001621/1 to P.N.P. (F.B.G. and K.A.C.); NERC grants NE/P016375/1 and NE/F523293/1 to participate in IODP Expedition 363 and the GLOW expedition, respectively (P.N.P.); NSF grants 1702913 and 1736771 and the Heising Simons Foundation (A.R.); and NERC grant NE/N002598/1 to B.S.W. (E.M.M.).</t>
  </si>
  <si>
    <t>0036-8075</t>
  </si>
  <si>
    <t>1095-9203</t>
  </si>
  <si>
    <t>Science</t>
  </si>
  <si>
    <t>MAR 12</t>
  </si>
  <si>
    <t>10.1126/science.abb6643</t>
  </si>
  <si>
    <t>QY5RG</t>
  </si>
  <si>
    <t>WOS:000630096400032</t>
  </si>
  <si>
    <t>Kim, KS; Ji, SJ; Kim, S; Min, GS</t>
  </si>
  <si>
    <t>Kim, Kang-San; Ji, Su-Jung; Kim, Sanghee; Min, Gi-Sik</t>
  </si>
  <si>
    <t>Antarctic population of Anteholosticha sigmoidea (Foissner, 1982) Berger, 2003 (Ciliophora: Urostylidae) with notes on its phylogenetic position</t>
  </si>
  <si>
    <t>ciliate; Anteholosticha; phylogeny; terrestrial; 18S rRNA gene</t>
  </si>
  <si>
    <t>SOIL CILIATES PROTOZOA; MAXIMUM-LIKELIHOOD; COMPILATION; TAXONOMY; ECOLOGY; RECORDS; MOSS</t>
  </si>
  <si>
    <t>Anteholosticha sigmoidea (Foissner, 1982) Berger, 2003 was isolated from a wet soil sample collected on King George Island, Antarctica. Morphological observations and molecular phylogenetic analyses based on the gene sequences of small subunit ribosomal RNA (18S rRNA) were used to identify the species. Anteholosticha sigmoidea can be divided into two groups: group I (three populations described by Foissner 1982) and group II (described by Foissner 1984) based on the morphological differences. Group I differs from group II by the length of the midventral complex (65.1% vs. 52.5% of the cell length), the number of adoral membranelles (25?28 vs. 16?24), and the number of dorsal bristles in kinety 1 (16 bristles vs. nine bristles). Group I differs from the Antarctica population by the absence/presence of the collecting canals of the contractile vacuole and the number of macronuclear nodules (6?12 vs. 13?19). Group II differs from the Antarctica population by the number of macronuclear nodules (five to nine vs. 13?19); the arrangement of cortical granules (forming longitudinal rows vs. irregularly distributed); the length of the midventral complex (64.7% vs. 53.8% of cell length). In the phylogenetic analyses, A. sigmoidea was not nested with any species, and the gene tree indicated polyphyly of the genus Anteholosticha.</t>
  </si>
  <si>
    <t>[Kim, Kang-San; Ji, Su-Jung; Min, Gi-Sik] Inha Univ, Dept Biol Sci, 100 Inha Ro, Incheon 22212, South Korea; [Kim, Kang-San] Natl Inst Ecol, Res Ctr Endangered Species, Restorat Assessment Team, Gowol Gil 23, Sangju 36531, Gyeongsangbuk D, South Korea; [Kim, Sanghee] Korea Polar Res Inst, Div Life Sci, 26 Songdomirae Ro, Incheon 7605515, South Korea</t>
  </si>
  <si>
    <t>Inha University; National Institute of Ecology; Korea Polar Research Institute (KOPRI)</t>
  </si>
  <si>
    <t>Min, GS (corresponding author), Inha Univ, Dept Biol Sci, 100 Inha Ro, Incheon 22212, South Korea.;Kim, S (corresponding author), Korea Polar Res Inst, Div Life Sci, 26 Songdomirae Ro, Incheon 7605515, South Korea.</t>
  </si>
  <si>
    <t>sangheekim@kopri.re.kr; gisikmin@gmail.com</t>
  </si>
  <si>
    <t>Kim, Kang-San/M-6516-2018</t>
  </si>
  <si>
    <t>Korea Polar Research Institute [PE19090]</t>
  </si>
  <si>
    <t>Korea Polar Research Institute(Korea Polar Research Institute of Marine Research Placement (KOPRI))</t>
  </si>
  <si>
    <t>This study was supported by the Korea Polar Research Institute [research grant PE19090] .</t>
  </si>
  <si>
    <t>10.11646/zootaxa.4942.2.9</t>
  </si>
  <si>
    <t>QY7GA</t>
  </si>
  <si>
    <t>WOS:000630204000003</t>
  </si>
  <si>
    <t>Chatterjee, S; Raj, RP; Bertino, L; Mernild, SH; Subeesh, MP; Murukesh, N; Ravichandran, M</t>
  </si>
  <si>
    <t>Chatterjee, Sourav; Raj, Roshin P.; Bertino, Laurent; Mernild, Sebastian H.; Subeesh, Meethale Puthukkottu; Murukesh, Nuncio; Ravichandran, Muthalagu</t>
  </si>
  <si>
    <t>Combined influence of oceanic and atmospheric circulations on Greenland sea ice concentration</t>
  </si>
  <si>
    <t>NORTH-ATLANTIC OSCILLATION; FRAM STRAIT; NORDIC SEAS; DATA ASSIMILATION; FRESH-WATER; VARIABILITY; TONGUE; EXPORT; REANALYSIS; TOPAZ4</t>
  </si>
  <si>
    <t>The amount and spatial extent of Greenland Sea (GS) ice are primarily controlled by the sea ice export across the Fram Strait (FS) and by local seasonal sea ice formation, melting, and sea ice dynamics. In this study, using satellite passive microwave sea ice observations, atmospheric and a coupled ocean-sea ice reanalysis system, TOPAZ4, we show that both the atmospheric and oceanic circulation in the Nordic Seas (NS) act in tandem to explain the SIC variability in the south-western GS. Northerly wind anomalies associated with anomalously low sea level pressure (SLP) over the NS reduce the sea ice export in the south-western GS due to westward Ekman drift of sea ice. On the other hand, the positive wind stress curl strengthens the cyclonic Greenland Sea Gyre (GSG) circulation in the central GS. An intensified GSG circulation may result in stronger Ekman divergence of surface cold and fresh waters away from the south-western GS. Both of these processes can reduce the freshwater content and weaken the upper-ocean stratification in the southwestern GS. At the same time, warm and saline Atlantic Water (AW) anomalies are recirculated from the FS region to the south-western GS by a stronger GSG circulation. Under weakly stratified conditions, enhanced vertical mixing of these subsurface AWanomalies can warm the surface waters and inhibit new sea ice formation, further reducing the SIC in the south-western GS.</t>
  </si>
  <si>
    <t>[Chatterjee, Sourav; Subeesh, Meethale Puthukkottu; Murukesh, Nuncio; Ravichandran, Muthalagu] Minist Earth Sci, Natl Ctr Polar &amp; Ocean Res, Vasco Da Gama, Goa, India; [Chatterjee, Sourav] Goa Univ, Sch Earth Ocean &amp; Atmospher Sci, Taleigao, Goa, India; [Raj, Roshin P.; Bertino, Laurent; Mernild, Sebastian H.] Nansen Environm &amp; Remote Sensing Ctr, Bergen, Norway; [Raj, Roshin P.; Bertino, Laurent; Mernild, Sebastian H.] Bjerknes Ctr Climate Res, Bergen, Norway; [Mernild, Sebastian H.] Univ Southern Denmark, Vice Chancellors Off, Odense, Denmark; [Mernild, Sebastian H.] Univ Bergen, Geophys Inst, Bergen, Norway; [Mernild, Sebastian H.] Univ Magallanes, Direct Antarctic &amp; Subantarct Programs, Punta Arenas, Chile</t>
  </si>
  <si>
    <t>Ministry of Earth Sciences (MoES) - India; National Centre for Polar and Ocean Research (NCPOR); Goa University; Nansen Environmental &amp; Remote Sensing Center (NERSC); Bjerknes Centre for Climate Research; University of Southern Denmark; University of Bergen; Universidad de Magallanes</t>
  </si>
  <si>
    <t>Chatterjee, S (corresponding author), Minist Earth Sci, Natl Ctr Polar &amp; Ocean Res, Vasco Da Gama, Goa, India.;Chatterjee, S (corresponding author), Goa Univ, Sch Earth Ocean &amp; Atmospher Sci, Taleigao, Goa, India.</t>
  </si>
  <si>
    <t>sourav@ncpor.res.in</t>
  </si>
  <si>
    <t>Chatterjee, Sourav/GLR-0397-2022; Bertino, Laurent/H-9395-2014; Mernild, Sebastian H./M-5516-2013</t>
  </si>
  <si>
    <t>Chatterjee, Sourav/0000-0003-4003-4371; Bertino, Laurent/0000-0002-1220-7207; Mernild, Sebastian H./0000-0003-0797-3975; , Roshin/0000-0001-5863-5269</t>
  </si>
  <si>
    <t>Sigma2 infrastructure [NS2993K]; Ministry of Earth Sciences, Government of India</t>
  </si>
  <si>
    <t>Sigma2 infrastructure; Ministry of Earth Sciences, Government of India(Ministry of Earth Science (MoES), Government of India)</t>
  </si>
  <si>
    <t>The authors thank Ola M. Johannessen, Nansen Scientific Society, for valuable suggestions during the course of the study. Jiping Xie is thanked for assistance with TOPAZ4 data. The TOPAZ4 simulations have used grants from Sigma2 infrastructure under the project number NS2993K. NCPOR is an autonomous institute fully funded by the Ministry of Earth Sciences, Government of India. This is NCPOR contribution number J-97/2020-21. All figures were made using the NCAR Command Language (version 6.4.0).</t>
  </si>
  <si>
    <t>10.5194/tc-15-1307-2021</t>
  </si>
  <si>
    <t>QX1UQ</t>
  </si>
  <si>
    <t>WOS:000629134400001</t>
  </si>
  <si>
    <t>Lei, RB; Hoppmann, M; Cheng, B; Zuo, GY; Gui, DW; Cai, QQ; Belter, HJ; Yang, WX</t>
  </si>
  <si>
    <t>Lei, Ruibo; Hoppmann, Mario; Cheng, Bin; Zuo, Guangyu; Gui, Dawei; Cai, Qiongqiong; Belter, H. Jakob; Yang, Wangxiao</t>
  </si>
  <si>
    <t>Seasonal changes in sea ice kinematics and deformation in the Pacific sector of the Arctic Ocean in 2018/19</t>
  </si>
  <si>
    <t>TEMPORAL CHARACTERIZATION; SCALING PROPERTIES; MASS-BALANCE; MOTION; DRIFT; EVOLUTION; N-ICE2015; SHEBA; MODEL; BASIN</t>
  </si>
  <si>
    <t>Arctic sea ice kinematics and deformation play significant roles in heat and momentum exchange between the atmosphere and ocean, and at the same time they have profound impacts on biological processes and biogeo-chemical cycles. However, the mechanisms regulating their changes on seasonal scales and their spatial variability remain poorly understood. Using position data recorded by 32 buoys in the Pacific sector of the Arctic Ocean (PAO), we characterized the spatiotemporal variations in ice kinematics and deformation for autumn-winter 2018/19, during the transition from a melting sea ice regime to a nearly consolidated ice pack. In autumn, the response of the sea ice drift to wind and inertial forcing was stronger in the southern and western PAO compared to the northern and eastern PAO. These spatial heterogeneities gradually weakened from autumn to winter, in line with the seasonal increases in ice concentration and thickness. Correspondingly, ice deformation became much more localized as the sea ice mechanical strength increased, with the area proportion occupied by the strongest (15 %) ice deformation decreasing by about 50% from autumn to winter. During the freezing season, ice deformation rate in the northern PAO was about 2.5 times higher than in the western PAO and probably related to the higher spatial heterogeneity of oceanic and atmospheric forcing in the north. North-south and east-west gradients in sea ice kinematics and deformation within the PAO, as observed especially during autumn in this study, are likely to become more pronounced in the future as a result of a longer melt season, especially in the western and southern parts.</t>
  </si>
  <si>
    <t>[Lei, Ruibo; Zuo, Guangyu; Gui, Dawei] Polar Res Inst China, Key Lab Polar Sci MNR, Shanghai, Peoples R China; [Hoppmann, Mario; Belter, H. Jakob] Alfred Wegener Inst, Helmholtz Zentrum Polar &amp; Meeresforsch, Bremerhaven, Germany; [Cheng, Bin] Finnish Meteorol Inst, Helsinki, Finland; [Zuo, Guangyu; Yang, Wangxiao] Taiyuan Univ Technol, Coll Elect &amp; Power Engn, Taiyuan, Peoples R China; [Gui, Dawei] Wuhan Univ, Chinese Antarctic Ctr Surveying &amp; Mapping, Wuhan, Peoples R China; [Cai, Qiongqiong] Natl Marine Environm Forecasting Ctr MNR, Beijing, Peoples R China</t>
  </si>
  <si>
    <t>Polar Research Institute of China; Helmholtz Association; Alfred Wegener Institute, Helmholtz Centre for Polar &amp; Marine Research; Finnish Meteorological Institute; Taiyuan University of Technology; Wuhan University; National Marine Environmental Forecasting Center</t>
  </si>
  <si>
    <t>Lei, RB (corresponding author), Polar Res Inst China, Key Lab Polar Sci MNR, Shanghai, Peoples R China.</t>
  </si>
  <si>
    <t>leiruibo@pric.org.cn</t>
  </si>
  <si>
    <t>Hoppmann, Mario/KFB-0363-2024; Cheng, Bin/D-4354-2013</t>
  </si>
  <si>
    <t>Hoppmann, Mario/0000-0003-1294-9531; Bunger, H. Jakob/0000-0001-9383-911X; Cheng, Bin/0000-0001-8156-8412</t>
  </si>
  <si>
    <t>National Key Research and Development Program [2016YFC1400303, 2018YFA0605903, 2016YFC1401800]; National Natural Science Foundation of China [41722605, 41976219]; European Union's Horizon 2020 research and innovation program (INTAROS) [727890]; Academy of Finland [317999]; Alfred Wegener Institute (FRAM); Alfred Wegener Institute (ACROSS)</t>
  </si>
  <si>
    <t>National Key Research and Development Program; National Natural Science Foundation of China(National Natural Science Foundation of China (NSFC)); European Union's Horizon 2020 research and innovation program (INTAROS); Academy of Finland(Research Council of Finland); Alfred Wegener Institute (FRAM); Alfred Wegener Institute (ACROSS)(Helmholtz Association)</t>
  </si>
  <si>
    <t>This research has been supported by the National Key Research and Development Program (grant nos. 2016YFC1400303, 2018YFA0605903, and 2016YFC1401800), the National Natural Science Foundation of China (grant nos. 41722605 and 41976219), the European Union's Horizon 2020 research and innovation program (INTAROS (grant no. 727890)), the Academy of Finland (grant no. 317999), and the Alfred Wegener Institute (FRAM and ACROSS).</t>
  </si>
  <si>
    <t>10.5194/tc-15-1321-2021</t>
  </si>
  <si>
    <t>WOS:000629134400002</t>
  </si>
  <si>
    <t>Hoshina, K; Narita, H; Harada, N; Jordan, RW</t>
  </si>
  <si>
    <t>Hoshina, Kazuki; Narita, Hisashi; Harada, Naomi; Jordan, Richard W.</t>
  </si>
  <si>
    <t>Triparma laevis f. marchantii f. nov. (Bolidophyceae) from the Southern Ocean, and comparison with other infraspecific taxa of T. laevis</t>
  </si>
  <si>
    <t>Antarctic Peninsula; Morphology; Parmales; Siliceous phytoplankton; Taxonomy</t>
  </si>
  <si>
    <t>A form of Triparma laevis (Parmales, Bolidophyceae), not formally described yet, has been reported in Southern Ocean phytoplankton surveys for more than 30 years. A re-examination of some filtered seawater samples collected off the Antarctic Peninsula in the 1960s by the USNS Eltanin provided an opportunity to make detailed morphological observations. The new taxon, Triparma laevis f. marchantii f. nov., is morphologically very similar to T. laevis f. inornata from the subarctic Pacific, but differs in having a C-shaped ridge (rather than a straight one) in the centre of the shield and ventral plates, and a more rounded Y-shaped ridge on the dorsal plate. The other infraspecific taxa of T. laevis have distinct features lacking in T. laevis f. marchantii. The new taxon was sporadically the most abundant Parmales near the Antarctic Peninsula, but lower in abundance in other areas around Antarctica.</t>
  </si>
  <si>
    <t>[Hoshina, Kazuki] Yamagata Univ, Grad Sch Sci &amp; Engn, 1-4-12 Kojirakawa Machi, Yamagata 9908560, Japan; [Narita, Hisashi] Tokai Univ, Sch Marine Sci &amp; Technol, Orido 3-20-1 Shimizu, Shizuoka 4248610, Japan; [Harada, Naomi] Japan Agcy Marine Earth Sci &amp; Technol, Earth Surface Syst Res Ctr, Yokosuka, Kanagawa 2370061, Japan; [Jordan, Richard W.] Yamagata Univ, Fac Sci, 1-4-12 Kojirakawa Machi, Yamagata 9908560, Japan</t>
  </si>
  <si>
    <t>Yamagata University; Tokai University; Japan Agency for Marine-Earth Science &amp; Technology (JAMSTEC); Yamagata University</t>
  </si>
  <si>
    <t>Jordan, RW (corresponding author), Yamagata Univ, Fac Sci, 1-4-12 Kojirakawa Machi, Yamagata 9908560, Japan.</t>
  </si>
  <si>
    <t>sh081@kdw.kj.yamagata-u.ac.jp</t>
  </si>
  <si>
    <t>Harada, Naomi/0000-0002-2725-7346</t>
  </si>
  <si>
    <t>Super Warm Earth Project; Joint Usage/Research Center for Drilling Earth Science (JURC-DES), Ministry of Education, Culture, Sports, Science and Technology (MEXT), Japan; Japan Society for the Promotion of Science (JSPS) KAKENHI [20H04325]; Grants-in-Aid for Scientific Research [20H04325] Funding Source: KAKEN</t>
  </si>
  <si>
    <t>Super Warm Earth Project; Joint Usage/Research Center for Drilling Earth Science (JURC-DES), Ministry of Education, Culture, Sports, Science and Technology (MEXT), Japan(Ministry of Education, Culture, Sports, Science and Technology, Japan (MEXT)); 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</si>
  <si>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carried out under the auspices of the 'Super Warm Earth Project', organized by The Center for Advanced Marine Core Research (CMCR) of Kochi University, and is funded by the Joint Usage/Research Center for Drilling Earth Science (JURC-DES), Ministry of Education, Culture, Sports, Science and Technology (MEXT), Japan. This research was supported by a Japan Society for the Promotion of Science (JSPS) KAKENHI Grant (Number 20H04325), awarded to Kyoko Hagino (Kochi University), of which RWJ is a corecipient.</t>
  </si>
  <si>
    <t>10.1080/00318884.2021.1883365</t>
  </si>
  <si>
    <t>RF6OQ</t>
  </si>
  <si>
    <t>WOS:000627278800001</t>
  </si>
  <si>
    <t>Gui, YY; Gu, XQ; Fu, LP; Zhang, Q; Zhang, PY; Li, J</t>
  </si>
  <si>
    <t>Gui, Yuanyuan; Gu, Xiaoqian; Fu, Liping; Zhang, Qian; Zhang, Peiyu; Li, Jiang</t>
  </si>
  <si>
    <t>Expression and Characterization of a Thermostable Carrageenase From an Antarctic Polaribacter sp. NJDZO3 Strain</t>
  </si>
  <si>
    <t>carrageenase; gene expression; enzymatic characterization; enzymatic hydrolysis; antioxidant capacity</t>
  </si>
  <si>
    <t>KAPPA-CARRAGEENASE; ANTIOXIDANT ACTIVITY; OLIGOSACCHARIDES; DEGRADATION; PURIFICATION; CLONING; GENE</t>
  </si>
  <si>
    <t>The complete genome of Polaribacter sp. NJDZ03, which was isolated from the surface of Antarctic macroalgae, was analyzed by next-generation sequencing, and a putative carrageenase gene Car3206 was obtained. Car3206 was cloned and expressed in Escherichia coli BL21(DE3). After purification by Ni-NTA chromatography, the recombinant Car3206 protein was characterized and the antioxidant activity of the degraded product was investigated. The results showed that the recombinant plasmid pet-30a-car3206 was highly efficiently expressed in E. coli BL21(DE3). The purified recombinant Car3206 showed a single band on sodium dodecyl sulfate-polyacrylamide gel electrophoresis, with an apparent molecular weight of 45 kDa. The optimum temperature of the recombinant Car3206 was 55 degrees C, and it maintain 60-94% of its initial activity for 4-12 h at 55 degrees C. It also kept almost 70% of the initial activity at 30 degrees C, and more than 40% of the initial activity at 10 degrees C. These results show that recombinant Car3206 had good low temperature resistance and thermal stability properties. The optimum pH of recombinant Car3206 was 7.0. Car3206 was activated by Na+, K+, and Ca2+, but was significantly inhibited by Cu2+ and Cr2+. Thin-layer chromatographic analysis indicated that Car3206 degraded carrageenan generating disaccharides as the only products. The antioxidant capacity of the degraded disaccharides in vitro was investigated and the results showed that different concentrations of the disaccharides had similar scavenging effects as vitamin C on O-2(center dot)-, center dot OH, and DPPH center dot. To our knowledge, this is the first report about details of the biochemical characteristics of a carrageenase isolated from an Antarctic Polaribacter strain. The unique characteristics of Car3206, including its low temperature resistance, thermal stability, and product unity, suggest that this enzyme may be an interesting candidate for industrial processes.</t>
  </si>
  <si>
    <t>[Gui, Yuanyuan; Zhang, Peiyu] Qingdao Univ, Coll Environm Sci &amp; Engn, Qingdao, Peoples R China; [Gui, Yuanyuan; Fu, Liping; Zhang, Qian; Li, Jiang] Minist Nat Resources, Inst Oceanog 1, Marine Bioresource &amp; Environm Res Ctr, Qingdao, Peoples R China; [Gui, Yuanyuan; Fu, Liping; Zhang, Qian; Li, Jiang] Minist Nat Resources, Inst Oceanog 1, Key Lab Ecol Environm Sci &amp; Technol, Qingdao, Peoples R China; [Gu, Xiaoqian] Chinese Acad Sci, Inst Oceanol, CAS &amp; Shandong Prov Key Lab Expt Marine Biol, Qingdao, Peoples R China</t>
  </si>
  <si>
    <t>Qingdao University; First Institute of Oceanography, Ministry of Natural Resources; Ministry of Natural Resources of the People's Republic of China; Ministry of Natural Resources of the People's Republic of China; First Institute of Oceanography, Ministry of Natural Resources; Chinese Academy of Sciences; Institute of Oceanology, CAS</t>
  </si>
  <si>
    <t>Li, J (corresponding author), Minist Nat Resources, Inst Oceanog 1, Marine Bioresource &amp; Environm Res Ctr, Qingdao, Peoples R China.;Li, J (corresponding author), Minist Nat Resources, Inst Oceanog 1, Key Lab Ecol Environm Sci &amp; Technol, Qingdao, Peoples R China.</t>
  </si>
  <si>
    <t>lijiang@fio.org.cn</t>
  </si>
  <si>
    <t>fu, liping/HGV-1950-2022</t>
  </si>
  <si>
    <t>Impact and Response of Antarctic Seas to Climate Change [RFSOCC2020-2022]; National Key Research and Development Program of China [2018YFC1406704]; Key Research and Development Program of Shandong Province, China [2018GHY115013]</t>
  </si>
  <si>
    <t>Impact and Response of Antarctic Seas to Climate Change; National Key Research and Development Program of China; Key Research and Development Program of Shandong Province, China</t>
  </si>
  <si>
    <t>This research was supported by Impact and Response of Antarctic Seas to Climate Change (RFSOCC2020-2022), the National Key Research and Development Program of China (2018YFC1406704), and the Key Research and Development Program of Shandong Province, China (2018GHY115013).</t>
  </si>
  <si>
    <t>10.3389/fmicb.2021.631039</t>
  </si>
  <si>
    <t>RC5NS</t>
  </si>
  <si>
    <t>WOS:000632848400001</t>
  </si>
  <si>
    <t>Wilde, SE; Dominutti, PA; Allen, G; Andrews, SJ; Bateson, P; Bauguitte, SJB; Burton, RR; Colfescu, I; France, J; Hopkins, JR; Huang, LW; Jones, AE; Lachlan-Cope, T; Lee, JD; Lewis, AC; Mobbs, SD; Weiss, A; Young, S; Purvis, RM</t>
  </si>
  <si>
    <t>Wilde, Shona E.; Dominutti, Pamela A.; Allen, Grant; Andrews, Stephen J.; Bateson, Prudence; Bauguitte, Stephane J-B; Burton, Ralph R.; Colfescu, Ioana; France, James; Hopkins, James R.; Huang, Langwen; Jones, Anna E.; Lachlan-Cope, Tom; Lee, James D.; Lewis, Alastair C.; Mobbs, Stephen D.; Weiss, Alexandra; Young, Stuart; Purvis, Ruth M.</t>
  </si>
  <si>
    <t>Speciation of VOC emissions related to offshore North Sea oil and gas production</t>
  </si>
  <si>
    <t>VOLATILE ORGANIC-COMPOUNDS; AMBIENT AIR; ABSORPTION SPECTROMETER; NONMETHANE HYDROCARBONS; COMPOUND EMISSIONS; METHANE; BENZENE; QUALITY; SHALE; IDENTIFICATION</t>
  </si>
  <si>
    <t>The North Sea is Europe's key oil and gas (O&amp;G) basin with the output currently meeting 3 %-4% of global oil supply. Despite this, there are few observational constraints on the nature of atmospheric emissions from this region, with most information derived from bottom-up inventory estimates. This study reports on airborne measurements of volatile organic compounds (VOCs) emitted from O&amp;G-producing regions in the North Sea. VOC source emission signatures for the primary extraction products from offshore fields (oil, gas, condensate, mixed) were determined in four geographic regions. Measured iso-pentane to n-pentane (iC(5) / nC(5)) ratios were 0.89-1.24 for all regions, used as a confirmatory indicator of O&amp;G activities. Light alkanes (ethane, propane, butane, pentane) were the dominant species emitted in all four regions; however, total OH reactivity was dominated by unsaturated species, such as 1,3-butadiene, despite their relatively low abundance. Benzene to toluene ratios indicated the influence of possible terrestrial combustion sources of emissions in the southern, gas-producing region of the North Sea, seen only during south or south-westerly wind episodes. However, all other regions showed a characteristic signature of O&amp;G operations. Correlations between ethane (C2H6) and methane (CH4) confirmed O&amp;G production to be the primary CH4 source. The enhancement ratio (Delta C2H6/Delta CH4) ranged between 0.03-0.18, indicating a spatial dependence on emissions with both wet and dry CH4 emission sources. The excess mole fraction demonstrated that deepwater oil extraction resulted in a greater proportion of emissions of higher carbon number alkanes relative to CH4, whereas gas extraction, typically from shallow waters, resulted in a less complex mix of emissions dominated by CH4. The VOC source profiles measured were similar to those in the UK National Atmospheric Emissions Inventory (NAEI) for oil production, with consistency between the molar ratios of light alkanes to propane. The largest discrepancies between observations and the inventory were for mono-aromatic compounds, highlighting that these species are not currently fully captured in the inventory. These results demonstrate the applicability of VOC measurements to distinguish unique sources within the O&amp;G sector and give an overview of VOC speciation over the North Sea.</t>
  </si>
  <si>
    <t>[Wilde, Shona E.; Dominutti, Pamela A.; Andrews, Stephen J.; Hopkins, James R.; Lee, James D.; Lewis, Alastair C.; Young, Stuart; Purvis, Ruth M.] Univ York, Wolfson Atmospher Chem Labs, York YO10 5DD, N Yorkshire, England; [Dominutti, Pamela A.] Univ Clermont Auvergne, Lab Meteorol Phys, F-63000 Clermont Ferrand, France; [Allen, Grant; Bateson, Prudence; Huang, Langwen] Univ Manchester, Sch Earth &amp; Environm Sci, Manchester M13 9PL, Lancs, England; [Bauguitte, Stephane J-B] Cranfield Univ, Facil Airborne Atmospher Measurements, Bedford MK43 0AL, England; [Burton, Ralph R.; Colfescu, Ioana; Mobbs, Stephen D.] Univ Leeds, Natl Ctr Atmospher Sci, Sch Earth &amp; Environm, Leeds LS2 9JT, W Yorkshire, England; [France, James; Jones, Anna E.; Lachlan-Cope, Tom; Weiss, Alexandra] NERC, British Antarctic Survey, Cambridge CB3 0ET, England; [France, James] Royal Holloway Univ London, Dept Earth Sci, Egham TW20 0EX, Surrey, England; [Hopkins, James R.; Lee, James D.; Lewis, Alastair C.; Purvis, Ruth M.] Univ York, Natl Ctr Atmospher Sci, York YO10 5DD, N Yorkshire, England; [Huang, Langwen] Swiss Fed Inst Technol, Ramistr 101, CH-8092 Zurich, Switzerland</t>
  </si>
  <si>
    <t>University of York - UK; Universite Clermont Auvergne (UCA); University of Manchester; Cranfield University; University of Leeds; UK Research &amp; Innovation (UKRI); Natural Environment Research Council (NERC); NERC National Centre for Atmospheric Science; UK Research &amp; Innovation (UKRI); Natural Environment Research Council (NERC); NERC British Antarctic Survey; University of London; Royal Holloway University London; University of York - UK; UK Research &amp; Innovation (UKRI); Natural Environment Research Council (NERC); NERC National Centre for Atmospheric Science; Swiss Federal Institutes of Technology Domain; ETH Zurich</t>
  </si>
  <si>
    <t>Purvis, RM (corresponding author), Univ York, Wolfson Atmospher Chem Labs, York YO10 5DD, N Yorkshire, England.;Purvis, RM (corresponding author), Univ York, Natl Ctr Atmospher Sci, York YO10 5DD, N Yorkshire, England.</t>
  </si>
  <si>
    <t>ruth.purvis@ncas.ac.uk</t>
  </si>
  <si>
    <t>Allen, Grant/A-7737-2013; Dominutti, Pamela/ITT-9395-2023; lee, sooyoon/JEP-0415-2023; Dominutti, Pamela/N-2765-2019; France, James/L-9719-2015</t>
  </si>
  <si>
    <t>Allen, Grant/0000-0002-7070-3620; Dominutti, Pamela/0000-0002-9876-6383; Dominutti, Pamela/0000-0002-9876-6383; Hopkins, James/0000-0002-0917-3667; Wilde, Shona Elizabeth/0000-0002-0429-4347; Burton, Ralph/0000-0002-2614-0074; HOPKINS, JAMES/0000-0002-0447-2633; Lee, James D/0000-0001-5397-2872; France, James/0000-0002-8785-1240</t>
  </si>
  <si>
    <t>Natural Environment Research Council [NE/R01454X/1, NE/N016211/1, NE/M007146/1]; Climate and Clean Air Coalition (CCAC) [DTIE18-EN018]; NERC [NE/N016211/1, NE/N015630/1, NE/V003925/1, bas0100032, NE/M007146/1, NE/R01454X/1, NE/R017026/1, NE/N015835/1] Funding Source: UKRI</t>
  </si>
  <si>
    <t>Natural Environment Research Council(UK Research &amp; Innovation (UKRI)Natural Environment Research Council (NERC)); Climate and Clean Air Coalition (CCAC); NERC(UK Research &amp; Innovation (UKRI)Natural Environment Research Council (NERC))</t>
  </si>
  <si>
    <t>This research has been supported by the Natural Environment Research Council (grant nos. NE/R01454X/1, NE/N016211/1 and NE/M007146/1) and the Climate and Clean Air Coalition (CCAC) (grant no. DTIE18-EN018).</t>
  </si>
  <si>
    <t>10.5194/acp-21-3741-2021</t>
  </si>
  <si>
    <t>QX1SW</t>
  </si>
  <si>
    <t>WOS:000629129800001</t>
  </si>
  <si>
    <t>Huveneers, C; Jaine, FRA; Barnett, A; Butcher, PA; Clarke, TM; Currey-Randall, LM; Dwyer, RG; Ferreira, LC; Gleiss, AC; Hoenner, X; Ierodiaconou, D; Lédée, EJ; Meekan, MG; Pederson, H; Rizzari, JR; van Ruth, PD; Semmens, JM; Taylor, MD; Udyawer, V; Walsh, P; Heupel, MR; Harcourt, R</t>
  </si>
  <si>
    <t>Huveneers, Charlie; Jaine, Fabrice R. A.; Barnett, Adam; Butcher, Paul A.; Clarke, Thomas M.; Currey-Randall, Leanne M.; Dwyer, Ross G.; Ferreira, Luciana C.; Gleiss, Adrian C.; Hoenner, Xavier; Ierodiaconou, Daniel; Ledee, Elodie J., I; Meekan, Mark G.; Pederson, Hugh; Rizzari, Justin R.; van Ruth, Paul D.; Semmens, Jayson M.; Taylor, Matthew D.; Udyawer, Vinay; Walsh, Peter; Heupel, Michelle R.; Harcourt, Robert</t>
  </si>
  <si>
    <t>The power of national acoustic tracking networks to assess the impacts of human activity on marine organisms during the COVID-19 pandemic</t>
  </si>
  <si>
    <t>BIOLOGICAL CONSERVATION</t>
  </si>
  <si>
    <t>Acoustic telemetry; Coronavirus; IMOS; National network; Monitoring; White shark; Wildlife tourism; Yellowtail kingfish</t>
  </si>
  <si>
    <t>CHALLENGES; DESIGN; SHARKS; MOVEMENTS; TELEMETRY; PATTERNS; BEHAVIOR; ARRAY</t>
  </si>
  <si>
    <t>COVID-19 restrictions have led to an unprecedented global hiatus in anthropogenic activities, providing a unique opportunity to assess human impact on biological systems. Here, we describe how a national network of acoustic tracking receivers can be leveraged to assess the effects of human activity on animal movement and space use during such global disruptions. We outline variation in restrictions on human activity across Australian states and describe four mechanisms affecting human interactions with the marine environment: 1) reduction in economy and trade changing shipping traffic; 2) changes in export markets affecting commercial fisheries; 3) alterations in recreational activities; and 4) decline in tourism. We develop a roadmap for the analysis of acoustic tracking data across various scales using Australia?s national Integrated Marine Observing System (IMOS) Animal Tracking Facility as a case study. We illustrate the benefit of sustained observing systems and monitoring programs by assessing how a 51-day break in white shark (Carcharodon carcharias) cage-diving tourism due to COVID-19 restrictions affected the behaviour and space use of two resident species. This cessation of tourism activities represents the longest break since cage-diving vessels started day trips in this area in 2007. Long-term monitoring of the local environment reveals that the activity space of yellowtail kingfish (Seriola lalandi) was reduced when cage-diving boats were absent compared to periods following standard tourism operations. However, white shark residency and movements were not affected. Our roadmap is globally applicable and will assist researchers in designing studies to assess how anthropogenic activities can impact animal movement and distributions during regional, short-term through to major, unexpected disruptions like the COVID-19 pandemic.</t>
  </si>
  <si>
    <t>[Huveneers, Charlie; Clarke, Thomas M.] Flinders Univ S Australia, Coll Sci &amp; Engn, Southern Shark Ecol Grp, Adelaide, SA 5042, Australia; [Jaine, Fabrice R. A.; Harcourt, Robert] Sydney Inst Marine Sci, Integrated Marine Observing Syst IMOS Anim Tracki, Mosman, NSW 2088, Australia; [Jaine, Fabrice R. A.; Harcourt, Robert] Macquarie Univ, Dept Biol Sci, N Ryde, NSW 2109, Australia; [Barnett, Adam] James Cook Univ, Coll Sci &amp; Engn, Cairns, Qld 4878, Australia; [Butcher, Paul A.] Natl Marine Sci Ctr, NSW Dept Primary Ind, Coffs Harbour, NSW 2450, Australia; [Currey-Randall, Leanne M.] Australian Inst Marine Sci, Townsville, Qld 4810, Australia; [Dwyer, Ross G.] Univ Sunshine Coast, Global Change Ecol Res Grp, Maroochydore, Qld, Australia; [Ferreira, Luciana C.; Meekan, Mark G.] Australian Inst Marine Sci, Perth, WA 6009, Australia; [Gleiss, Adrian C.] Murdoch Univ, Coll Sci Hlth Engn &amp; Educ, Murdoch, WA 6150, Australia; [Gleiss, Adrian C.] Murdoch Univ, Ctr Sustainable Aquat Ecosyst, Harry Butler Inst, Murdoch, WA 6150, Australia; [Hoenner, Xavier] CSIRO, CSIRO Oceans &amp; Atmosphere, Hobart, Tas 7000, Australia; [Ierodiaconou, Daniel] Deakin Univ, Ctr Integrat Ecol, Sch Life &amp; Environm Sci, Warrnambool, Vic 3280, Australia; [Ledee, Elodie J., I] Carleton Univ, Dept Biol, Fish Ecol &amp; Conservat Physiol Lab, Ottawa, ON K1S 5B6, Canada; [Pederson, Hugh] Innovasea, Hobart, Tas 7000, Australia; [van Ruth, Paul D.] South Australian Res &amp; Dev Inst Aquat Sci, West Beach, SA 5024, Australia; [Semmens, Jayson M.; Walsh, Peter] Univ Tasmania, Fisheries &amp; Aquaculture Ctr, Inst Marine &amp; Antarctic Studies, Private Bag 49, Hobart, Tas 7001, Australia; [Taylor, Matthew D.] New South Wales Dept Primary Ind, Port Stephens Fisheries Inst, Locked Bag 1, Nelson Bay, NSW 2315, Australia; [Udyawer, Vinay] Australian Inst Marine Sci, Darwin, NT 0810, Australia; [Heupel, Michelle R.] Univ Tasmania, Integrated Marine Observing Syst IMOS, Hobart, Tas 7000, Australia; [Rizzari, Justin R.] Deakin Univ, Sch Life &amp; Environm Sci, Queenscliff, Vic 3225, Australia</t>
  </si>
  <si>
    <t>Flinders University South Australia; Sydney Institute of Marine Science; Macquarie University; James Cook University; Southern Cross University; NSW Department of Primary Industries; Australian Institute of Marine Science; University of the Sunshine Coast; Australian Institute of Marine Science; Murdoch University; Murdoch University; Commonwealth Scientific &amp; Industrial Research Organisation (CSIRO); Deakin University; Carleton University; University of Tasmania; NSW Department of Primary Industries; Australian Institute of Marine Science; University of Tasmania; Deakin University</t>
  </si>
  <si>
    <t>Huveneers, C (corresponding author), Flinders Univ S Australia, Coll Sci &amp; Engn, Southern Shark Ecol Grp, Adelaide, SA 5042, Australia.</t>
  </si>
  <si>
    <t>charlie.huveneers@flinders.edu.au</t>
  </si>
  <si>
    <t>Taylor, Matthew David/IRZ-9539-2023; Taylor, Matthew/HMP-1929-2023; Jaine, Fabrice/D-1622-2016; Ierodiaconou, Daniel A/B-9915-2008; Tull, Matthew/AAP-6442-2020; Butcher, Paul/T-4367-2019; Dwyer, Ross/IQR-5509-2023; Pederson, Hugh/HTO-8689-2023; Lédée, Elodie/X-1537-2019</t>
  </si>
  <si>
    <t>Taylor, Matthew David/0000-0002-1519-9521; Jaine, Fabrice/0000-0002-9304-5034; Butcher, Paul/0000-0001-7338-6037; Pederson, Hugh/0000-0002-0899-2978; Lédée, Elodie/0000-0001-8495-7827; Cerqueira Ferreira, Luciana/0000-0001-6755-2799; Harcourt, Robert/0000-0003-4666-2934; Udyawer, Vinay/0000-0001-5812-0740; Huveneers, Charlie/0000-0001-8937-1358; van Ruth, Paul/0000-0002-8436-579X; Dwyer, Ross/0000-0003-1136-5489; Gleiss, Adrian/0000-0002-9960-2858; Semmens, Jayson/0000-0003-1742-6692; Meekan, Mark/0000-0002-3067-9427; Currey-Randall, Leanne M/0000-0002-3772-1288</t>
  </si>
  <si>
    <t>Department for Environment and Water; Holsworth Wildlife Research Endowment grants; Biological Society of South Australia</t>
  </si>
  <si>
    <t>Data were sourced from Australia's Integrated Marine Observing System (IMOS) - IMOS is enabled by the National Collaborative Research Infrastructure strategy (NCRIS). It is operated by a consortium of institutions as an unincorporated joint venture, with the University of Tasmania as Lead Agent. Funding for the white shark monitoring program was provided by the Department for Environment and Water. Funding for the yellowtail kingfish tagging was provided by the Holsworth Wildlife Research Endowment grants and the Biological Society of South Australia.</t>
  </si>
  <si>
    <t>0006-3207</t>
  </si>
  <si>
    <t>1873-2917</t>
  </si>
  <si>
    <t>BIOL CONSERV</t>
  </si>
  <si>
    <t>Biol. Conserv.</t>
  </si>
  <si>
    <t>10.1016/j.biocon.2021.108995</t>
  </si>
  <si>
    <t>RO2VA</t>
  </si>
  <si>
    <t>WOS:000640904500011</t>
  </si>
  <si>
    <t>Bennett, S; Santana-Garcon, J; Marbà, N; Jorda, G; Anton, A; Apostolaki, ET; Cebrian, J; Geraldi, NR; Krause-Jensen, D; Lovelock, CE; Martinetto, P; Pandolfi, JM; Duarte, CM</t>
  </si>
  <si>
    <t>Bennett, Scott; Santana-Garcon, Julia; Marba, Nuria; Jorda, Gabriel; Anton, Andrea; Apostolaki, Eugenia T.; Cebrian, Just; Geraldi, Nathan R.; Krause-Jensen, Dorte; Lovelock, Catherine E.; Martinetto, Paulina; Pandolfi, John M.; Duarte, Carlos M.</t>
  </si>
  <si>
    <t>Climate-driven impacts of exotic species on marine ecosystems</t>
  </si>
  <si>
    <t>GLOBAL ECOLOGY AND BIOGEOGRAPHY</t>
  </si>
  <si>
    <t>alien; climate change; environmental matching; invasive; non‐ native; temperature</t>
  </si>
  <si>
    <t>BIOLOGICAL INVASIONS; BIOTIC RESISTANCE; RANGE SHIFTS; BIODIVERSITY; FORECASTS; LIMITS</t>
  </si>
  <si>
    <t>Aim Temperature is fundamental to the physiological and ecological performance of marine organisms, but its role in modulating the magnitude of ecological impacts by exotic species remains unresolved. Here, we examine the relationship between thermal regimes in the range of origin of marine exotic species and sites of measured impact, after human-induced introduction. We compare this relationship with the magnitude of impact exerted by exotic species on native ecosystems. Location Global. Time period 1977-2017 (meta-analysis). Major taxa studied Marine exotic species. Methods Quantitative impacts of exotic species in marine ecosystems were obtained from a global database. The native range of origin of exotic species was used to estimate the realized thermal niche for each species and compared with the latitude and climatic conditions in recipient sites of recorded impact of exotic species. The difference in median temperatures between recipient sites and the thermal range of origin (i.e., thermal midpoint anomaly) was compared with the magnitude of effect sizes by exotic species on native species, communities and ecosystems. Results Recorded impacts occurred predominantly within the thermal niche of origin of exotic species, albeit with a tendency toward higher latitudes and slightly cooler conditions. The severity of impacts by exotic species on abundance of native taxa displayed a hump-shaped relationship with temperature. Peak impacts were recorded in recipient sites that were 2.2 degrees C cooler than the thermal midpoint of the range of origin of exotic species, and impacts decreased in magnitude toward higher and lower thermal anomalies. Main conclusions Our findings highlight how temperature and climatic context influence ecological impacts by exotic species in marine ecosystems and the implications for existing and novel species interactions under climate change.</t>
  </si>
  <si>
    <t>[Bennett, Scott] Univ Tasmania, Inst Marine &amp; Antarctic Studies, Hobart, Tas, Australia; [Bennett, Scott; Santana-Garcon, Julia; Marba, Nuria; Jorda, Gabriel] CSIC UIB, Inst Mediterrani Estudis Avancats IMEDEA, Global Change Res Grp, Esporles, Spain; [Jorda, Gabriel] Ctr Oceanog Balears, Inst Espanol Oceanog IEO, Palma De Mallorca, Spain; [Anton, Andrea; Geraldi, Nathan R.; Duarte, Carlos M.] King Abdullah Univ Sci &amp; Technol KAUST, Red Sea Res Ctr RSRC, Thuwal, Saudi Arabia; [Apostolaki, Eugenia T.] Hellen Ctr Marine Res, Inst Oceanog, Iraklion, Greece; [Cebrian, Just] Mississippi State Univ, Northern Gulf Inst, Stennis Space Ctr, MS 39529 USA; [Krause-Jensen, Dorte] Aarhus Univ, Arctic Res Ctr, Aarhus, Denmark; [Krause-Jensen, Dorte] Aarhus Univ, Dept Biosci, Silkeborg, Denmark; [Lovelock, Catherine E.; Pandolfi, John M.] Univ Queensland, Sch Biol Sci, Brisbane, Qld, Australia; [Martinetto, Paulina] Inst Invest Marinas &amp; Costeras IIMyC CONICET UNMd, Lab Ecol, Mar De Plata, Argentina; [Pandolfi, John M.] Univ Queensland, Australian Res Council, Ctr Excellence Coral Reef, Brisbane, Qld, Australia</t>
  </si>
  <si>
    <t>University of Tasmania; University of Barcelona; Consejo Superior de Investigaciones Cientificas (CSIC); ATTITUS Educacao; Universitat de les Illes Balears; Spanish Institute of Oceanography; King Abdullah University of Science &amp; Technology; Hellenic Centre for Marine Research; Mississippi State University; Aarhus University; Aarhus University; University of Queensland; University of Queensland</t>
  </si>
  <si>
    <t>Bennett, S (corresponding author), Univ Tasmania, Inst Marine &amp; Antarctic Studies, 15-21 Nubeena Crescent, Taroona, Tas 7053, Australia.</t>
  </si>
  <si>
    <t>scott.bennett0@utas.edu.au</t>
  </si>
  <si>
    <t>Bennett, Scott/A-8747-2016; Marba, Nuria/H-8136-2015; Anton, Andrea/ABA-3742-2021; Apostolaki, Eugenia/O-9739-2019; Duarte, Carlos M/A-7670-2013; Lovelock, Catherine E./AAF-7294-2020; Anton, Andrea/JAX-3235-2023; Duarte Quesada, Carlos Manuel/ABD-6208-2021; Santana-Garcon, Julia/M-1410-2013; Krause-Jensen, Dorte/J-5666-2013</t>
  </si>
  <si>
    <t>Bennett, Scott/0000-0003-2969-7430; Marba, Nuria/0000-0002-8048-6789; Apostolaki, Eugenia/0000-0002-6520-6574; Duarte, Carlos M/0000-0002-1213-1361; Lovelock, Catherine E./0000-0002-2219-6855; Santana-Garcon, Julia/0000-0001-7961-3552; Anton, Andrea/0000-0002-4104-2966; Krause-Jensen, Dorte/0000-0001-9792-256X</t>
  </si>
  <si>
    <t>European Union's Horizon 2020 research and innovation programme [659246]; Australian Research Council [DE200100900, CE140100020]; Spanish Ministry of Economy, Industry and Competitiveness [CGL2015-71809-P]; Fundacion BBVA; Independent Research Fund Denmark [8021-00222B]; Marie Curie Actions (MSCA) [659246] Funding Source: Marie Curie Actions (MSCA); Australian Research Council [DE200100900] Funding Source: Australian Research Council</t>
  </si>
  <si>
    <t>European Union's Horizon 2020 research and innovation programme(Horizon 2020); Australian Research Council(Australian Research Council); Spanish Ministry of Economy, Industry and Competitiveness(Spanish Government); Fundacion BBVA(BBVA Foundation); Independent Research Fund Denmark(Det Frie Forskningsrad (DFF)); Marie Curie Actions (MSCA)(Marie Curie Actions); Australian Research Council(Australian Research Council)</t>
  </si>
  <si>
    <t>European Union's Horizon 2020 research and innovation programme, Grant/Award Number: 659246; Australian Research Council, Grant/Award Number: DE200100900 and CE140100020; Spanish Ministry of Economy, Industry and Competitiveness, Grant/Award Number: CGL2015-71809-P; Fundacion BBVA; Independent Research Fund Denmark, Grant/Award Number: 8021-00222B</t>
  </si>
  <si>
    <t>1466-822X</t>
  </si>
  <si>
    <t>1466-8238</t>
  </si>
  <si>
    <t>GLOBAL ECOL BIOGEOGR</t>
  </si>
  <si>
    <t>Glob. Ecol. Biogeogr.</t>
  </si>
  <si>
    <t>10.1111/geb.13283</t>
  </si>
  <si>
    <t>RN2XB</t>
  </si>
  <si>
    <t>WOS:000627828300001</t>
  </si>
  <si>
    <t>Gao, MN; Kim, SJ; Yang, J; Liu, JP; Jiang, T; Su, BD; Wang, YJ; Huang, JL</t>
  </si>
  <si>
    <t>Gao, Miaoni; Kim, Seong-Joong; Yang, Jing; Liu, Jiping; Jiang, Tong; Su, Buda; Wang, Yanjun; Huang, Jinlong</t>
  </si>
  <si>
    <t>Historical fidelity and future change of Amundsen Sea Low under 1.5?C?4?C global warming in CMIP6</t>
  </si>
  <si>
    <t>ATMOSPHERIC RESEARCH</t>
  </si>
  <si>
    <t>Amundsen Sea Low; CMIP6; Historical Fidelity; Future Projection; Global Warming Levels</t>
  </si>
  <si>
    <t>EXTREME PRECIPITATION; WEST ANTARCTICA; PART I; CLIMATE; CIRCULATION; 2-DEGREES-C; INDEXES</t>
  </si>
  <si>
    <t>The realistic simulation and projection of the Amundsen Sea Low (ASL) are essential for understanding the Antarctic climate and global climate change. Using 14 models that participated in phase 6 of the Coupled Model Intercomparison Project (CMIP6), this study evaluates the climatological characteristics of ASL with comparison to the ERA5 reanalysis and their CMIP5 versions and assesses the future change of ASL under 1.5 ?C?4 ?C global warming. The climatological spatial distribution of ASL is captured reasonably but with underestimated intensity by CMIP6 multi-model ensemble (MME). Among the CMIP6 models, EC-Earth3 has most accurate representation of ASL according to the pattern correlation and biases. The seasonal variation of the ASL depth and location are found to be reasonably reproduced by the CMIP6 models. CMIP6 MME has higher skills in simulating the seasonal cycle of absolute depth and zonal migration of the ASL center. The relative central pressure of ASL is underestimated in all seasons and there is a 4-degree northward shift bias of the ASL center in austral winter, which were also evident in the CMIP5. The semiannual cycle of ASL absolute depth with two deepest pressure in April and October is also captured by CMIP6 MME. However, the observed peak of pressure between the two months occurs in June, while it delays one month and appears until July in CMIP6 MME. Compared with CMIP5, CMIP6 MME exhibit evident reduced uncertainties and overall improvement in simulating absolute depth and location of the ASL center, which might be attributed to models? capability of representing the location of Southern Hemisphere westerlies, while the biases in relative depth become even large in CMIP6 MME. In response to future warming from 1.5 ?C to 4 ?C above pre-industrial levels, the absolute depth of ASL will very likely deepen with larger amplitude in all seasons, while the relative depth might enhance only under high-level warmer world in austral autumn to winter. The CMIP6 MME also projects that the ASL will shift poleward constantly in austral summer and migrate southwestward during austral autumn with the rising global mean temperature. Among all the seasons, the most prominent future changes in intensity and location of ASL are found in autumn. The enhancement and poleward movement of ASL could also be identified during the Ross Sea ice advance season under 1.5 ?C?4 ?C global warming. The results reveal the potential of CMIP6 models in the ASL study and the impact of ASL on Antarctic climate under different global warming levels.</t>
  </si>
  <si>
    <t>[Gao, Miaoni; Jiang, Tong; Su, Buda; Wang, Yanjun; Huang, Jinlong] Nanjing Univ Informat Sci &amp; Technol, Sch Geog Sci, Inst Disaster Risk Management, Nanjing, Peoples R China; [Kim, Seong-Joong] Korea Polar Res Inst, Div Polar Climate Sci, Incheon, South Korea; [Yang, Jing] Beijing Normal Univ, Fac Geog Sci, Beijing 100875, Peoples R China; [Liu, Jiping] SUNY Albany, Dept Atmospher &amp; Environm Sci, Albany, NY 12222 USA</t>
  </si>
  <si>
    <t>Nanjing University of Information Science &amp; Technology; Korea Polar Research Institute (KOPRI); Beijing Normal University; State University of New York (SUNY) System; State University of New York (SUNY) Albany</t>
  </si>
  <si>
    <t>Gao, MN (corresponding author), Nanjing Univ Informat Sci &amp; Technol, Sch Geog Sci, Inst Disaster Risk Management, Nanjing, Peoples R China.</t>
  </si>
  <si>
    <t>gaomn@nuist.edu.cn</t>
  </si>
  <si>
    <t>Korea Polar Research Institute [PE21030]; National Natural Science Foundation of China [42022034, 91837101, 41830536]; Startup Foundation for Introducing Talent of NUIST; National Key R&amp;D Program of China [2018YFA0605901]; High Performance Computing Center of Nanjing University of Information Science Technology</t>
  </si>
  <si>
    <t>Korea Polar Research Institute(Korea Polar Research Institute of Marine Research Placement (KOPRI)); National Natural Science Foundation of China(National Natural Science Foundation of China (NSFC)); Startup Foundation for Introducing Talent of NUIST; National Key R&amp;D Program of China; High Performance Computing Center of Nanjing University of Information Science Technology</t>
  </si>
  <si>
    <t>This study was supported by the Project PE21030 of Korea Polar Research Institute, the National Natural Science Foundation of China (Grant No. 42022034, 91837101), the Startup Foundation for Introducing Talent of NUIST, the National Key R&amp;D Program of China (Grant No. 2018YFA0605901), and the National Natural Science Foundation of China (Grant No. 41830536). We acknowledge the High Performance Computing Center of Nanjing University of Information Science &amp; Technology for their support of this work. The authors also would like to thank Ms. Shan Xu for her preliminary analysis.</t>
  </si>
  <si>
    <t>0169-8095</t>
  </si>
  <si>
    <t>1873-2895</t>
  </si>
  <si>
    <t>ATMOS RES</t>
  </si>
  <si>
    <t>Atmos. Res.</t>
  </si>
  <si>
    <t>10.1016/j.atmosres.2021.105533</t>
  </si>
  <si>
    <t>RI3EI</t>
  </si>
  <si>
    <t>WOS:000636790300001</t>
  </si>
  <si>
    <t>Levicoy, D; Flores, K; Rosenfeld, S; Cárdenas, L</t>
  </si>
  <si>
    <t>Levicoy, Daniela; Flores, Kamilla; Rosenfeld, Sebastian; Cardenas, Leyla</t>
  </si>
  <si>
    <t>Phylogeography and genetic diversity of the microbivalve Kidderia subquadrata, reveals new data from West Antarctic Peninsula</t>
  </si>
  <si>
    <t>LAST GLACIAL MAXIMUM; SOUTH SHETLAND ISLANDS; DRAKE PASSAGE; POPULATION-STRUCTURE; LATERNULA-ELLIPTICA; CRYPTIC SPECIATION; NACELLA-CONCINNA; OCEAN BARRIERS; DNA-SEQUENCE; POLAR FRONT</t>
  </si>
  <si>
    <t>It is well established that Antarctic biodiversity has been strongly influenced by rapid climatic fluctuations during the Quaternary. Marine invertebrates from Antarctica constitute an interesting lens through which to study the impacts of the last glacial periods as glaciation impacted the distribution and intraspecific genetic variation of these animals. However, the impact on the spatial genetic distribution and historical demography of local processes in areas adjacent to the West Antarctic Peninsula (WAP) is less clear. Here we present new genetic information on the bivalve Kidderia subquadrata, a small mollusk that inhabits intertidal rocky island ecosystems throughout the WAP. Using a phylogeographical approach, we examined the spatial patterns of genetic diversity in this brooder species to test the hypothesis of strong genetic structure in incubating organisms and the hypothesis of glacial refugia in organisms with limited dispersion. We found evidence of strong genetic structure among populations of the WAP and a recent expansion in the South Shetland Islands. Our findings are concordant with the predictions that incubating organisms, abundant in Antarctica, present a strong genetic structure among their populations and also support the hypothesis of glacial refugia in organisms with limited dispersion. The effect of the coastal current pattern in the WAP is suggested as a driver to the local spatial dynamics of the genetic diversity distribution. Although genetic information about this microbivalve is still scarce, the knowledge reported here has increased our understanding of the evolutionary patterns of this organism that is endemic to the Southern Ocean.</t>
  </si>
  <si>
    <t>[Levicoy, Daniela; Flores, Kamilla; Cardenas, Leyla] Univ Austral Chile, Fac Ciencias, Ctr FONDAP IDEAL, Inst Ciencias Ambientales &amp; Evolut, Independencia 641,POB 567, Punta Arenas, Chile; [Rosenfeld, Sebastian] Univ Magallanes, Lab Ecosistemas Marinos Antarticos &amp; Subantartico, Casilla 113-D, Punta Arenas, Chile; [Rosenfeld, Sebastian] Univ Chile, Fac Ciencias, Dept Ciencias Ecol, Lab Ecol Mol, Las Palmeras 3425, Santiago, Chile; [Rosenfeld, Sebastian] Inst Ecol &amp; Biodiversidad IEB, Las Palmeras 3425, Santiago, Chile</t>
  </si>
  <si>
    <t>Universidad Austral de Chile; Universidad de Magallanes; Universidad de Chile</t>
  </si>
  <si>
    <t>Cárdenas, L (corresponding author), Univ Austral Chile, Fac Ciencias, Ctr FONDAP IDEAL, Inst Ciencias Ambientales &amp; Evolut, Independencia 641,POB 567, Punta Arenas, Chile.</t>
  </si>
  <si>
    <t>leylacardenas@uach.cl</t>
  </si>
  <si>
    <t>Cardenas, Leyla/AAY-5671-2020</t>
  </si>
  <si>
    <t>Cardenas, Leyla/0000-0003-0676-6704; Rosenfeld, Sebastian/0000-0002-4363-8018; Levicoy, Daniela/0000-0002-0039-3487</t>
  </si>
  <si>
    <t>National Commission of Scientific and Technological Investigation of Chile through the Fondo de Financiamiento de Centros de Investigacion en areas Prioritarias (FONDAP) program Research Center: Dynamics of High Latitude Marine Ecosystems [15150003]; Fondecyt [1170591]; Instituto Antartico Chileno [MG 06-17]; Direccion de Estudios de Postgrado of Universidad Austral de Chile [B113-2017, B026-2018]; NERC; [INACH DT_04-16]</t>
  </si>
  <si>
    <t>National Commission of Scientific and Technological Investigation of Chile through the Fondo de Financiamiento de Centros de Investigacion en areas Prioritarias (FONDAP) program Research Center: Dynamics of High Latitude Marine Ecosystems; Fondecyt(Comision Nacional de Investigacion Cientifica y Tecnologica (CONICYT)CONICYT FONDECYT); Instituto Antartico Chileno; Direccion de Estudios de Postgrado of Universidad Austral de Chile; NERC(UK Research &amp; Innovation (UKRI)Natural Environment Research Council (NERC));</t>
  </si>
  <si>
    <t>This study was supported and funded by the National Commission of Scientific and Technological Investigation of Chile through the Fondo de Financiamiento de Centros de Investigacion en areas Prioritarias (FONDAP) program Research Center: Dynamics of High Latitude Marine Ecosystems (grant no. 15150003), Fondecyt 1170591. D. Levicoy was supported by the Instituto Antartico Chileno grant MG 06-17 and by Direccion de Estudios de Postgrado of Universidad Austral de Chile through grants N degrees B113-2017, N degrees B026-2018. The authors thank P. Brunning, Z. Lopez and C. Maturana for their help during field samplings. We also thank the collaboration of INACH DT_04-16 and NERC core funding to the BAS 'Ecosystems' and 'Biodiversity, Evolution and Adaptation' Team.</t>
  </si>
  <si>
    <t>MAR 11</t>
  </si>
  <si>
    <t>10.1038/s41598-021-85042-7</t>
  </si>
  <si>
    <t>QX8VV</t>
  </si>
  <si>
    <t>WOS:000629622100002</t>
  </si>
  <si>
    <t>Krause, DJ; Hinke, JT; Goebel, ME; Perryman, WL</t>
  </si>
  <si>
    <t>Krause, Douglas J.; Hinke, Jefferson T.; Goebel, Michael E.; Perryman, Wayne L.</t>
  </si>
  <si>
    <t>Drones Minimize Antarctic Predator Responses Relative to Ground Survey Methods: An Appeal for Context in Policy Advice</t>
  </si>
  <si>
    <t>animal behavior; disturbance; RPAS; unmanned aerial systems; UAS; UAV; wildlife response; hexacopter</t>
  </si>
  <si>
    <t>UNMANNED AERIAL VEHICLES; PENGUIN COLONIES; AIRCRAFT SYSTEM; HEART-RATE; WILDLIFE; DISTURBANCE; PHOTOGRAMMETRY; ECOLOGY; MAMMALS; WHALES</t>
  </si>
  <si>
    <t>Unoccupied aerial systems (UAS) have become common tools for ecological monitoring and management. However, UAS use has the potential to negatively affect wildlife. Both policy makers and practitioners require data about the potential impacts of UAS on natural biota, but few studies exist and some of the published results conflict. We conducted two experiments to assess the responses of chinstrap penguins (Pygoscelis antarcticus), Antarctic fur seals (Arctocephalus gazella), and leopard seals (Hydrurga leptonyx) to UAS overflights. First, to provide a baseline for assessing disturbance from UAS operations, we compare behavioral responses from UAS flights to those from traditional, ground surveys. Second, to inform users and policy makers about preferred flight methods, we assess behavioral and physiological responses to UAS flown at specific altitudes, during different stages of breeding chronology, and with other site factors. Between January 2017 and March 2018 we conducted 268 UAS flight approaches and 36 ground-based surveys at Cape Shirreff, Antarctic Peninsula. We applied generalized linear mixed effects models and Kruskal-Wallis tests to 10,164 behavioral scores obtained from three independent observers. When directly compared, behavioral responses by all species to UAS overflights at 30 m were not different from control periods, while responses to ground surveys were significantly more intense. Behavioral responses generally increased as UAS flew lower, and for penguins those increases intensified as the breeding season progressed (i.e., guard and molt stages). We argue that results from UAS wildlife response studies need to be assessed relative to the impacts of alternative methods, and within the ecological context of the target species. Finally, we suggest data-driven best practices for both UAS use and for the design of future UAS-wildlife response studies.</t>
  </si>
  <si>
    <t>[Krause, Douglas J.; Hinke, Jefferson T.; Goebel, Michael E.] Natl Marine Fisheries Serv, Antarctic Ecosyst Res Div, Southwest Fisheries Sci Ctr, San Diego, CA 92122 USA; [Perryman, Wayne L.] Natl Marine Fisheries Serv, Marine Mammal &amp; Turtle Div, Southwest Fisheries Sci Ctr, San Diego, CA USA</t>
  </si>
  <si>
    <t>National Oceanic Atmospheric Admin (NOAA) - USA; National Oceanic Atmospheric Admin (NOAA) - USA</t>
  </si>
  <si>
    <t>Krause, DJ (corresponding author), Natl Marine Fisheries Serv, Antarctic Ecosyst Res Div, Southwest Fisheries Sci Ctr, San Diego, CA 92122 USA.</t>
  </si>
  <si>
    <t>douglas.krause@noaa.gov</t>
  </si>
  <si>
    <t>Krause, Douglas J./0000-0002-2517-3106</t>
  </si>
  <si>
    <t>U.S. AMLR Program, NOAA Fisheries</t>
  </si>
  <si>
    <t>Financial, infrastructure, and logistical support was provided by the U.S. AMLR Program, NOAA Fisheries.</t>
  </si>
  <si>
    <t>10.3389/fmars.2021.648772</t>
  </si>
  <si>
    <t>RB6JV</t>
  </si>
  <si>
    <t>WOS:000632217100001</t>
  </si>
  <si>
    <t>Oosthuizen, WC; Péron, G; Pradel, R; Bester, MN; de Bruyn, PJN</t>
  </si>
  <si>
    <t>Oosthuizen, W. Chris; Peron, Guillaume; Pradel, Roger; Bester, Marthan N.; de Bruyn, P. J. Nico</t>
  </si>
  <si>
    <t>Positive early-late life-history trait correlations in elephant seals</t>
  </si>
  <si>
    <t>ECOLOGY</t>
  </si>
  <si>
    <t>actuarial senescence; age at first reproduction; breeding age; hidden Markov model; imperfect detection; life‐ history covariation; Mirounga leonina; theory of aging</t>
  </si>
  <si>
    <t>CAPTURE-RECAPTURE MODELS; TRADE-OFFS; REPRODUCTIVE-PERFORMANCE; FITNESS PROSPECTS; 1ST REPRODUCTION; NATAL ORIGIN; AGING RATES; SENESCENCE; AGE; SURVIVAL</t>
  </si>
  <si>
    <t>Correlations between early- and late-life performance are a major prediction of life-history theory. Negative early-late correlations can emerge because biological processes are optimized for early but not late life (e.g., rapid development may accelerate the onset of senescence; developmental theory of aging) or because allocation to early-life performance comes at a cost in terms of late-life performance (as in the disposable soma theory). But variation in genetic and environmental challenges that each individual has to cope with during early life may also lead to positive early-late life-history trait correlations (the fixed heterogeneity or individual quality hypothesis). We analyzed individual life-history trajectories of 7,420 known-age female southern elephant seals (Mirounga leonina) monitored over 36 yr to determine how actuarial senescence (a proxy for late-life performance) correlate with age at first reproduction (a proxy for early-life performance). As some breeding events may not be detected in this field study, we used a custom multievent hierarchical model to estimate the age at first reproduction and correlate it to other life-history traits. The probability of first reproduction was 0.34 at age 3, with most females breeding for the first time at age 4, and comparatively few at older ages. Females with an early age of first reproduction outperformed delayed breeders in all aspects we considered (survival, rate of senescence, net reproductive output) but one: early breeders appeared to have an onset of actuarial senescence 1 yr earlier compared to late breeders. Genetics and environmental conditions during early life likely explain the positive correlation between early- and late-life performance. Our results provide the first evidence of actuarial senescence in female southern elephant seals.</t>
  </si>
  <si>
    <t>[Oosthuizen, W. Chris; Bester, Marthan N.; de Bruyn, P. J. Nico] Univ Pretoria, Mammal Res Inst, Dept Zool &amp; Entomol, Private Bag X20, ZA-0028 Hatfield, South Africa; [Oosthuizen, W. Chris] Nelson Mandela Univ, Inst Coastal &amp; Marine Res, Marine Apex Predator Res Unit, ZA-6031 Port Elizabeth, South Africa; [Oosthuizen, W. Chris] Nelson Mandela Univ, Dept Zool, ZA-6031 Port Elizabeth, South Africa; [Peron, Guillaume] Univ Lyon, Univ Lyon 1, CNRS, UMR5558,Lab Biometrie &amp; Biol Evolut, Villeurbanne, France; [Pradel, Roger] Univ Montpellier, CEFE, Univ Paul Valery Montpellier 3, CNRS,EPHE,IRD, Montpellier, France</t>
  </si>
  <si>
    <t>University of Pretoria; Nelson Mandela University; Nelson Mandela University; VetAgro Sup; Centre National de la Recherche Scientifique (CNRS); CNRS - Institute of Ecology &amp; Environment (INEE); Universite Claude Bernard Lyon 1; Universite PSL; Ecole Pratique des Hautes Etudes (EPHE); Institut Agro; Montpellier SupAgro; CIRAD; Centre National de la Recherche Scientifique (CNRS); Institut de Recherche pour le Developpement (IRD); Universite Paul-Valery; Universite de Montpellier</t>
  </si>
  <si>
    <t>Oosthuizen, WC (corresponding author), Univ Pretoria, Mammal Res Inst, Dept Zool &amp; Entomol, Private Bag X20, ZA-0028 Hatfield, South Africa.;Oosthuizen, WC (corresponding author), Nelson Mandela Univ, Inst Coastal &amp; Marine Res, Marine Apex Predator Res Unit, ZA-6031 Port Elizabeth, South Africa.;Oosthuizen, WC (corresponding author), Nelson Mandela Univ, Dept Zool, ZA-6031 Port Elizabeth, South Africa.</t>
  </si>
  <si>
    <t>wcoosthuizen@zoology.up.ac.za</t>
  </si>
  <si>
    <t>Pradel, Roger/A-8666-2008; de Bruyn, P. J. Nico/E-4176-2010; Oosthuizen, W. Chris/I-2947-2016; PERON, Guillaume/C-5379-2013</t>
  </si>
  <si>
    <t>Pradel, Roger/0000-0002-2684-9251; de Bruyn, P. J. Nico/0000-0002-9114-9569; Oosthuizen, W. Chris/0000-0003-2905-6297; PERON, Guillaume/0000-0002-6311-4377</t>
  </si>
  <si>
    <t>South African National Research Foundation (NRF)</t>
  </si>
  <si>
    <t>South African National Research Foundation (NRF)(National Research Foundation - South Africa)</t>
  </si>
  <si>
    <t>We thank all the field workers who collected elephant seal demographic data at Marion Island. The research benefited from logistic support provided by the South African Department of Environment, Forestry, and Fisheries (DEFF) within the South African National Antarctic Programme. The financial assistance of the South African National Research Foundation (NRF) towards this research is hereby acknowledged. Opinions expressed and conclusions arrived at are those of the authors and are not necessarily to be attributed to the NRF.</t>
  </si>
  <si>
    <t>0012-9658</t>
  </si>
  <si>
    <t>1939-9170</t>
  </si>
  <si>
    <t>10.1002/ecy.3288</t>
  </si>
  <si>
    <t>RH8PO</t>
  </si>
  <si>
    <t>WOS:000627473000001</t>
  </si>
  <si>
    <t>Couston, LA</t>
  </si>
  <si>
    <t>Couston, Louis-Alexandre</t>
  </si>
  <si>
    <t>Turbulent convection in subglacial lakes</t>
  </si>
  <si>
    <t>JOURNAL OF FLUID MECHANICS</t>
  </si>
  <si>
    <t>geophysical and geological flows; turbulent convection; stratified flows</t>
  </si>
  <si>
    <t>RAYLEIGH-BENARD CONVECTION; WATER; INVENTORY; VOSTOK</t>
  </si>
  <si>
    <t>Subglacial lakes are isolated, low-temperature and high-pressure water environments hidden under ice sheets. Here, we use two-dimensional direct numerical simulations in order to investigate the characteristic temperature fluctuations and velocities in freshwater subglacial lakes as functions of the ice overburden pressure, p(i), the water depth, h, and the geothermal flux, F. Geothermal heating is the unique forcing mechanism as we consider a flat ice-water interface. Subglacial lakes are fully convective when p(i) is larger than the critical pressure p(*) approximate to 2848 dbar, but self-organize into a lower convective bulk and an upper stably stratified layer when p(i) &lt; p(*), because of the existence at low pressure of a density maximum at temperature Td greater than the freezing temperature T-f. For both high and low p(i), we demonstrate that the Nusselt number, Nu, and Reynolds number, Re, satisfy classical scaling laws provided that an effective Rayleigh number Ra-eff is considered. We show that the convective and stably stratified layers at low pressure are dynamically decoupled at leading order because plume penetration is weak and induces limited entrainment of the stable fluid. From the empirical equation for Nu with Ra-eff, we derive two sets of closed-form expressions for several variables of interest, including the unknown bottom temperature, in terms of the problem parameters p(i), h and F. The two predictions correspond to two limiting regimes obtained when the effective thermal expansion coefficient is either approximately constant or linearly proportional to the temperature difference driving the convection.</t>
  </si>
  <si>
    <t>[Couston, Louis-Alexandre] British Antarctic Survey, Cambridge CB3 0ET, England; [Couston, Louis-Alexandre] Univ Claude Bernard, Univ Lyon, ENS Lyon, CNRS,Lab Phys, F-69342 Lyon, France</t>
  </si>
  <si>
    <t>UK Research &amp; Innovation (UKRI); Natural Environment Research Council (NERC); NERC British Antarctic Survey; Universite Paris Cite; Centre National de la Recherche Scientifique (CNRS); Ecole Normale Superieure de Lyon (ENS de LYON); Universite Claude Bernard Lyon 1</t>
  </si>
  <si>
    <t>Couston, LA (corresponding author), British Antarctic Survey, Cambridge CB3 0ET, England.;Couston, LA (corresponding author), Univ Claude Bernard, Univ Lyon, ENS Lyon, CNRS,Lab Phys, F-69342 Lyon, France.</t>
  </si>
  <si>
    <t>louis.couston@ens-lyon.fr</t>
  </si>
  <si>
    <t>Couston, Louis-Alexandre/ABC-7665-2020</t>
  </si>
  <si>
    <t>Couston, Louis-Alexandre/0000-0002-2184-2472</t>
  </si>
  <si>
    <t>European Union [793450]; NERC [bas0100033] Funding Source: UKRI; Marie Curie Actions (MSCA) [793450] Funding Source: Marie Curie Actions (MSCA)</t>
  </si>
  <si>
    <t>European Union(European Union (EU)); NERC(UK Research &amp; Innovation (UKRI)Natural Environment Research Council (NERC)); Marie Curie Actions (MSCA)(Marie Curie Actions)</t>
  </si>
  <si>
    <t>This project has received funding from the European Union's Horizon 2020 research and innovation programme under the Marie Sklodowska-Curie grant agreement 793450. I acknowledge PRACE for awarding me access to Marconi at CINECA, Italy.</t>
  </si>
  <si>
    <t>0022-1120</t>
  </si>
  <si>
    <t>1469-7645</t>
  </si>
  <si>
    <t>J FLUID MECH</t>
  </si>
  <si>
    <t>J. Fluid Mech.</t>
  </si>
  <si>
    <t>A31</t>
  </si>
  <si>
    <t>10.1017/jfm.2021.38</t>
  </si>
  <si>
    <t>QU7WK</t>
  </si>
  <si>
    <t>WOS:000627489200001</t>
  </si>
  <si>
    <t>Cau, A; Ennas, C; Moccia, D; Mangoni, O; Bolinesi, F; Saggiomo, M; Granata, A; Guglielmo, L; Swadling, KM; Pusceddu, A</t>
  </si>
  <si>
    <t>Cau, Alessandro; Ennas, Claudia; Moccia, Davide; Mangoni, Olga; Bolinesi, Francesco; Saggiomo, Maria; Granata, Antonia; Guglielmo, Letterio; Swadling, Kerrie M.; Pusceddu, Antonio</t>
  </si>
  <si>
    <t>Particulate organic matter release below melting sea ice (Terra Nova Bay, Ross Sea, Antarctica): Possible relationships with zooplankton</t>
  </si>
  <si>
    <t>JOURNAL OF MARINE SYSTEMS</t>
  </si>
  <si>
    <t>Sea ice; POM fluxes; Trophic webs; Clione limacina antarctica; Limacina helicina antarctica; Terra Nova Bay; Antarctica</t>
  </si>
  <si>
    <t>Timing and rates of release of particulate organic matter (POM) beneath the Antarctic sea ice during the melting season are relatively unknown. To shed light on this topic, we investigated: i) quantity and biochemical composition of POM released below annual sea ice in Terra Nova Bay (TNB, Ross Sea, Antarctica) through sediment traps deployed at 10-and 30-m depth; ii) the abundance and taxonomic composition of phytoplankton; iii) the abundance and biochemical composition of two zooplankton species, namely the pteropods Clione limacina antarctica and Limacina helicina antarctica. Overall, our results show that in late spring-early summer in TNB the melting of annual sea ice determines a rapid release of particles into the underlying water column, and that those particles are transported downward at the rate of hours to days. POM fluxes were dominated by lipids, which probably resulted from zooplankton grazing activity on sea-ice algae and faecal pellets that were released into the water column. This, after the initial injection of particles, which were likely associated with sinking sympagic microalgal biomass derived from the sea ice melting, enhanced the nutritional value of POM. POM released beneath the sea ice, in turn, had a possible effect on the biochemical composition of the two pteropod species. Our results confirm that melting of sea ice in spring-summer each year in Antarctic coastal waters represents a fundamental step in the transfer of energy towards the higher trophic levels. Evidence of a decline in Antarctic sea ice over the last five years, plausibly as a consequence of global warming, underlines a conspicuous decline in habitat availability for sea-ice algae and, as a consequence, a drop in the availability of food for pteropods and the higher trophic levels of the coastal Antarctic Ocean.</t>
  </si>
  <si>
    <t>[Cau, Alessandro; Ennas, Claudia; Moccia, Davide; Pusceddu, Antonio] Univ Cagliari, Dipartimento Sci Vita &amp; Ambiente, Unita Locale Ric CoNISMa, Cagliari, Italy; [Mangoni, Olga] Univ Napoli Federico II, Dipartimento Biol, Unita Locale Ric CoNISMa, Naples, Italy; [Bolinesi, Francesco; Saggiomo, Maria; Guglielmo, Letterio] Stn Zool Anton Dohrn, Naples, Italy; [Granata, Antonia] Univ Messina, Dipartimento Sci Chim Biol Farmaceut &amp; Ambientali, Unita Locale Ric CoNISMa, Messina, Italy; [Swadling, Kerrie M.] Univ Tasmania, Inst Marine &amp; Antarctic Studies, Hobart, Tas 7001, Australia</t>
  </si>
  <si>
    <t>University of Cagliari; University of Naples Federico II; Stazione Zoologica Anton Dohrn di Napoli; University of Messina; University of Tasmania</t>
  </si>
  <si>
    <t>Pusceddu, A (corresponding author), Univ Cagliari, Dipartimento Sci Vita &amp; Ambiente, Unita Locale Ric CoNISMa, Cagliari, Italy.</t>
  </si>
  <si>
    <t>alessandrocau@unica.it; c.ennas@unica.it; mocciadavide@unica.it; olga.mangoni@unina.it; francesco.bolinesi@unina.it; maria.saggiomo@szn.it; antonia.granata@unime.it; letterio.guglielmo@szn.it; k.swadling@utas.edu.au; apusceddu@unica.it</t>
  </si>
  <si>
    <t>Ennas, Claudia/GSE-1584-2022</t>
  </si>
  <si>
    <t>GRANATA, Antonia/0000-0001-7016-6418; Swadling, Kerrie/0000-0002-7620-841X; Moccia, Davide/0000-0001-7306-8573; Ennas, Claudia/0000-0002-8614-9951; Saggiomo, Maria/0000-0001-5794-0050</t>
  </si>
  <si>
    <t>Italian Antarctic Programme (PNRA) [2013/AZ1.06]</t>
  </si>
  <si>
    <t>Italian Antarctic Programme (PNRA)</t>
  </si>
  <si>
    <t>This study has been carried out in the framework of the project Coastal Ecosystem Functioning in a changing Antarctic ocean (CEFA; Project 2013/AZ1.06) , funded by the Italian Antarctic Programme (PNRA) .</t>
  </si>
  <si>
    <t>0924-7963</t>
  </si>
  <si>
    <t>1879-1573</t>
  </si>
  <si>
    <t>J MARINE SYST</t>
  </si>
  <si>
    <t>J. Mar. Syst.</t>
  </si>
  <si>
    <t>10.1016/j.jmarsys.2021.103510</t>
  </si>
  <si>
    <t>Geosciences, Multidisciplinary; Marine &amp; Freshwater Biology; Oceanography</t>
  </si>
  <si>
    <t>Geology; Marine &amp; Freshwater Biology; Oceanography</t>
  </si>
  <si>
    <t>QX4ZL</t>
  </si>
  <si>
    <t>WOS:000629356300002</t>
  </si>
  <si>
    <t>Aartsen, MG; Abbasi, R; Ackermann, M; Adams, J; Aguilar, JA; Ahlers, M; Ahrens, M; Alispach, C; Amin, NM; Andeen, K; Anderson, T; Ansseau, I; Anton, G; Argüelles, C; Auffenberg, J; Axani, S; Bagherpour, H; Bai, X; Balagopal, VA; Barbano, A; Barwick, SW; Bastian, B; Basu, V; Baum, V; Baur, S; Bay, R; Beatty, JJ; Becker, KH; Tjus, JB; Bellenghi, C; BenZvi, S; Berley, D; Bernardini, E; Besson, DZ; Binder, G; Bindig, D; Blaufuss, E; Blot, S; Bohm, C; Böser, S; Botner, O; Böttcher, J; Bourbeau, E; Bourbeau, J; Bradascio, F; Braun, J; Bron, S; Brostean-Kaiser, J; Burgman, A; Buscher, J; Busse, RS; Campana, MA; Carver, T; Chen, C; Cheung, E; Chirkin, D; Choi, S; Clark, BA; Clark, K; Classen, L; Coleman, A; Collin, GH; Conrad, JM; Coppin, P; Correa, P; Cowen, DF; Cross, R; Dave, P; De Clercq, C; DeLaunay, JJ; Dembinski, H; Deoskar, K; De Ridder, S; Desai, A; Desiati, P; de Vries, KD; de Wasseige, G; de With, M; DeYoung, T; Dharani, S; Diaz, A; Díaz-Vélez, JC; Dujmovic, H; Dunkman, M; DuVernois, MA; Dvorak, E; Ehrhardt, T; Eller, P; Engel, R; Evenson, PA; Fahey, S; Fazely, AR; Fedynitch, A; Felde, J; Fienberg, AT; Filimonov, K; Finley, C; Fischer, L; Fox, D; Franckowiak, A; Friedman, E; Fritz, A; Gaisser, TK; Gallagher, J; Ganster, E; Garrappa, S; Gerhardt, L; Ghadimi, A; Glauch, T; Glüsenkamp, T; Goldschmidt, A; Gonzalez, JG; Goswami, S; Grant, D; Grégoire, T; Griffith, Z; Griswold, S; Gündüz, M; Haack, C; Hallgren, A; Halliday, R; Halve, L; Halzen, F; Hanson, K; Hardin, J; Haungs, A; Hauser, S; Hebecker, D; Heix, P; Helbing, K; Hellauer, R; Henningsen, F; Hickford, S; Hignight, J; Hill, C; Hill, GC; Hoffman, KD; Hoffmann, R; Hoinka, T; Hokanson-Fasig, B; Hoshina, K; Huang, F; Huber, M; Huber, T; Hultqvist, K; Hünnefeld, M; Hussain, R; In, S; Iovine, N; Ishihara, A; Jansson, M; Japaridze, GS; Jeong, M; Jones, BJP; Jonske, F; Joppe, R; Kang, D; Kang, W; Kang, X; Kappes, A; Kappesser, D; Karg, T; Karl, M; Karle, A; Katz, U; Kauer, M; Kellermann, M; Kelley, JL; Kheirandish, A; Kim, J; Kin, K; Kintscher, T; Kiryluk, J; Kittler, T; Klein, SR; Koirala, R; Kolanoski, H; Köpke, L; Kopper, C; Kopper, S; Koskinen, DJ; Koundal, P; Kovacevich, M; Kowalski, M; Krings, K; Krückl, G; Kulacz, N; Kurahashi, N; Kyriacou, A; Gualda, CL; Lanfranchi, JL; Larson, MJ; Lauber, F; Lazar, JP; Leonard, K; Leszczynska, A; Li, Y; Liu, QR; Lohfink, E; Mariscal, CJL; Lu, L; Lucarelli, F; Ludwig, A; Lünemann, J; Luszczak, W; Lyu, Y; Ma, WY; Madsen, J; Maggi, G; Mahn, KBM; Makino, Y; Mallik, P; Mancina, S; Maris, IC; Maruyama, R; Mase, K; Maunu, R; McNally, F; Meagher, K; Medici, M; Medina, A; Meier, M; Meighen-Berger, S; Merz, J; Micallef, J; Mockler, D; Momenté, G; Montaruli, T; Moore, RW; Morse, R; Moulai, M; Muth, P; Naab, R; Nagai, R; Naumann, U; Necker, J; Neer, G; Nguyen, LV; Niederhausen, H; Nisa, MU; Nowicki, SC; Nygren, DR; Pollmann, AO; Oehler, M; Olivas, A; O'Sullivan, E; Pandya, H; Pankova, DV; Park, N; Parker, GK; Paudel, EN; Peiffer, P; de los Heros, CP; Philippen, S; Pieloth, D; Pieper, S; Pizzuto, A; Plum, M; Popovych, Y; Porcelli, A; Rodriguez, MP; Price, PB; Przybylski, GT; Raab, C; Raissi, A; Rameez, M; Rauch, L; Rawlins, K; Rea, IC; Rehman, A; Reimann, R; Relich, M; Renschler, M; Renzi, G; Resconi, E; Reusch, S; Rhode, W; Richman, M; Riedel, B; Robertson, S; Roellinghoff, G; Rongen, M; Rott, C; Ruhe, T; Ryckbosch, D; Cantu, DR; Safa, I; Herrera, SES; Sandrock, A; Sandroos, J; Santander, M; Sarkar, S; Sarkar, S; Satalecka, K; Scharf, M; Schaufel, M; Schieler, H; Schlunder, P; Schmidt, T; Schneider, A; Schneider, J; Schröder, FG; Schumacher, L; Sclafani, S; Seckel, D; Seunarine, S; Shefali, S; Silva, M; Smithers, B; Snihur, R; Soedingrekso, J; Soldin, D; Song, M; Spiczak, GM; Spiering, C; Stachurska, J; Stamatikos, M; Stanev, T; Stein, R; Stettner, J; Steuer, A; Stezelberger, T; Stokstad, RG; Strotjohann, NL; Stürwald, T; Stuttard, T; Sullivan, GW; Taboada, I; Tenholt, F; Ter-Antonyan, S; Terliuk, A; Tilav, S; Tollefson, K; Tomankova, L; Tönnis, C; Toscano, S; Tosi, D; Trettin, A; Tselengidou, M; Tung, CF; Turcati, A; Turcotte, R; Turley, CF; Twagirayezu, JP; Ty, B; Unger, E; Elorrieta, MAU; Vandenbroucke, J; van Eijk, D; van Eijndhoven, N; Vannerom, D; van Santen, J; Verpoest, S; Vraeghe, M; Walck, C; Wallace, A; Wandkowsky, N; Watson, TB; Weaver, C; Weindl, A; Weiss, MJ; Weldert, J; Wendt, C; Werthebach, J; Whelan, BJ; Whitehorn, N; Wiebe, K; Wiebusch, CH; Williams, DR; Wolf, M; Wood, TR; Woschnagg, K; Wrede, G; Wulff, J; Xu, XW; Xu, Y; Yanez, JP; Yoshida, S; Yuan, T; Zhang, Z; Zöcklein, M</t>
  </si>
  <si>
    <t>Aartsen, M. G.; Abbasi, R.; Ackermann, M.; Adams, J.; Aguilar, J. A.; Ahlers, M.; Ahrens, M.; Alispach, C.; Amin, N. M.; Andeen, K.; Anderson, T.; Ansseau, I.; Anton, G.; Arguelles, C.; Auffenberg, J.; Axani, S.; Bagherpour, H.; Bai, X.; Balagopal, A. V.; Barbano, A.; Barwick, S. W.; Bastian, B.; Basu, V.; Baum, V.; Baur, S.; Bay, R.; Beatty, J. J.; Becker, K. -H.; Tjus, J. Becker; Bellenghi, C.; BenZvi, S.; Berley, D.; Bernardini, E.; Besson, D. Z.; Binder, G.; Bindig, D.; Blaufuss, E.; Blot, S.; Bohm, C.; Boeser, S.; Botner, O.; Boettcher, J.; Bourbeau, E.; Bourbeau, J.; Bradascio, F.; Braun, J.; Bron, S.; Brostean-Kaiser, J.; Burgman, A.; Buscher, J.; Busse, R. S.; Campana, M. A.; Carver, T.; Chen, C.; Cheung, E.; Chirkin, D.; Choi, S.; Clark, B. A.; Clark, K.; Classen, L.; Coleman, A.; Collin, G. H.; Conrad, J. M.; Coppin, P.; Correa, P.; Cowen, D. F.; Cross, R.; Dave, P.; De Clercq, C.; DeLaunay, J. J.; Dembinski, H.; Deoskar, K.; De Ridder, S.; Desai, A.; Desiati, P.; de Vries, K. D.; de Wasseige, G.; de With, M.; DeYoung, T.; Dharani, S.; Diaz, A.; Diaz-Velez, J. C.; Dujmovic, H.; Dunkman, M.; DuVernois, M. A.; Dvorak, E.; Ehrhardt, T.; Eller, P.; Engel, R.; Evenson, P. A.; Fahey, S.; Fazely, A. R.; Fedynitch, A.; Felde, J.; Fienberg, A. T.; Filimonov, K.; Finley, C.; Fischer, L.; Fox, D.; Franckowiak, A.; Friedman, E.; Fritz, A.; Gaisser, T. K.; Gallagher, J.; Ganster, E.; Garrappa, S.; Gerhardt, L.; Ghadimi, A.; Glauch, T.; Gluesenkamp, T.; Goldschmidt, A.; Gonzalez, J. G.; Goswami, S.; Grant, D.; Gregoire, T.; Griffith, Z.; Griswold, S.; Guenduez, M.; Haack, C.; Hallgren, A.; Halliday, R.; Halve, L.; Halzen, F.; Hanson, K.; Hardin, J.; Haungs, A.; Hauser, S.; Hebecker, D.; Heix, P.; Helbing, K.; Hellauer, R.; Henningsen, F.; Hickford, S.; Hignight, J.; Hill, C.; Hill, G. C.; Hoffman, K. D.; Hoffmann, R.; Hoinka, T.; Hokanson-Fasig, B.; Hoshina, K.; Huang, F.; Huber, M.; Huber, T.; Hultqvist, K.; Huennefeld, M.; Hussain, R.; In, S.; Iovine, N.; Ishihara, A.; Jansson, M.; Japaridze, G. S.; Jeong, M.; Jones, B. J. P.; Jonske, F.; Joppe, R.; Kang, D.; Kang, W.; Kang, X.; Kappes, A.; Kappesser, D.; Karg, T.; Karl, M.; Karle, A.; Katz, U.; Kauer, M.; Kellermann, M.; Kelley, J. L.; Kheirandish, A.; Kim, J.; Kin, K.; Kintscher, T.; Kiryluk, J.; Kittler, T.; Klein, S. R.; Koirala, R.; Kolanoski, H.; Koepke, L.; Kopper, C.; Kopper, S.; Koskinen, D. J.; Koundal, P.; Kovacevich, M.; Kowalski, M.; Krings, K.; Krueckl, G.; Kulacz, N.; Kurahashi, N.; Kyriacou, A.; Gualda, C. Lagunas; Lanfranchi, J. L.; Larson, M. J.; Lauber, F.; Lazar, J. P.; Leonard, K.; Leszczynska, A.; Li, Y.; Liu, Q. R.; Lohfink, E.; Mariscal, C. J. Lozano; Lu, L.; Lucarelli, F.; Ludwig, A.; Luenemann, J.; Luszczak, W.; Lyu, Y.; Ma, W. Y.; Madsen, J.; Maggi, G.; Mahn, K. B. M.; Makino, Y.; Mallik, P.; Mancina, S.; Maris, I. C.; Maruyama, R.; Mase, K.; Maunu, R.; McNally, F.; Meagher, K.; Medici, M.; Medina, A.; Meier, M.; Meighen-Berger, S.; Merz, J.; Micallef, J.; Mockler, D.; Momente, G.; Montaruli, T.; Moore, R. W.; Morse, R.; Moulai, M.; Muth, P.; Naab, R.; Nagai, R.; Naumann, U.; Necker, J.; Neer, G.; Nguyen, L. V.; Niederhausen, H.; Nisa, M. U.; Nowicki, S. C.; Nygren, D. R.; Pollmann, A. Obertacke; Oehler, M.; Olivas, A.; O'Sullivan, E.; Pandya, H.; Pankova, D. V.; Park, N.; Parker, G. K.; Paudel, E. N.; Peiffer, P.; de Los Heros, C. Perez; Philippen, S.; Pieloth, D.; Pieper, S.; Pizzuto, A.; Plum, M.; Popovych, Y.; Porcelli, A.; Rodriguez, M. Prado; Price, P. B.; Przybylski, G. T.; Raab, C.; Raissi, A.; Rameez, M.; Rauch, L.; Rawlins, K.; Rea, I. C.; Rehman, A.; Reimann, R.; Relich, M.; Renschler, M.; Renzi, G.; Resconi, E.; Reusch, S.; Rhode, W.; Richman, M.; Riedel, B.; Robertson, S.; Roellinghoff, G.; Rongen, M.; Rott, C.; Ruhe, T.; Ryckbosch, D.; Cantu, D. Rysewyk; Safa, I.; Herrera, S. E. Sanchez; Sandrock, A.; Sandroos, J.; Santander, M.; Sarkar, S.; Sarkar, S.; Satalecka, K.; Scharf, M.; Schaufel, M.; Schieler, H.; Schlunder, P.; Schmidt, T.; Schneider, A.; Schneider, J.; Schroeder, F. G.; Schumacher, L.; Sclafani, S.; Seckel, D.; Seunarine, S.; Shefali, S.; Silva, M.; Smithers, B.; Snihur, R.; Soedingrekso, J.; Soldin, D.; Song, M.; Spiczak, G. M.; Spiering, C.; Stachurska, J.; Stamatikos, M.; Stanev, T.; Stein, R.; Stettner, J.; Steuer, A.; Stezelberger, T.; Stokstad, R. G.; Strotjohann, N. L.; Stuerwald, T.; Stuttard, T.; Sullivan, G. W.; Taboada, I.; Tenholt, F.; Ter-Antonyan, S.; Terliuk, A.; Tilav, S.; Tollefson, K.; Tomankova, L.; Toennis, C.; Toscano, S.; Tosi, D.; Trettin, A.; Tselengidou, M.; Tung, C. F.; Turcati, A.; Turcotte, R.; Turley, C. F.; Twagirayezu, J. P.; Ty, B.; Unger, E.; Elorrieta, M. A. Unland; Vandenbroucke, J.; van Eijk, D.; van Eijndhoven, N.; Vannerom, D.; van Santen, J.; Verpoest, S.; Vraeghe, M.; Walck, C.; Wallace, A.; Wandkowsky, N.; Watson, T. B.; Weaver, C.; Weindl, A.; Weiss, M. J.; Weldert, J.; Wendt, C.; Werthebach, J.; Whelan, B. J.; Whitehorn, N.; Wiebe, K.; Wiebusch, C. H.; Williams, D. R.; Wolf, M.; Wood, T. R.; Woschnagg, K.; Wrede, G.; Wulff, J.; Xu, X. W.; Xu, Y.; Yanez, J. P.; Yoshida, S.; Yuan, T.; Zhang, Z.; Zoecklein, M.</t>
  </si>
  <si>
    <t>IceCube Collaboration</t>
  </si>
  <si>
    <t>Detection of a particle shower at the Glashow resonance with IceCube</t>
  </si>
  <si>
    <t>COSMIC-RAYS; NEUTRINOS</t>
  </si>
  <si>
    <t>The Glashow resonance describes the resonant formation of a W- boson during the interaction of a high-energy electron antineutrino with an electron(1), peaking at an antineutrino energy of 6.3 petaelectronvolts (PeV) in the rest frame of the electron. Whereas this energy scale is out of reach for currently operating and future planned particle accelerators, natural astrophysical phenomena are expected to produce antineutrinos with energies beyond the PeV scale. Here we report the detection by the IceCube neutrino observatory of a cascade of high-energy particles (a particle shower) consistent with being created at the Glashow resonance. A shower with an energy of 6.05 +/- 0.72 PeV (determined from Cherenkov radiation in the Antarctic Ice Sheet) was measured. Features consistent with the production of secondary muons in the particle shower indicate the hadronic decay of a resonant W- boson, confirm that the source is astrophysical and provide improved directional localization. The evidence of the Glashow resonance suggests the presence of electron antineutrinos in the astrophysical flux, while also providing further validation of the standard model of particle physics. Its unique signature indicates a method of distinguishing neutrinos from antineutrinos, thus providing a way to identify astronomical accelerators that produce neutrinos via hadronuclear or photohadronic interactions, with or without strong magnetic fields. As such, knowledge of both the flavour (that is, electron, muon or tau neutrinos) and charge (neutrino or antineutrino) will facilitate the advancement of neutrino astronomy.</t>
  </si>
  <si>
    <t>[Aartsen, M. G.; Adams, J.; Bagherpour, H.; Raissi, A.] Univ Canterbury, Dept Phys &amp; Astron, Christchurch, New Zealand; [Abbasi, R.] Loyola Univ, Dept Phys, Chicago, IL 60611 USA; [Ackermann, M.; Bastian, B.; Bernardini, E.; Blot, S.; Bradascio, F.; Brostean-Kaiser, J.; Fedynitch, A.; Fischer, L.; Franckowiak, A.; Garrappa, S.; Karg, T.; Kintscher, T.; Kowalski, M.; Gualda, C. Lagunas; Ma, W. Y.; Naab, R.; Necker, J.; Rauch, L.; Reusch, S.; Satalecka, K.; Spiering, C.; Stachurska, J.; Stein, R.; Strotjohann, N. L.; Terliuk, A.; Trettin, A.; van Santen, J.] DESY, Zeuthen, Germany; [Aguilar, J. A.; Ansseau, I.; Baur, S.; Iovine, N.; Maris, I. C.; Mockler, D.; Raab, C.; Renzi, G.; Toscano, S.] Univ Libre Bruxelles, Sci Fac, Brussels, Belgium; [Ahlers, M.; Bourbeau, E.; Koskinen, D. J.; Rameez, M.; Stuttard, T.] Univ Copenhagen, Niels Bohr Inst, Copenhagen, Denmark; [Ahrens, M.; Bohm, C.; Deoskar, K.; Finley, C.; Hultqvist, K.; Jansson, M.; Medici, M.] Stockholm Univ, Oskar Klein Ctr, Stockholm, Sweden; [Ahrens, M.; Bohm, C.; Deoskar, K.; Finley, C.; Hultqvist, K.; Jansson, M.; Medici, M.] Stockholm Univ, Dept Phys, Stockholm, Sweden; [Alispach, C.; Barbano, A.; Bron, S.; Carver, T.; Lu, L.] Univ Geneva, Dept Phys Nucl &amp; Corpusculaire, Geneva, Switzerland; [Amin, N. M.; Coleman, A.; Dembinski, H.; Evenson, P. A.; Gaisser, T. K.; Gonzalez, J. G.; Koirala, R.; Pandya, H.; Paudel, E. N.; Rehman, A.; Schroeder, F. G.; Seckel, D.; Soldin, D.; Stanev, T.; Tilav, S.; Walck, C.] Univ Delaware, Bartol Res Inst, Newark, DE 19716 USA; [Amin, N. M.; Coleman, A.; Dembinski, H.; Evenson, P. A.; Gaisser, T. K.; Gonzalez, J. G.; Koirala, R.; Pandya, H.; Paudel, E. N.; Rehman, A.; Schroeder, F. G.; Seckel, D.; Soldin, D.; Stanev, T.; Tilav, S.; Walck, C.] Univ Delaware, Dept Phys &amp; Astron, Newark, DE 19716 USA; [Andeen, K.; Montaruli, T.; Plum, M.] Marquette Univ, Dept Phys, Milwaukee, WI 53233 USA; [Anderson, T.; Chirkin, D.; Cowen, D. F.; DeLaunay, J. J.; Dunkman, M.; Eller, P.; Fienberg, A. T.; Gregoire, T.; Huang, F.; Hussain, R.; Kheirandish, A.; Lanfranchi, J. L.; Lazar, J. P.; Leonard, K.; Li, Y.; Liu, Q. R.; Pankova, D. V.; Turley, C. F.; Weiss, M. J.] Penn State Univ, Dept Phys, 104 Davey Lab, University Pk, PA 16802 USA; [Anton, G.; Gluesenkamp, T.; Katz, U.; Kittler, T.; Schneider, J.; Tselengidou, M.; Wrede, G.] Friedrich Alexander Univ Erlangen Nurnberg, Erlangen Ctr Astroparticle Phys, Erlangen, Germany; [Arguelles, C.; Lazar, J. P.; Safa, I.] Harvard Univ, Dept Phys, Cambridge, MA 02138 USA; [Arguelles, C.; Lazar, J. P.; Safa, I.] Harvard Univ, Lab Particle Phys &amp; Cosmol, Cambridge, MA 02138 USA; [Auffenberg, J.; Boettcher, J.; Buscher, J.; Dharani, S.; Ganster, E.; Haack, C.; Halve, L.; Hauser, S.; Heix, P.; Jonske, F.; Joppe, R.; Kellermann, M.; Mallik, P.; Merz, J.; Muth, P.; Philippen, S.; Popovych, Y.; Reimann, R.; Rongen, M.; Scharf, M.; Schaufel, M.; Schumacher, L.; Shefali, S.; Stettner, J.; Stuerwald, T.; Wiebusch, C. H.; Zoecklein, M.] Rhein Westfal TH Aachen, Phys Inst 3, Aachen, Germany; [Axani, S.; Collin, G. H.; Conrad, J. M.; Diaz, A.; Moulai, M.; Vannerom, D.] MIT, Dept Phys, Cambridge, MA 02139 USA; [Bai, X.; Dvorak, E.] South Dakota Sch Mines &amp; Technol, Dept Phys, Rapid City, SD USA; [Balagopal, A. V.; Dujmovic, H.; Engel, R.; Haungs, A.; Huber, T.; Kang, D.; Koundal, P.; Leszczynska, A.; Oehler, M.; Renschler, M.; Schieler, H.; Schroeder, F. G.; Turcotte, R.; Weindl, A.; Yuan, T.] Karlsruhe Inst Technol, Inst Astroparticle Phys, Karlsruhe, Germany; [Barwick, S. W.] Univ Calif Irvine, Dept Phys &amp; Astron, Irvine, CA USA; [Basu, V.; Bourbeau, J.; Braun, J.; Desai, A.; Desiati, P.; Diaz-Velez, J. C.; DuVernois, M. A.; Fahey, S.; Griffith, Z.; Hanson, K.; Hardin, J.; Hoshina, K.; Karle, A.; Kauer, M.; Kelley, J. L.; Koepke, L.; Luszczak, W.; Madsen, J.; Makino, Y.; Mancina, S.; Meagher, K.; Morse, R.; Park, N.; Pizzuto, A.; Rodriguez, M. Prado; Riedel, B.; Safa, I.; Schneider, A.; Silva, M.; Snihur, R.; Tosi, D.; Ty, B.; Vandenbroucke, J.; van Eijk, D.; Wandkowsky, N.; Wendt, C.] Univ Wisconsin, Dept Phys, 1150 Univ Ave, Madison, WI 53706 USA; [Basu, V.; Bourbeau, J.; Braun, J.; Desai, A.; Desiati, P.; Diaz-Velez, J. C.; DuVernois, M. A.; Fahey, S.; Griffith, Z.; Hanson, K.; Hardin, J.; Hoshina, K.; Karle, A.; Kauer, M.; Kelley, J. L.; Koepke, L.; Luszczak, W.; Madsen, J.; Makino, Y.; Mancina, S.; Meagher, K.; Morse, R.; Park, N.; Pizzuto, A.; Rodriguez, M. Prado; Riedel, B.; Safa, I.; Schneider, A.; Silva, M.; Snihur, R.; Tosi, D.; Ty, B.; Vandenbroucke, J.; van Eijk, D.; Wandkowsky, N.; Wendt, C.] Univ Wisconsin, Wisconsin IceCube Particle Astrophys Ctr, Madison, WI USA; [Baum, V.; Boeser, S.; Ehrhardt, T.; Fritz, A.; Halzen, F.; Hokanson-Fasig, B.; Kappesser, D.; Krueckl, G.; Lohfink, E.; Momente, G.; Peiffer, P.; Sandroos, J.; Steuer, A.; Weldert, J.; Wiebe, K.] Johannes Gutenberg Univ Mainz, Inst Phys, Mainz, Germany; [Bay, R.; Binder, G.; Filimonov, K.; Klein, S. R.; Lyu, Y.; Price, P. B.; Robertson, S.; Woschnagg, K.] Univ Calif Berkeley, Dept Phys, Berkeley, CA 94720 USA; [Beatty, J. J.] Ohio State Univ, Dept Astron, 174 W 18Th Ave, Columbus, OH 43210 USA; [Beatty, J. J.; Medina, A.; Stamatikos, M.] Ohio State Univ, Dept Phys, 174 W 18th Ave, Columbus, OH 43210 USA; [Beatty, J. J.; Medina, A.; Stamatikos, M.] Ohio State Univ, Ctr Cosmol &amp; AstroParticle Phys, Columbus, OH 43210 USA; [Becker, K. -H.; Bindig, D.; Helbing, K.; Hickford, S.; Hoffmann, R.; Lauber, F.; Naumann, U.; Pollmann, A. Obertacke; Pieper, S.] Univ Wuppertal, Dept Phys, Wuppertal, Germany; [Tjus, J. Becker; Guenduez, M.; Tenholt, F.; Tomankova, L.; Wulff, J.] Ruhr Univ Bochum, Fak Phys &amp; Astron, Bochum, Germany; [Bellenghi, C.; Glauch, T.; Henningsen, F.; Huber, M.; Karl, M.; Krings, K.; Meighen-Berger, S.; Niederhausen, H.; Resconi, E.; Turcati, A.; Wolf, M.] Tech Univ Munich, Phys Dept, Garching, Germany; [BenZvi, S.; Cross, R.; Griswold, S.; Rea, I. C.] Univ Rochester, Dept Phys &amp; Astron, Rochester, NY 14627 USA; [Berley, D.; Blaufuss, E.; Cheung, E.; Felde, J.; Friedman, E.; Hellauer, R.; Hoffman, K. D.; Larson, M. J.; Maunu, R.; Olivas, A.; Schmidt, T.; Song, M.; Sullivan, G. W.] Univ Maryland, Dept Phys, College Pk, MD 20742 USA; [Bernardini, E.] Univ Padua, Padua, Italy; [Besson, D. Z.] Univ Kansas, Dept Phys &amp; Astron, Lawrence, KS 66045 USA; [Besson, D. Z.; Clark, K.; Spiering, C.] Natl Res Nucl Univ, Moscow Engn Phys Inst MEPhI, Moscow, Russia; [Binder, G.; Gerhardt, L.; Goldschmidt, A.; Klein, S. R.; Lyu, Y.; Nygren, D. R.; Przybylski, G. T.; Robertson, S.; Stezelberger, T.; Stokstad, R. G.] Lawrence Berkeley Natl Lab, Berkeley, CA USA; [Botner, O.; Burgman, A.; Hallgren, A.; O'Sullivan, E.; de Los Heros, C. Perez; Unger, E.] Uppsala Univ, Dept Phys &amp; Astron, Uppsala, Sweden; [Busse, R. S.; Classen, L.; Kappes, A.; Mariscal, C. J. Lozano; Elorrieta, M. A. Unland] Westfal Wilhelms Univ Munster, Inst Kernphys, Munster, Germany; [Campana, M. A.; Kang, X.; Kovacevich, M.; Kurahashi, N.; Richman, M.; Sclafani, S.] Drexel Univ, Dept Phys, Philadelphia, PA 19104 USA; [Chen, C.; Taboada, I.; Tung, C. F.] Georgia Inst Technol, Sch Phys, Atlanta, GA 30332 USA; [Chen, C.; Taboada, I.; Tung, C. F.] Georgia Inst Technol, Ctr Relativist Astrophys, Atlanta, GA 30332 USA; [Choi, S.; Dave, P.; In, S.; Jeong, M.; Kang, W.; Kim, J.; Roellinghoff, G.; Rott, C.] Sungkyunkwan Univ, Dept Phys, Suwon, South Korea; [Clark, B. A.; Grant, D.; Halliday, R.; Kopper, C.; Mahn, K. B. M.; Micallef, J.; Neer, G.; Nguyen, L. V.; Cantu, D. Rysewyk; Herrera, S. E. Sanchez; Tollefson, K.; Twagirayezu, J. P.; Whitehorn, N.] Michigan State Univ, Dept Phys &amp; Astron, E Lansing, MI 48824 USA; SNOLAB, Lively, ON, Canada; [Coppin, P.; Correa, P.; De Clercq, C.; de Vries, K. D.; de Wasseige, G.; DeYoung, T.; Luenemann, J.; Maggi, G.; Nisa, M. U.; Nowicki, S. C.; van Eijndhoven, N.] Vrije Univ Brussel VUB, Dienst ELEM, Brussels, Belgium; [Cowen, D. F.; Fox, D.; Ishihara, A.] Penn State Univ, Dept Astron &amp; Astrophys, 525 Davey Lab, University Pk, PA 16802 USA; [De Ridder, S.; Porcelli, A.; Ryckbosch, D.; Verpoest, S.; Vraeghe, M.] Univ Ghent, Dept Phys &amp; Astron, Ghent, Belgium; [de With, M.; Hebecker, D.; Kolanoski, H.; Kowalski, M.] Humboldt Univ, Inst Phys, Berlin, Germany; [Fazely, A. R.; Ter-Antonyan, S.; Xu, X. W.] Southern Univ, Dept Phys, Baton Rouge, LA USA; [Fedynitch, A.] Univ Tokyo, Inst Cosm Ray Res, Kashiwa, Chiba, Japan; [Gallagher, J.] Univ Wisconsin, Dept Astron, Madison, WI 53706 USA; [Ghadimi, A.; Goswami, S.; Kopper, S.; Santander, M.; Williams, D. R.] Univ Alabama, Dept Phys &amp; Astron, Tuscaloosa, AL 35487 USA; [Hignight, J.; Kulacz, N.; Moore, R. W.; Sarkar, S.; Weaver, C.; Wood, T. R.; Yanez, J. P.] Univ Alberta, Dept Phys, Edmonton, AB, Canada; [Hill, C.; Kin, K.; Mase, K.; Meier, M.; Nagai, R.; Relich, M.; Yoshida, S.] Chiba Univ, Dept Phys, Chiba, Japan; [Hill, C.; Kin, K.; Mase, K.; Meier, M.; Nagai, R.; Relich, M.; Yoshida, S.] Chiba Univ, Inst Global Prominent Res, Chiba, Japan; [Hill, G. C.; Kyriacou, A.; Wallace, A.; Whelan, B. J.] Univ Adelaide, Dept Phys, Adelaide, SA, Australia; [Hoinka, T.; Huennefeld, M.; Pieloth, D.; Rhode, W.; Ruhe, T.; Sandrock, A.; Schlunder, P.; Soedingrekso, J.; Werthebach, J.] TU Dortmund Univ, Dept Phys, Dortmund, Germany; [Hoshina, K.] Univ Tokyo, Earthquake Res Inst, Tokyo, Japan; [Japaridze, G. S.] Clark Atlanta Univ, CTSPS, Atlanta, GA 30314 USA; [Jones, B. J. P.; Parker, G. K.; Smithers, B.; Watson, T. B.] Univ Texas Arlington, Dept Phys, POB 19059, Arlington, TX 76019 USA; [Kiryluk, J.; Xu, Y.; Zhang, Z.] SUNY Stony Brook, Dept Phys &amp; Astron, Stony Brook, NY 11794 USA; [Lucarelli, F.; Ludwig, A.; Whitehorn, N.] Univ Calif Los Angeles, Dept Phys &amp; Astron, Los Angeles, CA USA; [Maruyama, R.] Yale Univ, Dept Phys, New Haven, CT USA; [McNally, F.] Mercer Univ, Dept Phys, Macon, GA 31207 USA; [Rawlins, K.] Univ Alaska Anchorage, Dept Phys &amp; Astron, Anchorage, AK USA; [Sarkar, S.] Univ Oxford, Dept Phys, Oxford, England; [Seunarine, S.; Spiczak, G. M.] Univ Wisconsin, Dept Phys, River Falls, WI 54022 USA; [Toennis, C.] Sungkyunkwan Univ, Inst Basic Sci, Suwon, South Korea</t>
  </si>
  <si>
    <t>University of Canterbury; Loyola University Chicago; Helmholtz Association; Deutsches Elektronen-Synchrotron (DESY); Universite Libre de Bruxelles; University of Copenhagen; Niels Bohr Institute; Oskar Klein Centre; Stockholm University; Stockholm University; University of Geneva; University of Delaware; University of Delaware; Marquette University; Pennsylvania Commonwealth System of Higher Education (PCSHE); Pennsylvania State University; Pennsylvania State University - University Park; University of Erlangen Nuremberg; Harvard University; Harvard University; RWTH Aachen University; Massachusetts Institute of Technology (MIT); South Dakota School Mines &amp; Technology; Helmholtz Association; Karlsruhe Institute of Technology; University of California System; University of California Irvine; University of Wisconsin System; University of Wisconsin Madison; University of Wisconsin System; University of Wisconsin Madison; Johannes Gutenberg University of Mainz; University of California System; University of California Berkeley; University System of Ohio; Ohio State University; University System of Ohio; Ohio State University; University System of Ohio; Ohio State University; University of Wuppertal; University of Wurzburg; Ruhr University Bochum; Technical University of Munich; University of Rochester; University System of Maryland; University of Maryland College Park; University of Padua; University of Kansas; National Research Nuclear University MEPhI (Moscow Engineering Physics Institute); United States Department of Energy (DOE); Lawrence Berkeley National Laboratory; Uppsala University; University of Munster; Drexel University; University System of Georgia; Georgia Institute of Technology; University System of Georgia; Georgia Institute of Technology; Sungkyunkwan University (SKKU); Michigan State University; Vrije Universiteit Brussel; Pennsylvania Commonwealth System of Higher Education (PCSHE); Pennsylvania State University; Pennsylvania State University - University Park; Ghent University; Humboldt University of Berlin; Southern University System; Southern University &amp; A&amp;M College; University of Tokyo; University of Wisconsin System; University of Wisconsin Madison; University of Alabama System; University of Alabama Tuscaloosa; University of Alberta; Chiba University; Chiba University; University of Adelaide; Dortmund University of Technology; University of Tokyo; Clark Atlanta University; University of Texas System; University of Texas Arlington; State University of New York (SUNY) System; State University of New York (SUNY) Stony Brook; University of California System; University of California Los Angeles; Yale University; Mercer University; University of Alaska System; University of Alaska Anchorage; University of Oxford; University of Wisconsin System; Sungkyunkwan University (SKKU); Institute for Basic Science - Korea (IBS)</t>
  </si>
  <si>
    <t>Halzen, F (corresponding author), Johannes Gutenberg Univ Mainz, Inst Phys, Mainz, Germany.</t>
  </si>
  <si>
    <t>analysis@icecube.wisc.edu</t>
  </si>
  <si>
    <t>Dharani, Sonal/AAY-7457-2021; Sarkar, Subir/G-5978-2011; Huber, Thomas/A-5278-2008; Williams, David/HKN-3732-2023; LU, LU/JEZ-4760-2023; Kowalski, Marek P/G-5546-2012; xu, ye/JYO-6282-2024; Maruyama, Reina H/A-1064-2013; Sánchez, Juan Antonio Aguilar/H-4467-2015; xu, ye/GQO-8972-2022; Schroeder, Frank G./IRH-9416-2023; Fedynitch, Anatoli/AAQ-9927-2021; Tjus, Julia/G-8145-2012; Rott, Carsten/ABB-1304-2021; Sandrock, Alexander/AAT-1285-2020; lu, lu/HII-7530-2022; Díaz Vélez, Juan Carlos/AAD-5211-2022; Ma, Wing Yan/HLW-7686-2023; sanchez, juan/GSD-8167-2022; Kauer, Matt/AAY-7581-2020; Haungs, Andreas/JXW-9490-2024; Rea, Immacolata Carmen/AAV-4830-2021; Sarkar, Subir/GPT-4902-2022; Whitehorn, Nathan/HDM-8864-2022; Huang, Feifei/AAX-2156-2020; Koskinen, David/G-3236-2014; Strotjohann, Nora Linn/GPX-7122-2022; Resconi, Elisa/I-3874-2016; Schneider, Austin/JGC-9796-2023; Anton, Gisela/C-4840-2013; Beatty, James/D-9310-2011; lu, lu/HGA-0894-2022; Ahlers, Markus/V-8757-2017</t>
  </si>
  <si>
    <t>Sarkar, Subir/0000-0002-3542-858X; Maruyama, Reina H/0000-0003-2794-512X; Schroeder, Frank G./0000-0001-8495-7210; Fedynitch, Anatoli/0000-0003-2837-3477; Tjus, Julia/0000-0002-1748-7367; Rott, Carsten/0000-0002-6958-6033; Sandrock, Alexander/0000-0002-6779-1172; Díaz Vélez, Juan Carlos/0000-0002-0087-0693; Ma, Wing Yan/0000-0003-1251-5493; Kauer, Matt/0000-0003-1830-9076; Haungs, Andreas/0000-0002-9638-7574; Rea, Immacolata Carmen/0000-0002-3954-7754; Whitehorn, Nathan/0000-0002-3157-0407; Huang, Feifei/0000-0002-6014-5928; Resconi, Elisa/0000-0003-0705-2770; Anton, Gisela/0000-0003-2039-4724; Beatty, James/0000-0003-0481-4952; Blot, Summer/0000-0003-1089-3001; /0000-0001-7909-5812; Eller, Philipp/0000-0001-6354-5209; Ahlers, Markus/0000-0003-0709-5631; KOUNDAL, PARAS/0000-0002-5917-5230; Deoskar, Kunal/0000-0002-1668-2347; Franckowiak, Anna/0000-0002-5605-2219; Stachurska, Juliana/0000-0002-0238-5608; Sarkar, Sourav/0000-0002-1206-4330; Yoshida, Shigeru/0000-0003-2480-5105; Pizzuto, Alex/0000-0002-8466-8168; Sclafani, Stephen/0000-0001-9446-1219; Leonard DeHolton, Kayla/0000-0002-8795-0601; Unland Elorrieta, Martin Antonio/0000-0002-6124-3255; Bottcher, Jakob/0000-0002-3387-4236; Haack, Christian/0000-0003-3932-2448; BenZvi, Segev/0000-0001-5537-4710; Mancina, Sarah/0009-0003-9879-3896; Moore, Roger/0000-0003-4160-4700; KIN, Ken'ichi/0000-0002-7836-0466; Ganster, Erik/0000-0003-4393-6944; Schneider, Austin/0000-0002-0895-3477; Choi, Suyong/0000-0001-6225-9876; Reimann, Rene/0000-0002-1983-8271; Montaruli, Teresa/0000-0001-5014-2152; Lu, Lu/0000-0003-3175-7770; Taboada, Ignacio/0000-0003-3509-3457; Goswami, Srubabati/0000-0002-5614-4092; Santander, Juan Marcos/0000-0001-7297-8217; Fox, Derek/0000-0002-3714-672X; Kang, Woosik/0000-0003-3980-3778; Nisa, Mehr Un/0000-0002-6859-3944; Kelley, John/0000-0002-0846-4542; Bernardini, Elisa/0000-0003-3108-1141; Huennefeld, Mirco/0000-0002-2827-6522; LIU, QINRUI/0000-0003-3379-6423; Rehman, Abdul/0000-0001-7616-5790; Schumacher, Lisa Johanna/0000-0001-8945-6722; Bron, Stephanie/0000-0002-6305-3041; Campana, Michael/0000-0003-4162-5739; Stuttard, Thomas/0000-0001-7944-279X; Niederhausen, Hans/0000-0002-9566-4904; Rhode, Wolfgang/0000-0003-2636-5000</t>
  </si>
  <si>
    <t>USA-the US National Science Foundation-Office of Polar Programs; USA-US National Science Foundation Physics Division; USA-Wisconsin Alumni Research Foundation; USA-Center for High Throughput Computing (CHTC) at the University of Wisconsin-Madison; USA-Open Science Grid (OSG); USA-Extreme Science and Engineering Discovery Environment (XSEDE); USA-Frontera computing project at the Texas Advanced Computing Center; USA-US Department of Energy-National Energy Research Scientific Computing Center; USA-Particle Astrophysics Research Computing Center at the University of Maryland; USA-Institute for Cyber-Enabled Research at Michigan State University; USA-Astroparticle Physics Computational Facility at Marquette University; Belgium-the Funds for Scientific Research (FRS-FNRS); Belgium-the Funds for Scientific Research (FWO); Belgium-FWO Odysseus programme; Belgium-FWO Big Science programme; Belgium-Belgian Federal Science Policy Office (Belspo); Germany-the Bundesministerium fur Bildung und Forschung (BMBF); Germany-Deutsche Forschungsgemeinschaft (DFG); Germany-Helmholtz Alliance for Astroparticle Physics (HAP); Germany-Initiative and Networking Fund of the Helmholtz Association; Germany-Deutsches Elektronen Synchrotron (DESY); Germany-High Performance Computing Cluster of RWTH Aachen; Sweden-the Swedish Research Council; Sweden-Swedish Polar Research Secretariat; Sweden-Swedish National Infrastructure for Computing (SNIC); Sweden-Knut and Alice Wallenberg Foundation; Australia-the Australian Research Council; Canada-the Natural Sciences and Engineering Research Council of Canada; Canada-Calcul Quebec; Canada-Compute Ontario; Canada-Canada Foundation for Innovation; Canada-WestGrid; Canada-Compute Canada; Denmark-the Villum Fonden; Denmark-Danish National Research Foundation (DNRF); Denmark-Carlsberg Foundation; New Zealand-the Marsden Fund; Japan-the Japan Society for Promotion of Science (JSPS); Japan-Institute for Global Prominent Research (IGPR) of Chiba University; Korea-the National Research Foundation of Korea (NRF); Switzerland-the Swiss National Science Foundation (SNSF); UK-the Department of Physics, University of Oxford; STFC [ST/P000770/1] Funding Source: UKRI</t>
  </si>
  <si>
    <t>USA-the US National Science Foundation-Office of Polar Programs; USA-US National Science Foundation Physics Division; USA-Wisconsin Alumni Research Foundation; USA-Center for High Throughput Computing (CHTC) at the University of Wisconsin-Madison; USA-Open Science Grid (OSG); USA-Extreme Science and Engineering Discovery Environment (XSEDE); USA-Frontera computing project at the Texas Advanced Computing Center; USA-US Department of Energy-National Energy Research Scientific Computing Center(United States Department of Energy (DOE)); USA-Particle Astrophysics Research Computing Center at the University of Maryland; USA-Institute for Cyber-Enabled Research at Michigan State University; USA-Astroparticle Physics Computational Facility at Marquette University; Belgium-the Funds for Scientific Research (FRS-FNRS); Belgium-the Funds for Scientific Research (FWO)(FWO); Belgium-FWO Odysseus programme; Belgium-FWO Big Science programme; Belgium-Belgian Federal Science Policy Office (Belspo); Germany-the Bundesministerium fur Bildung und Forschung (BMBF)(Federal Ministry of Education &amp; Research (BMBF)); Germany-Deutsche Forschungsgemeinschaft (DFG)(German Research Foundation (DFG)); Germany-Helmholtz Alliance for Astroparticle Physics (HAP); Germany-Initiative and Networking Fund of the Helmholtz Association; Germany-Deutsches Elektronen Synchrotron (DESY); Germany-High Performance Computing Cluster of RWTH Aachen; Sweden-the Swedish Research Council(Swedish Research Council); Sweden-Swedish Polar Research Secretariat; Sweden-Swedish National Infrastructure for Computing (SNIC); Sweden-Knut and Alice Wallenberg Foundation; Australia-the Australian Research Council(Australian Research Council); Canada-the Natural Sciences and Engineering Research Council of Canada(Natural Sciences and Engineering Research Council of Canada (NSERC)); Canada-Calcul Quebec; Canada-Compute Ontario; Canada-Canada Foundation for Innovation; Canada-WestGrid; Canada-Compute Canada; Denmark-the Villum Fonden(Villum Fonden); Denmark-Danish National Research Foundation (DNRF)(National Research Foundation of Korea); Denmark-Carlsberg Foundation; New Zealand-the Marsden Fund; Japan-the Japan Society for Promotion of Science (JSPS)(Ministry of Education, Culture, Sports, Science and Technology, Japan (MEXT)Japan Society for the Promotion of Science); Japan-Institute for Global Prominent Research (IGPR) of Chiba University; Korea-the National Research Foundation of Korea (NRF)(National Research Foundation of Korea); Switzerland-the Swiss National Science Foundation (SNSF)(Swiss National Science Foundation (SNSF)); UK-the Department of Physics, University of Oxford; STFC(UK Research &amp; Innovation (UKRI)Science &amp; Technology Facilities Council (STFC))</t>
  </si>
  <si>
    <t>We thank T. Pierog, D. Heck and C. Baus for discussions on realistic hadronic shower simulations in ice. We gratefully acknowledge support from the following agencies and institutions: USA-the US National Science Foundation-Office of Polar Programs, the US National Science Foundation Physics Division, the Wisconsin Alumni Research Foundation, the Center for High Throughput Computing (CHTC) at the University of Wisconsin-Madison, the Open Science Grid (OSG), the Extreme Science and Engineering Discovery Environment (XSEDE), the Frontera computing project at the Texas Advanced Computing Center, the US Department of Energy-National Energy Research Scientific Computing Center, the Particle Astrophysics Research Computing Center at the University of Maryland, the Institute for Cyber-Enabled Research at Michigan State University, and the Astroparticle Physics Computational Facility at Marquette University; Belgium-the Funds for Scientific Research (FRS-FNRS and FWO), the FWO Odysseus and Big Science programmes, and the Belgian Federal Science Policy Office (Belspo); Germany-the Bundesministerium fur Bildung und Forschung (BMBF), the Deutsche Forschungsgemeinschaft (DFG), the Helmholtz Alliance for Astroparticle Physics (HAP), the Initiative and Networking Fund of the Helmholtz Association, the Deutsches Elektronen Synchrotron (DESY), and the High Performance Computing Cluster of RWTH Aachen; Sweden-the Swedish Research Council, the Swedish Polar Research Secretariat, the Swedish National Infrastructure for Computing (SNIC), and the Knut and Alice Wallenberg Foundation; Australia-the Australian Research Council; Canada-the Natural Sciences and Engineering Research Council of Canada, Calcul Quebec, Compute Ontario, the Canada Foundation for Innovation, WestGrid, and Compute Canada; Denmark-the Villum Fonden, the Danish National Research Foundation (DNRF), the Carlsberg Foundation; New Zealand-the Marsden Fund; Japan-the Japan Society for Promotion of Science (JSPS) and the Institute for Global Prominent Research (IGPR) of Chiba University; Korea-the National Research Foundation of Korea (NRF); Switzerland-the Swiss National Science Foundation (SNSF); the UK-the Department of Physics, University of Oxford.</t>
  </si>
  <si>
    <t>10.1038/s41586-021-03256-1</t>
  </si>
  <si>
    <t>QU6WY</t>
  </si>
  <si>
    <t>WOS:000627422700007</t>
  </si>
  <si>
    <t>Yoshida, M; Lee, RE; Denlinger, DL; Goto, SG</t>
  </si>
  <si>
    <t>Yoshida, Mizuki; Lee, Richard E., Jr.; Denlinger, David L.; Goto, Shin G.</t>
  </si>
  <si>
    <t>Expression of aquaporins in response to distinct dehydration stresses that confer stress tolerance in the Antarctic midge Belgica antarctica</t>
  </si>
  <si>
    <t>Antarctic midge; Aquaporin; Dehydration; Gene expression; Stress tolerance</t>
  </si>
  <si>
    <t>GOLDENROD GALL FLY; RICE STEM BORER; FUNCTIONAL-CHARACTERIZATION; FREEZE TOLERANCE; WATER CHANNEL; CRYOPROTECTIVE DEHYDRATION; GENE-EXPRESSION; DESICCATION; MOSQUITO; TRANSPORT</t>
  </si>
  <si>
    <t>Larvae of the Antarctic midge Belgica antarctica Jacobs (Diptera: Chironomidae) are highly tolerant of diverse environmental stresses, including freezing, severe desiccation, and osmotic extremes. Furthermore, dehydration confers subsequent desiccation and freeze tolerance. While a role for aquaporins-channels for water and other solutes-has been proposed in these dehydration processes, the types of aquaporins involved in dehydration-driven stress tolerance remain unknown. In the present study, we investigated expression of six aquaporins (Drip, Prip, Eglp1, Eglp2, Aqp12L, and Bib) in larvae of B. antarctica subjected to three different dehydration conditions: desiccation, cryoprotective dehydration, and osmotic dehydration. The expression of Drip and Prip was up-regulated under desiccation and cryoprotective dehydration, suggesting a role for these aquaporins in efficient water loss under these dehydration conditions. Conversely, expression of Drip and Prip was down-regulated under osmotic dehydration, suggesting that their expression is suppressed in larvae to combat dehydration. Larval water content was similarly decreased under all three dehydration conditions. Differences in responses of the aquaporins to the three forms of dehydration suggests distinct water management strategies associated with different forms of dehydration stress.</t>
  </si>
  <si>
    <t>[Yoshida, Mizuki; Goto, Shin G.] Osaka City Univ, Grad Sch Sci, Osaka, Japan; [Lee, Richard E., Jr.] Miami Univ, Dept Biol, Oxford, OH 45056 USA; [Denlinger, David L.] Ohio State Univ, Dept Entomol, 1735 Neil Ave, Columbus, OH 43210 USA; [Denlinger, David L.] Ohio State Univ, Dept Evolut Ecol &amp; Organismal Biol, Columbus, OH 43210 USA</t>
  </si>
  <si>
    <t>Osaka Metropolitan University; University System of Ohio; Miami University; University System of Ohio; Ohio State University; University System of Ohio; Ohio State University</t>
  </si>
  <si>
    <t>Goto, SG (corresponding author), Osaka City Univ, Grad Sch Sci, Sumiyoshi Ku, 3-3-138 Sugimoto, Osaka 5588585, Japan.</t>
  </si>
  <si>
    <t>shingoto@osaka-cu.ac.jp</t>
  </si>
  <si>
    <t>Goto, Shin G/K-2614-2015</t>
  </si>
  <si>
    <t>Goto, Shin G/0000-0002-4431-7531; Yoshida, Mizuki/0000-0002-3842-8577</t>
  </si>
  <si>
    <t>National Science Foundation [OPP-1341393, OPP-1341385]</t>
  </si>
  <si>
    <t>This study is based on the earlier research conducted by Eri Harada, Yoshihiro Akagi, and Ryosuke Genkoji. We are grateful to Dr. K. Soga for permitting us to use the electronic balance. We also thank Editage (http://www.editage.co.jp) for English editing. This work was supported in part by National Science Foundation grants OPP-1341393 to D.L.D. and OPP-1341385 to R.E.L.</t>
  </si>
  <si>
    <t>10.1016/j.cbpa.2021.110928</t>
  </si>
  <si>
    <t>WOS:000640388900003</t>
  </si>
  <si>
    <t>Cassano, JJ; Nigro, MA; Seefeldt, MW; Katurji, M; Guinn, K; Williams, G; DuVivier, A</t>
  </si>
  <si>
    <t>Cassano, John J.; Nigro, Melissa A.; Seefeldt, Mark W.; Katurji, Marwan; Guinn, Kelly; Williams, Guy; DuVivier, Alice</t>
  </si>
  <si>
    <t>Antarctic atmospheric boundary layer observations with the Small Unmanned Meteorological Observer (SUMO)</t>
  </si>
  <si>
    <t>ROSS ICE SHELF; TERRA-NOVA BAY</t>
  </si>
  <si>
    <t>Between January 2012 and June 2017 a small unmanned aerial system (sUAS), known as the Small Unmanned Meteorological Observer (SUMO), was used to observe the state of the atmospheric boundary layer in the Antarctic. During six Antarctic field campaigns, 116 SUMO flights were completed. These flights took place during all seasons over both permanent ice and ice-free locations on the Antarctic continent and over sea ice in the western Ross Sea. Sampling was completed during spiral ascent and descent flight paths that observed the temperature, humidity, pressure and wind up to 1000m above ground level and sampled the entire depth of the atmospheric boundary layer, as well as portions of the free atmosphere above the boundary layer. A wide variety of boundary layer states were observed, including very shallow, strongly stable conditions during the Antarctic winter and deep, convective conditions over ice-free locations in the summer. The Antarctic atmospheric boundary layer data collected by the SUMO sUAS, described in this paper, can be retrieved from the United States Antarctic Program Data Center (https://www.usap-dc.org, last access: 8 March 2021). The data for all flights conducted on the continent are available at https://doi.org/10.15784/601054 (Cassano, 2017), and data from the Ross Sea flights are available at https://doi.org/10.15784/601191 (Cassano, 2019).</t>
  </si>
  <si>
    <t>[Cassano, John J.; Seefeldt, Mark W.; Guinn, Kelly] Univ Colorado, Cooperat Inst Res Environm Sci, Boulder, CO 80309 USA; [Cassano, John J.; Nigro, Melissa A.; Guinn, Kelly] Univ Colorado, Dept Atmospher &amp; Ocean Sci, Boulder, CO 80309 USA; [Katurji, Marwan] Univ Canterbury, Dept Geog, Christchurch, New Zealand; [Williams, Guy] Univ Tasmania, Autonomous Maritime Syst Lab, Launceston, Tas, Australia; [DuVivier, Alice] Natl Ctr Atmospher Res, POB 3000, Boulder, CO 80307 USA</t>
  </si>
  <si>
    <t>University of Colorado System; University of Colorado Boulder; University of Colorado System; University of Colorado Boulder; University of Canterbury; University of Tasmania; Australian Maritime College; National Center Atmospheric Research (NCAR) - USA</t>
  </si>
  <si>
    <t>Cassano, JJ (corresponding author), Univ Colorado, Cooperat Inst Res Environm Sci, Boulder, CO 80309 USA.;Cassano, JJ (corresponding author), Univ Colorado, Dept Atmospher &amp; Ocean Sci, Boulder, CO 80309 USA.</t>
  </si>
  <si>
    <t>john.cassano@colorado.edu</t>
  </si>
  <si>
    <t>DuVivier, Alice K./JJC-1516-2023; Cassano, John/HKW-8817-2023</t>
  </si>
  <si>
    <t>DuVivier, Alice K./0000-0001-6920-5926; Katurji, Marwan/0000-0002-3368-1469; CASSANO, JOHN/0000-0003-3176-3978</t>
  </si>
  <si>
    <t>National Science Foundation [ANT 0943952, ANT 1245737, PLR 1341606, PLR 1543158, OPP 1745097]; New Zealand Ministry of Business, Innovation and Employment [UOWX1401]; Antarctic Science Platform [ANTA1801]; New Zealand Ministry of Business, Innovation &amp; Employment (MBIE) [UOWX1401] Funding Source: New Zealand Ministry of Business, Innovation &amp; Employment (MBIE)</t>
  </si>
  <si>
    <t>National Science Foundation(National Science Foundation (NSF)); New Zealand Ministry of Business, Innovation and Employment(New Zealand Ministry of Business, Innovation and Employment (MBIE)); Antarctic Science Platform; New Zealand Ministry of Business, Innovation &amp; Employment (MBIE)(New Zealand Ministry of Business, Innovation and Employment (MBIE))</t>
  </si>
  <si>
    <t>This work was supported by the National Science Foundation ((grant nos. ANT 0943952, ANT 1245737, PLR 1341606, PLR 1543158, and OPP 1745097) and by funding from the New Zealand Ministry of Business, Innovation and Employment (grant no. UOWX1401, the Dry Valley Ecosystem Resilience, DryVER, project) and through the Antarctic Science Platform (grant no. ANTA1801).</t>
  </si>
  <si>
    <t>MAR 10</t>
  </si>
  <si>
    <t>10.5194/essd-13-969-2021</t>
  </si>
  <si>
    <t>QX1TM</t>
  </si>
  <si>
    <t>WOS:000629131400001</t>
  </si>
  <si>
    <t>Priya, MG; Varshini, N; Chandhana, G; Deeksha, G; Supriya, K; Krishnaveni, D</t>
  </si>
  <si>
    <t>Priya, M. Geetha; Varshini, N.; Chandhana, G.; Deeksha, G.; Supriya, K.; Krishnaveni, D.</t>
  </si>
  <si>
    <t>Study on snowmelt and algal growth in the Antarctic Peninsula using spatial approach</t>
  </si>
  <si>
    <t>CURRENT SCIENCE</t>
  </si>
  <si>
    <t>Algal growth; climate change; snowmelt; snow reflectance; spatial analysis</t>
  </si>
  <si>
    <t>In recent times, global warming across the world is one of the major factors that triggers surface snow melting. According to the reports, climate change across the globe has a major impact on the poles, which has resulted in rapid snowmelt and red-pigmented algal growth. Because of its less sunlight reflecting characteristics, algal growth results in the rapid melting of snow. In this study, we used Landsat images of 30 m resolution to estimate the area of snowmelt and evaluate the impact of algal growth in snow reflectance in Eagle Island, Antarctic, Peninsula. Based on the analysis, it is estimated that within a span of 9 days between 4 and 13 February 2020, around 21.37% of the area of snow melted resulting in the formation of a pond of 2.13 km(2). Variation in the visible band is witnessed, indicating reduction of snow reflectance due to algal growth that leads to reduced albedo and increased warming.</t>
  </si>
  <si>
    <t>[Priya, M. Geetha] Vellore Inst Technol, Sch Elect Engn, Chennai 600127, Tamil Nadu, India; [Varshini, N.; Chandhana, G.; Deeksha, G.; Supriya, K.; Krishnaveni, D.] Jyothy Inst Technol, Ctr Incubat Innovat Res &amp; Consultancy, Thataguni 560082, Bengaluru, India; [Varshini, N.; Chandhana, G.; Deeksha, G.; Supriya, K.; Krishnaveni, D.] Jyothy Inst Technol, Dept ECE, Thataguni 560082, Bengaluru, India</t>
  </si>
  <si>
    <t>Vellore Institute of Technology (VIT); VIT Chennai</t>
  </si>
  <si>
    <t>Priya, MG (corresponding author), Vellore Inst Technol, Sch Elect Engn, Chennai 600127, Tamil Nadu, India.</t>
  </si>
  <si>
    <t>geetha.sri82@gmail.com</t>
  </si>
  <si>
    <t>m, g/JVM-8246-2024</t>
  </si>
  <si>
    <t>, Geetha Priya/0000-0002-8196-0753</t>
  </si>
  <si>
    <t>INDIAN ACAD SCIENCES</t>
  </si>
  <si>
    <t>BANGALORE</t>
  </si>
  <si>
    <t>C V RAMAN AVENUE, SADASHIVANAGAR, P B #8005, BANGALORE 560 080, INDIA</t>
  </si>
  <si>
    <t>0011-3891</t>
  </si>
  <si>
    <t>CURR SCI INDIA</t>
  </si>
  <si>
    <t>Curr. Sci.</t>
  </si>
  <si>
    <t>10.18520/cs/v120/i5/932-936</t>
  </si>
  <si>
    <t>QT6TZ</t>
  </si>
  <si>
    <t>WOS:000626722900038</t>
  </si>
  <si>
    <t>Melis, R; Capotondi, L; Torricella, F; Ferretti, P; Geniram, A; Hong, JK; Kuhn, G; Khim, BK; Kim, S; Malinverno, E; Yoo, KC; Colizza, E</t>
  </si>
  <si>
    <t>Melis, Romana; Capotondi, Lucilla; Torricella, Fiorenza; Ferretti, Patrizia; Geniram, Andrea; Hong, Jong Kuk; Kuhn, Gerhard; Khim, Boo-Keun; Kim, Sookwan; Malinverno, Elisa; Yoo, Kyu Cheul; Colizza, Ester</t>
  </si>
  <si>
    <t>Last Glacial Maximum to Holocene paleoceanography of the northwestern Ross Sea inferred from sediment core geochemistry and micropaleontology at Hallett Ridge</t>
  </si>
  <si>
    <t>JOURNAL OF MICROPALAEONTOLOGY</t>
  </si>
  <si>
    <t>ANTARCTIC ICE-SHEET; FORAMINIFER NEOGLOBOQUADRINA-PACHYDERMA; SOUTHERN-OCEAN SEDIMENTS; BOTTOM-WATER FORMATION; MAJOR DIATOM TAXA; WEDDELL SEA; CLIMATE VARIABILITY; BENTHIC FORAMINIFERA; SURFACE SEDIMENTS; ATLANTIC SECTOR</t>
  </si>
  <si>
    <t>During the Late Pleistocene-Holocene, the Ross Sea Ice Shelf exhibited strong spatial variability in relation to the atmospheric and oceanographic climatic variations. Despite being thoroughly investigated, the timing of the ice sheet retreat from the outer continental shelf since the Last Glacial Maximum (LGM) still remains controversial, mainly due to a lack of sediment cores with a robust chronostratigraphy. For this reason, the recent recovery of sediments containing a continuous occurrence of calcareous foraminifera provides the important opportunity to create a reliable age model and document the early deglacial phase in particular. Here we present a multiproxy study from a sediment core collected at the Hallett Ridge (1800m of depth), where significant occurrences of calcareous planktonic and benthic foraminifera allow us to document the first evidence of the deglaciation after the LGM at about 20.2 ka. Our results suggest that the co-occurrence of large Neogloboquadrina pachyderma tests and abundant juvenile forms reflects the beginning of open-water conditions and coverage of seasonal sea ice. Our multiproxy approach based on diatoms, silicoflagellates, carbon and oxygen stable isotopes on N. pachyderma, sediment texture, and geochemistry indicates that abrupt warming occurred at approximately 17.8 ka, followed by a period of increasing biological productivity. During the Holocene, the exclusive dominance of agglutinated benthic foraminifera suggests that dissolution was the main controlling factor on calcareous test accumulation and preservation. Diatoms and silicoflagellates show that ocean conditions were variable during the middle Holocene and the beginning of the Neoglacial period at around 4 ka. In the Neoglacial, an increase in sand content testifies to a strengthening of bottom-water currents, supported by an increase in the abundance of the tycopelagic fossil diatom Paralia sulcata transported from the coastal regions, while an increase in ice-rafted debris suggests more glacial transport by icebergs.</t>
  </si>
  <si>
    <t>[Melis, Romana; Geniram, Andrea; Colizza, Ester] Univ Trieste, Dipartimento Matemat &amp; Geosci, Via E Weiss 2, I-34127 Trieste, Italy; [Capotondi, Lucilla] CNR, Ist Sci Marine CNR ISMAR, Via Gobetti 101, I-40129 Bologna, Italy; [Torricella, Fiorenza] Univ Pisa, Dipartimento Sci Terra, Via Santa Maria 53, I-56126 Pisa, Italy; [Ferretti, Patrizia] Univ Ca Foscari, Dipartimento Sci Ambientali Informat &amp; Statist, Via Torino 155, I-30172 Venice, Italy; [Hong, Jong Kuk; Kim, Sookwan; Yoo, Kyu Cheul] Korea Polar Res Inst, Incheon 21990, South Korea; [Kuhn, Gerhard] Alfred Wegener Inst Helmholtz Zentrum Polar &amp; Mee, Alten Hafen 26, D-27568 Bremerhaven, Germany; [Khim, Boo-Keun] Pusan Natl Univ, Dept Oceanog, Busan 46241, South Korea; [Malinverno, Elisa] Univ Milano Bicocca, Dipartimento Sci DellAmbiente &amp; Terra, Piazza Sci 4, I-20126 Milan, Italy</t>
  </si>
  <si>
    <t>University of Trieste; Consiglio Nazionale delle Ricerche (CNR); Istituto di Scienze Marine (ISMAR-CNR); University of Pisa; Universita Ca Foscari Venezia; Korea Polar Research Institute (KOPRI); Helmholtz Association; Alfred Wegener Institute, Helmholtz Centre for Polar &amp; Marine Research; Pusan National University; University of Milano-Bicocca</t>
  </si>
  <si>
    <t>Capotondi, L (corresponding author), CNR, Ist Sci Marine CNR ISMAR, Via Gobetti 101, I-40129 Bologna, Italy.</t>
  </si>
  <si>
    <t>lucilla.capotondi@bo.ismar.cnr.it</t>
  </si>
  <si>
    <t>Kim, Sookwan/JJD-3241-2023; Lucilla, Capotondi/C-8874-2015</t>
  </si>
  <si>
    <t>Kim, Sookwan/0000-0001-9960-2295; Lucilla, Capotondi/0000-0003-3282-7910; Torricella, Fiorenza/0000-0002-4286-1699; Kuhn, Gerhard/0000-0001-6069-7485; Malinverno, Elisa/0000-0002-9124-5155; FERRETTI, Patrizia/0000-0002-4814-3655</t>
  </si>
  <si>
    <t>Italian Ministry of Foreign Affairs and International Cooperation; National Research Foundation of Korea (Korea-Italy Joint Research Program)</t>
  </si>
  <si>
    <t>Italian Ministry of Foreign Affairs and International Cooperation(Ministry of Foreign Affairs and International Cooperation (Italy)); National Research Foundation of Korea (Korea-Italy Joint Research Program)(National Research Foundation of Korea)</t>
  </si>
  <si>
    <t>This work has been designed in the framework of the STREAM project. This project is co-funded by a grant from the Italian Ministry of Foreign Affairs and International Cooperation and the National Research Foundation of Korea (Korea-Italy Joint Research Program). This research is contribution no. 2038 of CNR-ISMAR.</t>
  </si>
  <si>
    <t>0262-821X</t>
  </si>
  <si>
    <t>2041-4978</t>
  </si>
  <si>
    <t>J MICROPALAEONTOL</t>
  </si>
  <si>
    <t>J. Micropalaentol.</t>
  </si>
  <si>
    <t>10.5194/jm-40-15-2021</t>
  </si>
  <si>
    <t>QU9VQ</t>
  </si>
  <si>
    <t>WOS:000627628000001</t>
  </si>
  <si>
    <t>Yi, RK; Deng, L; Mu, JF; Li, C; Tan, F; Zhao, X</t>
  </si>
  <si>
    <t>Yi, Ruokun; Deng, Lei; Mu, Jianfei; Li, Chong; Tan, Fang; Zhao, Xin</t>
  </si>
  <si>
    <t>The Impact of Antarctic Ice Microalgae Polysaccharides on D-Galactose-Induced Oxidative Damage in Mice</t>
  </si>
  <si>
    <t>FRONTIERS IN NUTRITION</t>
  </si>
  <si>
    <t>Antarctic ice microalgae; polysaccharide; D-galactose; oxidative damage; mice</t>
  </si>
  <si>
    <t>Antarctic ice microalgae (Chlamydomonas sp.) are a polysaccharide-rich natural marine resource. In this study, we evaluated the impact of Antarctic ice microalgae polysaccharides (AIMP) on D-galactose-induced oxidation in mice. We conducted biological and biochemical tests on tissue and serum samples from mice treated with AIMP. We found that AIMP administration was associated with improved thymus, brain, heart, liver, spleen, and kidney index values. We also found that AIMP treatment inhibited the reduced aspartate aminotransferase, alanine aminotransferase, alkaline phosphatase, superoxide dismutase, glutathione peroxidase, and glutathione levels as well as the increased serum, splenic, and hepatic nitric oxide and malondialdehyde levels arising from oxidation in these animals. Pathological examination revealed that AIMP also inhibited D-galactose-induced oxidative damage to the spleen, liver, and skin of these animals. AIMP was additionally found to promote the upregulation of neuronal nitric oxide synthase, endothelial nitric oxide synthase, cuprozinc-superoxide dismutase, manganese superoxide dismutase, catalase, heme oxygenase-1, nuclear factor erythroid 2-related factor 2, gamma-glutamylcysteine synthetase, and NAD(P)H dehydrogenase [quinone] 1 as well as the downregulation of inducible nitric oxide synthase in these animals. High-performance liquid chromatography analysis revealed AIMP to be composed of five monosaccharides (mannitol, ribose, anhydrous glucose, xylose, and fucose). Together, these results suggest that AIMP can effectively inhibit oxidative damage more readily than vitamin C in mice with D-galactose-induced oxidative damage, which underscores the value of developing AIMP derivatives for food purposes.</t>
  </si>
  <si>
    <t>[Yi, Ruokun; Mu, Jianfei; Li, Chong; Zhao, Xin] Chongqing Univ Educ, Chongqing Collaborat Innovat Ctr Funct Food, Chongqing, Peoples R China; [Yi, Ruokun; Mu, Jianfei; Li, Chong; Zhao, Xin] Chongqing Univ Educ, Chongqing Engn Res Ctr Funct Food, Chongqing, Peoples R China; [Yi, Ruokun; Mu, Jianfei; Li, Chong; Zhao, Xin] Chongqing Univ Educ, Chongqing Engn Lab Res &amp; Dev Funct Food, Chongqing, Peoples R China; [Deng, Lei] Chongqing Univ, Cent Hosp, Chongqing Emergency Med Ctr, Dept Gastroenterol &amp; Hepatol, Chongqing, Peoples R China; [Tan, Fang] Our Lady Fatima Univ, Dept Publ Hlth, Valenzuela, Philippines</t>
  </si>
  <si>
    <t>Chongqing University of Education; Chongqing University of Education; Chongqing University of Education; Chongqing University; Our Lady of Fatima University</t>
  </si>
  <si>
    <t>Zhao, X (corresponding author), Chongqing Univ Educ, Chongqing Collaborat Innovat Ctr Funct Food, Chongqing, Peoples R China.;Zhao, X (corresponding author), Chongqing Univ Educ, Chongqing Engn Res Ctr Funct Food, Chongqing, Peoples R China.;Zhao, X (corresponding author), Chongqing Univ Educ, Chongqing Engn Lab Res &amp; Dev Funct Food, Chongqing, Peoples R China.;Tan, F (corresponding author), Our Lady Fatima Univ, Dept Publ Hlth, Valenzuela, Philippines.</t>
  </si>
  <si>
    <t>tanfang@foods.ac.cn; zhaoxin@cque.edu.cn</t>
  </si>
  <si>
    <t>Tan, Fang/0000-0003-2406-129X</t>
  </si>
  <si>
    <t>Chongqing University Innovation Research Group Project [CXQTP20033]</t>
  </si>
  <si>
    <t>Chongqing University Innovation Research Group Project</t>
  </si>
  <si>
    <t>This research was funded by Chongqing University Innovation Research Group Project (CXQTP20033), China.</t>
  </si>
  <si>
    <t>2296-861X</t>
  </si>
  <si>
    <t>FRONT NUTR</t>
  </si>
  <si>
    <t>Front. Nutr.</t>
  </si>
  <si>
    <t>MAR 9</t>
  </si>
  <si>
    <t>10.3389/fnut.2021.651088</t>
  </si>
  <si>
    <t>Nutrition &amp; Dietetics</t>
  </si>
  <si>
    <t>RA2RF</t>
  </si>
  <si>
    <t>WOS:000631265300001</t>
  </si>
  <si>
    <t>Rubin, AE</t>
  </si>
  <si>
    <t>Rubin, Alan E.</t>
  </si>
  <si>
    <t>Benford's law: Applications to ordinary-chondrite mass distributions</t>
  </si>
  <si>
    <t>TERRESTRIAL AGES; PECULIAR DISTRIBUTION; METEORITES; STATISTICS</t>
  </si>
  <si>
    <t>For ordinary-chondrite (OC) mass distributions, Benford's law applies to the set of individual objects that survive intact on the Earth's surface after atmospheric disruption of meteoroids. Among OCs, Antarctic finds conform more closely to Benford's law than observed falls, Northwest Africa (NWA) finds, or Oman finds mainly because Antarctic OCs tend to be relatively unweathered (and mostly intact) and have not been aggregated as pairs under collective meteorite names. Deviations from Benford's law can result from tampering with data sets. The set of OC falls reflects tampering with the original Benford distribution (produced by meteoroid disruption) by the deliberate aggregation of paired individual samples and inefficiencies in the collection of small samples. The sets of NWA and Oman OC finds have been affected by natural tampering of the original distributions principally by terrestrial weathering, which can cause sample disintegration. NWA finds were also affected by non-systematic collection of samples influenced by commercial considerations; collectors preferred type-3 OC as revealed by the high proportions of such specimens among NWA chondrites relative to those among falls and Oman and Antarctic finds. The percentage of type-4 OC among falls is appreciably lower than in the sets of finds. This suggests that type-4 chondrites are friable and disintegrate into numerous pieces; these are counted individually for the sets of finds, but collectively for falls. However, the fact that the percentages of type-3 OC are not generally higher for finds may be that these samples tend to break into small pieces that are preferentially lost.</t>
  </si>
  <si>
    <t>[Rubin, Alan E.] Univ Calif Los Angeles, Dept Earth Planetary &amp; Space Sci, Los Angeles, CA 90095 USA; [Rubin, Alan E.] Maine Mineral &amp; Gem Museum, 99 Main St,POB 500, Bethel, ME 04217 USA</t>
  </si>
  <si>
    <t>Rubin, AE (corresponding author), Univ Calif Los Angeles, Dept Earth Planetary &amp; Space Sci, Los Angeles, CA 90095 USA.;Rubin, AE (corresponding author), Maine Mineral &amp; Gem Museum, 99 Main St,POB 500, Bethel, ME 04217 USA.</t>
  </si>
  <si>
    <t>aerubin@ucla.edu</t>
  </si>
  <si>
    <t>Rubin, Alan/0000-0002-4515-4527</t>
  </si>
  <si>
    <t>NASA [NNG06GF95G]</t>
  </si>
  <si>
    <t>NASA(National Aeronautics &amp; Space Administration (NASA))</t>
  </si>
  <si>
    <t>I thank Jeremiah Rubin for introducing me to Benford's law. I am also grateful to my colleagues who answered queries about various aspects of this study. Kevin Righter kindly provided the set of Antarctic-meteorite fracturing data. The paper benefited from useful comments by associate editor Righter as well as thorough reviews by G. R. Huss, R. P. Harvey, and an anonymous referee. This research was supported by NASA Grant NNG06GF95G.</t>
  </si>
  <si>
    <t>10.1111/maps.13626</t>
  </si>
  <si>
    <t>RG9TX</t>
  </si>
  <si>
    <t>WOS:000626546000001</t>
  </si>
  <si>
    <t>Bester, MN</t>
  </si>
  <si>
    <t>Bester, M. N.</t>
  </si>
  <si>
    <t>Status of pinnipeds on mid-Atlantic ridge islands, South Atlantic Ocean</t>
  </si>
  <si>
    <t>Leopard seal; Southern elephant seal; Fur seals; Saint Helena and Ascension islands; Tristan da Cunha Islands; Bouvetoya</t>
  </si>
  <si>
    <t>The status of pinnipeds on mid-Atlantic ridge islands is reviewed to detect trends that may relate to climate change. Small numbers of southern elephant seals Mirounga leonina breed on Gough Island (40 degrees S, 10 degrees W) and at Bouvetoya (54 degrees 24 ' S, 03 degrees 21 ' E) where numbers remained small over similar to 68 years. Vagrant southern elephant seals wandered farther north to tropical Saint Helena Island (15 degrees 57 ' S, 5 degrees 41 ' W) in historical times but have not been recorded there more recently. This suggests a contraction of their distributional range, as manifested in the decline in numbers to imminent extinction at Gough Island. At Gough Island and at Tristan da Cunha (37 degrees 05 ' S, 12 degrees 17 ' W), leopard seals Hydrurga leptonyx and Antarctic fur seals Arctocephalus gazella are occasional seasonal transients from Antarctic and sub-Antarctic islands and the circumpolar sea ice farther to the south. Large populations of Antarctic fur seals A. gazella and sub-Antarctic fur seals A. tropicalis breed at Bouvetoya and Gough Island, respectively. The current state of both populations is uncertain as other populations of conspecifics in the South Atlantic and South Indian oceans are in decline ostensibly contingent upon reduced food availability, likely precipitated by climate change.</t>
  </si>
  <si>
    <t>[Bester, M. N.] Univ Pretoria, Mammal Res Inst, Dept Zool &amp; Entomol, Private Bag X20, ZA-0028 Pretoria, South Africa</t>
  </si>
  <si>
    <t>10.1007/s00300-021-02838-z</t>
  </si>
  <si>
    <t>WOS:000626852600002</t>
  </si>
  <si>
    <t>O'Shea, S; Crosier, J; Dorsey, J; Gallagher, L; Schledewitz, W; Bower, K; Schlenczek, O; Borrmann, S; Cotton, R; Westbrook, C; Ulanowski, Z</t>
  </si>
  <si>
    <t>O'Shea, Sebastian; Crosier, Jonathan; Dorsey, James; Gallagher, Louis; Schledewitz, Waldemar; Bower, Keith; Schlenczek, Oliver; Borrmann, Stephan; Cotton, Richard; Westbrook, Christopher; Ulanowski, Zbigniew</t>
  </si>
  <si>
    <t>Characterising optical array particle imaging probes: implications for small-ice-crystal observations</t>
  </si>
  <si>
    <t>SIZE DISTRIBUTIONS; CLOUD; PERFORMANCE; TESTS; PARAMETERIZATION; RETRIEVALS; INSTRUMENT; AIRBORNE; RADAR</t>
  </si>
  <si>
    <t>The cloud particle concentration, size, and shape data from optical array probes (OAPs) are routinely used to parameterise cloud properties and constrain remote sensing retrievals. This paper characterises the optical response of OAPs using a combination of modelling, laboratory, and field experiments. Significant uncertainties are found to exist with such probes for ice crystal measurements. We describe and test two independent methods to constrain a probe's sample volume that remove the most severely mis-sized particles: (1) greyscale image analysis and (2) co-location using stereoscopic imaging. These methods are tested using field measurements from three research flights in cirrus. For these cases, the new methodologies significantly improve agreement with a holographic imaging probe compared to conventional data-processing protocols, either removing or significantly reducing the concentration of small ice crystals (&lt; 200 mu m) in certain conditions. This work suggests that the observational evidence for a ubiquitous mode of small ice particles in ice clouds is likely due to a systematic instrument bias. Size distribution parameterisations based on OAP measurements need to be revisited using these improved methodologies.</t>
  </si>
  <si>
    <t>[O'Shea, Sebastian; Crosier, Jonathan; Dorsey, James; Schledewitz, Waldemar; Bower, Keith; Ulanowski, Zbigniew] Univ Manchester, Dept Earth &amp; Environm Sci, Manchester, Lancs, England; [Crosier, Jonathan; Dorsey, James] Univ Manchester, Natl Ctr Atmospher Sci, Manchester, Lancs, England; [Gallagher, Louis] Univ Manchester, Dept Phys &amp; Astron, Manchester, Lancs, England; [Schlenczek, Oliver; Borrmann, Stephan] Max Planck Inst Chem, Particle Chem Dept, Mainz, Germany; [Schlenczek, Oliver; Borrmann, Stephan] Johannes Gutenberg Univ Mainz, Inst Atmospher Phys, Mainz, Germany; [Cotton, Richard] Met Off, Exeter, Devon, England; [Westbrook, Christopher] Univ Reading, Dept Meteorol, Reading, Berks, England; [Ulanowski, Zbigniew] Univ Hertfordshire, Ctr Atmospher &amp; Climate Proc Res, Hatfield, Herts, England; [Ulanowski, Zbigniew] British Antarctic Survey, Nat Environm Res Council NERC, Cambridge, England; [Schlenczek, Oliver] Max Planck Inst Dynam &amp; Self Org, Gottingen, Germany</t>
  </si>
  <si>
    <t>University of Manchester; University of Manchester; UK Research &amp; Innovation (UKRI); Natural Environment Research Council (NERC); NERC National Centre for Atmospheric Science; University of Manchester; Max Planck Society; Johannes Gutenberg University of Mainz; Met Office - UK; University of Reading; University of Hertfordshire; UK Research &amp; Innovation (UKRI); Natural Environment Research Council (NERC); NERC British Antarctic Survey; Max Planck Society</t>
  </si>
  <si>
    <t>Crosier, J (corresponding author), Univ Manchester, Dept Earth &amp; Environm Sci, Manchester, Lancs, England.;Crosier, J (corresponding author), Univ Manchester, Natl Ctr Atmospher Sci, Manchester, Lancs, England.</t>
  </si>
  <si>
    <t>j.crosier@manchester.ac.uk</t>
  </si>
  <si>
    <t>Westbrook, Christopher D/H-9770-2013; Cotton, Richard J/K-2175-2012; Crosier, Jonathan/G-8952-2011; Borrmann, Stephan/E-3868-2010</t>
  </si>
  <si>
    <t>Borrmann, Stephan/0000-0002-4774-9380; Bower, Keith/0000-0002-9802-3264; Ulanowski, Zbigniew/0000-0003-4761-6980; Crosier, Jonathan/0000-0002-3086-4729; Schlenczek, Oliver/0000-0001-7247-465X; O'Shea, Sebastian/0000-0002-0489-1723</t>
  </si>
  <si>
    <t>NERC [NE/P012426/1, NE/L013584/1]; NERC [NE/L013584/1, NE/R017026/1, bas0100032, NE/V003925/1, NE/T014849/1, NE/P012426/1] Funding Source: UKRI</t>
  </si>
  <si>
    <t>This research has been supported by NERC (grant nos. NE/P012426/1 and NE/L013584/1).</t>
  </si>
  <si>
    <t>10.5194/amt-14-1917-2021</t>
  </si>
  <si>
    <t>QU9BT</t>
  </si>
  <si>
    <t>WOS:000627575900002</t>
  </si>
  <si>
    <t>Diaz, MA; Gardner, CB; Welch, SA; Jackson, WA; Adams, BJ; Wall, DH; Hogg, ID; Fierer, N; Lyons, WB</t>
  </si>
  <si>
    <t>Diaz, Melisa A.; Gardner, Christopher B.; Welch, Susan A.; Jackson, W. Andrew; Adams, Byron J.; Wall, Diana H.; Hogg, Ian D.; Fierer, Noah; Lyons, W. Berry</t>
  </si>
  <si>
    <t>Geochemical zones and environmental gradients for soils from the central Transantarctic Mountains, Antarctica</t>
  </si>
  <si>
    <t>MCMURDO DRY VALLEYS; ICE-SHEET; GENETIC DIVERSITY; VICTORIA LAND; SPRINGTAILS COLLEMBOLA; RANDOM FORESTS; TAYLOR VALLEY; BIOGEOCHEMISTRY; REGION; INVERTEBRATES</t>
  </si>
  <si>
    <t>Previous studies have established links between biodiversity and soil geochemistry in the McMurdo Dry Valleys, Antarctica, where environmental gradients are important determinants of soil biodiversity. However, these gradients are not well established in the central Transantarctic Mountains, which are thought to represent some of the least hospitable Antarctic soils. We analyzed 220 samples from 11 ice-free areas along the Shackleton Glacier (similar to 85 degrees S), a major outlet glacier of the East Antarctic Ice Sheet. We established three zones of distinct geochemical gradients near the head of the glacier (upper), its central part (middle), and at the mouth (lower). The upper zone had the highest water-soluble salt concentrations with total salt concentrations exceeding 80 000 mu g g(-1), while the lower zone had the lowest water-soluble N : P ratios, suggesting that, in addition to other parameters (such as proximity to water and/or ice), the lower zone likely represents the most favorable ecological habitats. Given the strong dependence of geochemistry on geographic parameters, we developed multiple linear regression and random forest models to predict soil geochemical trends given latitude, longitude, elevation, distance from the coast, distance from the glacier, and soil moisture (variables which can be inferred from remote measurements). Confidence in our random forest model predictions was moderately high with R-2 values for total water-soluble salts, water-soluble N : P, ClO4-, and ClO3 of 0.81, 0.88, 0.78, and 0.74, respectively. These modeling results can be used to predict geochemical gradients and estimate salt concentrations for other Transantarctic Mountain soils, information that can ultimately be used to better predict distributions of soil biota in this remote region.</t>
  </si>
  <si>
    <t>[Diaz, Melisa A.; Gardner, Christopher B.; Welch, Susan A.; Lyons, W. Berry] Ohio State Univ, Sch Earth Sci, Columbus, OH 43210 USA; [Diaz, Melisa A.; Gardner, Christopher B.; Welch, Susan A.; Lyons, W. Berry] Ohio State Univ, Byrd Polar &amp; Climate Res Ctr, Columbus, OH 43210 USA; [Jackson, W. Andrew] Texas Tech Univ, Dept Civil Environm &amp; Construct Engn, Lubbock, TX 79409 USA; [Adams, Byron J.] Brigham Young Univ, Dept Biol, Evolutionary Ecol Labs, Provo, UT 84602 USA; [Adams, Byron J.] Brigham Young Univ, Monte L Bean Museum, Provo, UT 84602 USA; [Wall, Diana H.] Colorado State Univ, Dept Biol, Ft Collins, CO 80523 USA; [Wall, Diana H.] Colorado State Univ, Sch Global Environm Sustainabil, Ft Collins, CO 80523 USA; [Hogg, Ian D.] Polar Knowledge Canada, Canadian High Arctic Res Stn, Cambridge Bay, NU, Canada; [Hogg, Ian D.] Univ Waikato, Sch Sci, Hamilton, New Zealand; [Fierer, Noah] Univ Colorado, Dept Ecol &amp; Evolutionary Biol, Boulder, CO 80309 USA; [Fierer, Noah] Univ Colorado, Cooperat Inst Res Environm Sci, Boulder, CO 80309 USA; [Diaz, Melisa A.] Woods Hole Oceanog Inst, Dept Geol &amp; Geophys, Woods Hole, MA 02543 USA; [Diaz, Melisa A.] Woods Hole Oceanog Inst, Dept Appl Ocean Phys &amp; Engn, Woods Hole, MA 02543 USA</t>
  </si>
  <si>
    <t>University System of Ohio; Ohio State University; University System of Ohio; Ohio State University; Texas Tech University System; Texas Tech University; Brigham Young University; Brigham Young University; Colorado State University; Colorado State University; University of Waikato; University of Colorado System; University of Colorado Boulder; University of Colorado System; University of Colorado Boulder; Woods Hole Oceanographic Institution; Woods Hole Oceanographic Institution</t>
  </si>
  <si>
    <t>Diaz, MA (corresponding author), Ohio State Univ, Sch Earth Sci, Columbus, OH 43210 USA.;Diaz, MA (corresponding author), Ohio State Univ, Byrd Polar &amp; Climate Res Ctr, Columbus, OH 43210 USA.;Diaz, MA (corresponding author), Woods Hole Oceanog Inst, Dept Geol &amp; Geophys, Woods Hole, MA 02543 USA.;Diaz, MA (corresponding author), Woods Hole Oceanog Inst, Dept Appl Ocean Phys &amp; Engn, Woods Hole, MA 02543 USA.</t>
  </si>
  <si>
    <t>mdiaz@whoi.edu</t>
  </si>
  <si>
    <t>Jackson, William/B-8999-2009; Adams, Byron J/C-3808-2009; Hogg, Ian D./HNS-7393-2023; Wall, Diana H/F-5491-2011</t>
  </si>
  <si>
    <t>Jackson, William/0000-0003-4232-4364; Hogg, Ian D./0000-0002-6685-0089; Diaz, Melisa/0000-0001-6657-358X; Gardner, Christopher/0000-0003-0400-3754; Wall, Diana H./0000-0002-9466-5235; Welch, Susan/0000-0002-2890-0065</t>
  </si>
  <si>
    <t>National Science Foundation [OPP 1341631, GRFP 60041697, OPP 1341618, OPP 1341629, OPP 1341736]</t>
  </si>
  <si>
    <t>This research has been supported by the National Science Foundation (grant nos. OPP 1341631, GRFP 60041697, OPP 1341618, OPP 1341629, and OPP 1341736).</t>
  </si>
  <si>
    <t>10.5194/bg-18-1629-2021</t>
  </si>
  <si>
    <t>QU9BV</t>
  </si>
  <si>
    <t>WOS:000627576100002</t>
  </si>
  <si>
    <t>Aguiar, W; Meissner, KJ; Montenegro, A; Prado, L; Wainer, I; Carlson, AE; Mata, MM</t>
  </si>
  <si>
    <t>Aguiar, Wilton; Meissner, Katrin J.; Montenegro, Alvaro; Prado, Luciana; Wainer, Ilana; Carlson, Anders E.; Mata, Mauricio M.</t>
  </si>
  <si>
    <t>Magnitude of the 8.2 ka event freshwater forcing based on stable isotope modelling and comparison to future Greenland melting</t>
  </si>
  <si>
    <t>The northern hemisphere experienced an abrupt cold event similar to 8200 years ago (the 8.2 ka event) that was triggered by the release of meltwater into the Labrador Sea, and resulting in a weakening of the poleward oceanic heat transport. Although this event has been considered a possible analogue for future ocean circulation changes due to the projected Greenland Ice Sheet (GIS) melting, large uncertainties in the amount and rate of freshwater released during the 8.2 ka event make such a comparison difficult. In this study, we compare sea surface temperatures and oxygen isotope ratios from 28 isotope-enabled model simulations with 35 paleoproxy records to constrain the meltwater released during the 8.2 ka event. Our results suggest that a combination of 5.3 m of meltwater in sea level rise equivalent (SLR) released over a thousand years, with a short intensification over similar to 130 years (an additional 2.2 m of equivalent SLR) due to routing of the Canadian river discharge, best reproduces the proxy anomalies. Our estimate is of the same order of magnitude as projected future GIS melting rates under the high emission scenario RCP8.5.</t>
  </si>
  <si>
    <t>[Aguiar, Wilton; Mata, Mauricio M.] Univ Fed Rio Grande FURG, Inst Oceanog, Lab Estudos Oceanos &amp; Clima, BR-96203900 Rio Grande, RS, Brazil; [Meissner, Katrin J.] Univ New South Wales, Climate Change Res Ctr, Sydney, NSW, Australia; [Meissner, Katrin J.] Univ New South Wales, ARC Ctr Excellence Climate Extremes, Sydney, NSW, Australia; [Montenegro, Alvaro] Ohio State Univ, Dept Geog, Columbus, OH 43210 USA; [Prado, Luciana; Wainer, Ilana] Univ Sao Paulo, Inst Oceanog, BR-05508120 Sao Paulo, Brazil; [Carlson, Anders E.] Oregon Glaciers Inst, Corvallis, OR USA; [Prado, Luciana] Univ Brasilia, Inst Geociencias, BR-70297400 Brasilia, DF, Brazil</t>
  </si>
  <si>
    <t>Universidade Federal do Rio Grande; University of New South Wales Sydney; University of New South Wales Sydney; University System of Ohio; Ohio State University; Universidade de Sao Paulo; Universidade de Brasilia</t>
  </si>
  <si>
    <t>Aguiar, W (corresponding author), Univ Fed Rio Grande FURG, Inst Oceanog, Lab Estudos Oceanos &amp; Clima, BR-96203900 Rio Grande, RS, Brazil.</t>
  </si>
  <si>
    <t>aguiar.wilton@gmail.com</t>
  </si>
  <si>
    <t>Aguiar, Wilton/AAK-3747-2021; Prado, Luciana Figueiredo/M-9312-2019; Mata, Mauricio/H-4605-2011; WAINER, ILANA/B-4540-2011</t>
  </si>
  <si>
    <t>Prado, Luciana Figueiredo/0000-0002-6446-8986; Mata, Mauricio/0000-0002-9028-8284; Meissner, Katrin/0000-0002-0716-7415; WAINER, ILANA/0000-0003-3784-623X; Aguiar, Wilton/0000-0003-2453-9791</t>
  </si>
  <si>
    <t>Brazilian High Latitudes Oceanography Group (GOAL); Brazilian National Institute of Science and Technology of the Cryosphere (INCT-CRIOSFERA) [573720/2008-8, 465680/2014-3]; Brazilian Antarctic Program (PROANTAR) through the Brazilian Ministry of the Environment; Brazilian Ministry of Science, Technology, Innovation and Communication (MCTIC); Council for Research and Scientific Development of Brazil (CNPq) [442628/2018-8]; Council for Research and Scientific Development of Brazil (CAPES AUXPE) [1995/2014]; CAPES Foundation; Fulbright association; CNPq [306896/2015-0, 300970/2018-8]; Australian Research Council [DP180100048, DP18012357]; INCT-CRIOSFERA [88887.495715/2020-00]; Sao Paulo Research Foundation [2018/14789-9, 2019/08247-1]; Brazilian National Institute of Science and Technology of the Cryosphere (FAPERGS) [17/2551-0000518-0]</t>
  </si>
  <si>
    <t>Brazilian High Latitudes Oceanography Group (GOAL); Brazilian National Institute of Science and Technology of the Cryosphere (INCT-CRIOSFERA); Brazilian Antarctic Program (PROANTAR) through the Brazilian Ministry of the Environment; Brazilian Ministry of Science, Technology, Innovation and Communication (MCTIC); Council for Research and Scientific Development of Brazil (CNPq)(Conselho Nacional de Desenvolvimento Cientifico e Tecnologico (CNPQ)Fundacao de Apoio a Pesquisa do Distrito Federal (FAPDF)); Council for Research and Scientific Development of Brazil (CAPES AUXPE); CAPES Foundation(Coordenacao de Aperfeicoamento de Pessoal de Nivel Superior (CAPES)); Fulbright association; CNPq(Conselho Nacional de Desenvolvimento Cientifico e Tecnologico (CNPQ)); Australian Research Council(Australian Research Council); INCT-CRIOSFERA; Sao Paulo Research Foundation(Fundacao de Amparo a Pesquisa do Estado de Sao Paulo (FAPESP)); Brazilian National Institute of Science and Technology of the Cryosphere (FAPERGS)</t>
  </si>
  <si>
    <t>This work is a part of the activities from the Brazilian High Latitudes Oceanography Group (GOAL) and the Brazilian National Institute of Science and Technology of the Cryosphere (INCT-CRIOSFERA; 573720/2008-8, 465680/2014-3, FAPERGS 17/2551-0000518-0). The GOAL is currently funded by the Brazilian Antarctic Program (PROANTAR) through the Brazilian Ministry of the Environment (MMA), the Brazilian Ministry of Science, Technology, Innovation and Communication (MCTIC), and the Council for Research and Scientific Development of Brazil (CNPq;442628/2018-8, CAPES AUXPE 1995/2014). W. Aguiar acknowledges the financial support from the CAPES Foundation, and the Fulbright association for promoting the scientific interchange required by this work. M. M. Mata acknowledges CNPq grant nos. 306896/2015-0. K. J. Meissner acknowledges funding from the Australian Research Council (DP180100048, DP18012357). L. Prado acknowledges the INCT-CRIOSFERA (88887.495715/2020-00), and I. Wainer acknowledges the Sao Paulo Research Foundation (2018/14789-9; 2019/08247-1) and CNPq (300970/2018-8). All authors acknowledge Dr. James Scourse for the valuable review.</t>
  </si>
  <si>
    <t>10.1038/s41598-021-84709-5</t>
  </si>
  <si>
    <t>QZ0PJ</t>
  </si>
  <si>
    <t>WOS:000630437600003</t>
  </si>
  <si>
    <t>Ebbing, J; Dilixiati, Y; Haas, P; Ferraccioli, F; Scheiber-Enslin, S</t>
  </si>
  <si>
    <t>Ebbing, Joerg; Dilixiati, Yixiati; Haas, Peter; Ferraccioli, Fausto; Scheiber-Enslin, Stephanie</t>
  </si>
  <si>
    <t>East Antarctica magnetically linked to its ancient neighbours in Gondwana</t>
  </si>
  <si>
    <t>We present a new magnetic compilation for Central Gondwana conformed to a recent satellite magnetic model (LCS-1) with the help of an equivalent layer approach, resulting in consistent levels, corrections that have not previously been applied. Additionally, we use the satellite data to its full spectral content, which helps to include India, where high resolution aeromagnetic data are not publically available. As India is located north of the magnetic equator, we also performed a variable reduction to the pole to the satellite data by applying an equivalent source method. The conformed aeromagnetic and satellite data are superimposed on a recent deformable Gondwana plate reconstruction that links the Kaapvaal Craton in Southern Africa with the Grunehogna Craton in East Antarctica in a tight fit. Aeromagnetic anomalies unveil, however, wider orogenic belts that preserve remnants of accreted Meso- to Neoproterozoic crust in interior East Antarctica, compared to adjacent sectors of Southern Africa and India. Satellite and aeromagnetic anomaly datasets help to portray the extent and architecture of older Precambrian cratons, re-enforcing their linkages in East Antarctica, Australia, India and Africa.</t>
  </si>
  <si>
    <t>[Ebbing, Joerg; Dilixiati, Yixiati; Haas, Peter] Univ Kiel, Inst Geosci, Kiel, Germany; [Ferraccioli, Fausto] OGS, Trieste, Italy; [Ferraccioli, Fausto] British Antarctic Survey, Cambridge, England; [Scheiber-Enslin, Stephanie] Univ Witwatersrand, Johannesburg, South Africa</t>
  </si>
  <si>
    <t>University of Kiel; Istituto Nazionale di Oceanografia e di Geofisica Sperimentale; UK Research &amp; Innovation (UKRI); Natural Environment Research Council (NERC); NERC British Antarctic Survey; University of Witwatersrand</t>
  </si>
  <si>
    <t>Ebbing, J (corresponding author), Univ Kiel, Inst Geosci, Kiel, Germany.</t>
  </si>
  <si>
    <t>Joerg.Ebbing@ifg.uni-kiel.de</t>
  </si>
  <si>
    <t>Haas, Peter/AAD-7589-2022; Ebbing, Joerg/B-8796-2013</t>
  </si>
  <si>
    <t>Haas, Peter/0000-0002-2693-6670; Ebbing, Joerg/0000-0001-7492-5338; Ferraccioli, Fausto/0000-0002-9347-4736; Enslin, Stephanie/0000-0003-1966-4651</t>
  </si>
  <si>
    <t>European Space Agency (ESA); Deutsche Forschungsgemeinschaft (DFG; German Research Foundation) [SPP1788, EB255/2-2]</t>
  </si>
  <si>
    <t>European Space Agency (ESA)(European Space Agency); Deutsche Forschungsgemeinschaft (DFG; German Research Foundation)(German Research Foundation (DFG))</t>
  </si>
  <si>
    <t>This work was supported by the European Space Agency (ESA) as part of the Support to Science Element 3D Earth and by the Deutsche Forschungsgemeinschaft (DFG; German Research Foundation) under the SPP1788 (DynamicEarth) project Magnetic Lithosphere (EB255/2-2).</t>
  </si>
  <si>
    <t>10.1038/s41598-021-84834-1</t>
  </si>
  <si>
    <t>QZ1FC</t>
  </si>
  <si>
    <t>WOS:000630479700025</t>
  </si>
  <si>
    <t>Ariyama, N; Tapia, R; Godoy, C; Agüero, B; Valdés, V; Berrios, F; Borboroglu, PG; Pütz, K; Alegria, R; Barriga, GP; Medina, R; Neira, V</t>
  </si>
  <si>
    <t>Ariyama, Naomi; Tapia, Rodrigo; Godoy, Claudia; Aguero, Belen; Valdes, Valentina; Berrios, Felipe; Garcia Borboroglu, Pablo; Putz, Klemens; Alegria, Raul; Barriga, Gonzalo P.; Medina, Rafael; Neira, Victor</t>
  </si>
  <si>
    <t>Avian orthoavulavirus 1 (Newcastle Disease virus) antibodies in five penguin species, Antarctic peninsula and Southern Patagonia</t>
  </si>
  <si>
    <t>TRANSBOUNDARY AND EMERGING DISEASES</t>
  </si>
  <si>
    <t>Antarctica; avulavirus; Newcastle disease; orthoavulavirus; penguins</t>
  </si>
  <si>
    <t>Avian orthoavulavirus 1 (AOaV-1) causes Newcastle disease, one of the most important and contagious infections in poultry, where migratory birds can play a key role as a reservoir. Seven hundred and seven serum samples were collected from five penguin species (King, Magellanic, Gentoo, Chinstrap and Adelie penguins) in the Antarctic and Sub-Antarctic zones. Using a competitive ELISA to detect antibodies against AOaV-1, we identified positive individuals in all penguin species. The Magellanic penguin showed the highest seropositivity rate (30.3%), suggesting it could be a natural reservoir of this virus. At the Antarctic zones, Chinstrap penguin showed the highest occurrence (7.5%). Interesting, positive sera was only obtained in Sub-Antarctic and Northern zones at the Antarctic peninsula, no seroreactivity was observed in Southern locations. Further studies are needed to establish the role of these penguin species in the epidemiology of the AOaV-1 and determine the effects of this virus in these populations.</t>
  </si>
  <si>
    <t>[Ariyama, Naomi; Tapia, Rodrigo; Aguero, Belen; Valdes, Valentina; Berrios, Felipe; Alegria, Raul; Neira, Victor] Univ Chile, Fac Ciencias Vet &amp; Pecuarias, Santiago, Chile; [Godoy, Claudia; Garcia Borboroglu, Pablo] Global Penguin Soc, San Francisco, CA USA; [Godoy, Claudia] Parque Pinguino Rey, Porvenir, Chile; [Garcia Borboroglu, Pablo] CESIMAR CONICET, Chubut, Argentina; [Putz, Klemens] Antarctic Res Trust, Bremervorde, Germany; [Barriga, Gonzalo P.; Medina, Rafael] Pontificia Univ Catolica Chile, Dept Enfermedades Infecciosas &amp; Inmunol Pediat, Escuela Med, Santiago, Chile; [Barriga, Gonzalo P.] Univ Chile, Fac Med, Inst Biomed Sci, Lab Emerging Viruses,Virol Program, Santiago, Chile; [Medina, Rafael] Icahn Sch Med Mt Sinai, Dept Microbiol, New York, NY 10029 USA</t>
  </si>
  <si>
    <t>Universidad de Chile; Pontificia Universidad Catolica de Chile; Universidad de Chile; Icahn School of Medicine at Mount Sinai</t>
  </si>
  <si>
    <t>Neira, V (corresponding author), Univ Chile, Fac Ciencias Vet &amp; Pecuarias, Dept Med Prevent Anim, Santiago 11735, Chile.</t>
  </si>
  <si>
    <t>victorneira@u.uchile.cl</t>
  </si>
  <si>
    <t>Medina, Rafael A./AAW-4418-2020; Ramirez, Victor Manuel Neira/M-8736-2013; Alegría-Morán, Raul/P-4636-2019; Alegria-Moran, Raul/H-3841-2013</t>
  </si>
  <si>
    <t>Medina, Rafael A./0000-0002-5013-6884; Ramirez, Victor Manuel Neira/0000-0001-9062-9969; Alegría-Morán, Raul/0000-0002-1608-2499; Alegria-Moran, Raul/0000-0002-1608-2499; Ariyama, Naomi/0000-0002-4713-5979; Aguero Aguirre, Belen Monserrat/0009-0008-4202-0436</t>
  </si>
  <si>
    <t>Animal Virology Laboratory, Faculty of Veterinary and Animal Sciences, Universidad de Chile [11170877, 1211517]; Fondecyt [11170877, 1211517]; CONICYT [INACH RT_46-16, PIA ACT 1408]; Center for Research in Influenza Pathogenesis (CRIP), a National Institute of Allergy and Infectious Diseases [HHSN272201400008C]; Global Penguin Society; King Penguin Park</t>
  </si>
  <si>
    <t>Animal Virology Laboratory, Faculty of Veterinary and Animal Sciences, Universidad de Chile; Fondecyt(Comision Nacional de Investigacion Cientifica y Tecnologica (CONICYT)CONICYT FONDECYT); CONICYT(Comision Nacional de Investigacion Cientifica y Tecnologica (CONICYT)); Center for Research in Influenza Pathogenesis (CRIP), a National Institute of Allergy and Infectious Diseases; Global Penguin Society; King Penguin Park</t>
  </si>
  <si>
    <t>This study was partially funded by the Animal Virology Laboratory, Faculty of Veterinary and Animal Sciences, Universidad de Chile and Programa Fondecyt No 11170877 and No 1211517 to V.N.; INACH RT_46-16, PIA ACT 1408 from CONICYT to V.N and R.A.M., and the Center for Research in Influenza Pathogenesis (CRIP), a National Institute of Allergy and Infectious Diseases-funded Center of Excellence in Influenza Research and Surveillance (CEIRS), contract number HHSN272201400008C to V.N. and R. A. M.; the Global Penguin Society and the King Penguin Park to C.G.</t>
  </si>
  <si>
    <t>1865-1674</t>
  </si>
  <si>
    <t>1865-1682</t>
  </si>
  <si>
    <t>TRANSBOUND EMERG DIS</t>
  </si>
  <si>
    <t>Transbound. Emerg. Dis.</t>
  </si>
  <si>
    <t>10.1111/tbed.14037</t>
  </si>
  <si>
    <t>Infectious Diseases; Veterinary Sciences</t>
  </si>
  <si>
    <t>XA2ND</t>
  </si>
  <si>
    <t>WOS:000626856000001</t>
  </si>
  <si>
    <t>Kane, MK; Atkinson, A; Menden-Deuer, S</t>
  </si>
  <si>
    <t>Kane, Mary K.; Atkinson, Angus; Menden-Deuer, Susanne</t>
  </si>
  <si>
    <t>Lowered cameras reveal hidden behaviors of Antarctic krill</t>
  </si>
  <si>
    <t>CURRENT BIOLOGY</t>
  </si>
  <si>
    <t>Letter</t>
  </si>
  <si>
    <t>[Kane, Mary K.; Atkinson, Angus] Plymouth Marine Lab, 1 Prospect Pl, Plymouth PL1 3DH, Devon, England; [Kane, Mary K.; Menden-Deuer, Susanne] Univ Rhode Isl, Grad Sch Oceanog, Narragansett, RI 02882 USA</t>
  </si>
  <si>
    <t>Plymouth Marine Laboratory; University of Rhode Island</t>
  </si>
  <si>
    <t>Kane, MK (corresponding author), Plymouth Marine Lab, 1 Prospect Pl, Plymouth PL1 3DH, Devon, England.;Kane, MK (corresponding author), Univ Rhode Isl, Grad Sch Oceanog, Narragansett, RI 02882 USA.</t>
  </si>
  <si>
    <t>marykatkane@gmail.com</t>
  </si>
  <si>
    <t>Atkinson, Angus/HOH-3417-2023</t>
  </si>
  <si>
    <t>Menden-Deuer, Susanne/0000-0002-8434-4251; Kane, Mary/0000-0003-4362-6591</t>
  </si>
  <si>
    <t>Antarctic Wildlife Research Fund [11]; Office of Polar Program National Science Foundation [ANT-1142107]; National Science Foundation EPSCoR Cooperative Agreement [OIA-1655221]</t>
  </si>
  <si>
    <t>Antarctic Wildlife Research Fund; Office of Polar Program National Science Foundation(National Science Foundation (NSF)); National Science Foundation EPSCoR Cooperative Agreement(National Science Foundation (NSF))</t>
  </si>
  <si>
    <t>We thank Captain John Souza and the crew of the R/V Nathaniel B. Palmer, Drs. E. Durbin, T. Rynearson, C. Roman, and M. Zhou, the science staff from the United States Antarctic Program, and all the participants of the Seasonal Trophic Roles of Euphausia superba cruises NBP1304 and NBP1410. We are grateful for Dr. Roman's engineering expertise with the camera system. We also thank Regina Yopak, Dr. Gabrielle Inglis, Dr. J. Ian Vaughn and David Casagrande for their insight into and work with the krill camera system. We also thank three anonymous reviewers for their constructive comments which improved this manuscript. Funding for this project was provided by the Antarctic Wildlife Research Fund Project No. 11 (2019) and the Office of Polar Program National Science Foundation award no. ANT-1142107, and supported in part by the National Science Foundation EPSCoR Cooperative Agreement #OIA-1655221.</t>
  </si>
  <si>
    <t>0960-9822</t>
  </si>
  <si>
    <t>1879-0445</t>
  </si>
  <si>
    <t>CURR BIOL</t>
  </si>
  <si>
    <t>Curr. Biol.</t>
  </si>
  <si>
    <t>MAR 8</t>
  </si>
  <si>
    <t>R237</t>
  </si>
  <si>
    <t>R238</t>
  </si>
  <si>
    <t>10.1016/j.cub.2021.01.091</t>
  </si>
  <si>
    <t>Biochemistry &amp; Molecular Biology; Biology; Cell Biology</t>
  </si>
  <si>
    <t>Biochemistry &amp; Molecular Biology; Life Sciences &amp; Biomedicine - Other Topics; Cell Biology</t>
  </si>
  <si>
    <t>RC8MU</t>
  </si>
  <si>
    <t>WOS:000633048800009</t>
  </si>
  <si>
    <t>Bridle, AR; Hill, T; Smith, A; Crosbie, P; Nowak, BF</t>
  </si>
  <si>
    <t>Bridle, Andrew R.; Hill, Thomas; Smith, Aaron; Crosbie, Philip; Nowak, Barbara F.</t>
  </si>
  <si>
    <t>Experimental exposure to low concentrations of Neoparamoeba perurans induces amoebic gill disease in Atlantic salmon</t>
  </si>
  <si>
    <t>JOURNAL OF FISH DISEASES</t>
  </si>
  <si>
    <t>amoebic gill disease; experimental challenge; risk prediction</t>
  </si>
  <si>
    <t>Amoebic gill disease (AGD) is a significant issue in Atlantic salmon mariculture. Research on the development of treatments or vaccines uses experimental challenges where salmon is exposed to amoebae concentrations ranging from 500 to 5,000/L. However, the water concentrations of N. perurans on affected salmon farms are much lower. The lowest concentration of N. perurans previously reported to cause AGD was 10/L. Here, we report that concentrations as low as 0.1/L of N. perurans can cause AGD. We propose that concentrations of N. perurans that reflect those measured on salmon farms should be used for future experimental challenges.</t>
  </si>
  <si>
    <t>[Bridle, Andrew R.; Hill, Thomas; Smith, Aaron; Crosbie, Philip; Nowak, Barbara F.] Univ Tasmania, Inst Marine &amp; Antarctic Studies, Launceston, Tas, Australia</t>
  </si>
  <si>
    <t>Nowak, BF (corresponding author), Univ Tasmania, Inst Marine &amp; Antarctic Studies, Launceston, Tas, Australia.</t>
  </si>
  <si>
    <t>b.nowak@utas.edu.au</t>
  </si>
  <si>
    <t>Bridle, Andrew R/B-4117-2013; Nowak, Barbara/J-7261-2014</t>
  </si>
  <si>
    <t>Bridle, Andrew/0000-0002-5788-1297; Smith, Aaron/0000-0002-1226-8798; Nowak, Barbara/0000-0002-0347-643X</t>
  </si>
  <si>
    <t>Australian Research Council [LP160101762]; Australian Research Council [LP160101762] Funding Source: Australian Research Council</t>
  </si>
  <si>
    <t>Australian Research Council(Australian Research Council); Australian Research Council(Australian Research Council)</t>
  </si>
  <si>
    <t>Australian Research Council's, Grant/Award Number: LP160101762</t>
  </si>
  <si>
    <t>0140-7775</t>
  </si>
  <si>
    <t>1365-2761</t>
  </si>
  <si>
    <t>J FISH DIS</t>
  </si>
  <si>
    <t>J. Fish Dis.</t>
  </si>
  <si>
    <t>10.1111/jfd.13363</t>
  </si>
  <si>
    <t>Fisheries; Marine &amp; Freshwater Biology; Veterinary Sciences</t>
  </si>
  <si>
    <t>SP5UR</t>
  </si>
  <si>
    <t>WOS:000626159800001</t>
  </si>
  <si>
    <t>Stuart-Smith, RD; Mellin, C; Bates, AE; Edgar, GJ</t>
  </si>
  <si>
    <t>Stuart-Smith, Rick D.; Mellin, Camille; Bates, Amanda E.; Edgar, Graham J.</t>
  </si>
  <si>
    <t>Habitat loss and range shifts contribute to ecological generalization among reef fishes</t>
  </si>
  <si>
    <t>Using a species generalization index calculated from a global dataset of reef fishes and their habitats, the authors show that generalist species respond more successfully to habitat disruption and are better able to move polewards in response to climate change. Human activities are altering the structure of ecological communities, often favouring generalists over specialists. For reef fishes, increasingly degraded habitats and climate-driven range shifts may independently augment generalization, particularly if fishes with least-specific habitat requirements are more likely to shift geographic ranges to track their thermal niche. Using a unique global dataset on temperate and tropical reef fishes and habitat composition, we calculated a species generalization index that empirically estimates the habitat niche breadth of each fish species. We then applied the species generalization index to evaluate potential impacts of habitat loss and range shifts across large scales, on coral and rocky reefs. Our analyses revealed consistent habitat-induced shifts in community structure that favoured generalist fishes following regional coral mortality events and between adjacent sea urchin barrens and kelp habitats. Analysis of the distribution of tropical fishes also identified the species generalization index as the most important trait in predicting their poleward range extent, more so than body or range size. Generalist tropical reef fishes penetrate further into subtropical and temperate zones than specialists. Dynamic responses of reef fishes to habitat degradation imply loss of specialists at local scales, while generalists will be broadly favoured under intensifying anthropogenic pressures. An increased focus on individual requirements of specialists could provide useful guidance for species threat assessments and conservation actions, while ecosystem and multi-species fisheries models should recognize increasing prevalence of generalists.</t>
  </si>
  <si>
    <t>[Stuart-Smith, Rick D.; Mellin, Camille; Edgar, Graham J.] Univ Tasmania, Inst Marine &amp; Antarctic Studies, Hobart, Tas, Australia; [Mellin, Camille] Univ Adelaide, Environm Inst, Adelaide, SA, Australia; [Mellin, Camille] Univ Adelaide, Sch Biol Sci, Adelaide, SA, Australia; [Bates, Amanda E.] Mem Univ Newfoundland, Dept Ocean Sci, St John, NF, Canada</t>
  </si>
  <si>
    <t>University of Tasmania; University of Adelaide; University of Adelaide; Memorial University Newfoundland</t>
  </si>
  <si>
    <t>Stuart-Smith, RD (corresponding author), Univ Tasmania, Inst Marine &amp; Antarctic Studies, Hobart, Tas, Australia.</t>
  </si>
  <si>
    <t>rstuarts@utas.edu.au</t>
  </si>
  <si>
    <t>Stuart-Smith, Rick/I-5214-2019; Bates, Amanda E./ABD-6874-2021; Edgar, Graham/AAY-3797-2020</t>
  </si>
  <si>
    <t>Stuart-Smith, Rick/0000-0002-8874-0083; Bates, Amanda E./0000-0002-0198-4537; Edgar, Graham/0000-0003-0833-9001; Mellin, Camille/0000-0002-7369-2349</t>
  </si>
  <si>
    <t>Marine Biodiversity Hub through Australian Government's National Environmental Science Program; Australian Research Council; Ian Potter Foundation; Western Australian State NRM; Australia's Integrated Marine Observing System</t>
  </si>
  <si>
    <t>Marine Biodiversity Hub through Australian Government's National Environmental Science Program; Australian Research Council(Australian Research Council); Ian Potter Foundation; Western Australian State NRM; Australia's Integrated Marine Observing System</t>
  </si>
  <si>
    <t>We thank the many RLS divers and scientific collaborators who assisted with field surveys, A. Cooper, J. Berkhout and E. Clausius at the University of Tasmania for logistics and data management, and D. Ceccarelli, E. Oh, A. Cresswell and J. Duggan for analysis of photoquadrats. We also thank N. Barrett, J. Stuart-Smith, S. Baker and T. Bird for further support in the development of RLS, fieldwork and concepts explored in the paper. Development of RLS was supported by the former Commonwealth Environment Research Facilities Program, while analyses were supported by the Marine Biodiversity Hub, a collaborative partnership supported through funding from the Australian Government's National Environmental Science Program, and by the Australian Research Council. Funding and support for GBR field surveys was provided by The Ian Potter Foundation and Ningaloo surveys by the Western Australian State NRM. RLS data management is supported by Australia's Integrated Marine Observing System. The Integrated Marine Observing System is enabled by the National Collaborative Research Infrastructure Strategy. It is operated by a consortium of institutions as an unincorporated joint venture, with the University of Tasmania as lead agent.</t>
  </si>
  <si>
    <t>10.1038/s41559-020-01342-7</t>
  </si>
  <si>
    <t>RY0WF</t>
  </si>
  <si>
    <t>WOS:000626472200003</t>
  </si>
  <si>
    <t>Sato, K; Inoue, J; Simmonds, I; Rudeva, I</t>
  </si>
  <si>
    <t>Sato, Kazutoshi; Inoue, Jun; Simmonds, Ian; Rudeva, Irina</t>
  </si>
  <si>
    <t>Antarctic Peninsula warm winters influenced by Tasman Sea temperatures</t>
  </si>
  <si>
    <t>The Antarctic Peninsula of West Antarctica was one of the most rapidly warming regions on the Earth during the second half of the 20th century. Changes in the atmospheric circulation associated with remote tropical climate variabilities have been considered as leading drivers of the change in surface conditions in the region. However, the impacts of climate variabilities over the mid-latitudes of the Southern Hemisphere on this Antarctic warming have yet to be quantified. Here, through observation analysis and model experiments, we reveal that increases in winter sea surface temperature (SST) in the Tasman Sea modify Southern Ocean storm tracks. This, in turn, induces warming over the Antarctic Peninsula via planetary waves triggered in the Tasman Sea. We show that atmospheric response to SST warming over the Tasman Sea, even in the absence of anomalous tropical SST forcing, deepens the Amundsen Sea Low, leading to warm advection over the Antarctic Peninsula. The Antarctic Peninsula sees some of the strongest warming of the whole continent over the last decades, the drivers of which are not well known. Here, the authors show that winter sea surface temperature increases in the Tasman sea lead to changes in Southern Ocean storm tracks that in turn warm the Antarctic Peninsula.</t>
  </si>
  <si>
    <t>[Sato, Kazutoshi] Kitami Inst Technol, Kitami, Hokkaido, Japan; [Sato, Kazutoshi; Inoue, Jun] Japan Agcy Marine Earth Sci &amp; Technol, Applicat Lab, Yokohama, Kanagawa, Japan; [Inoue, Jun] Natl Inst Polar Res, Tachikawa, Tokyo, Japan; [Inoue, Jun] Grad Univ Adv Studies, SOKENDAI, Hayama, Kanagawa, Japan; [Simmonds, Ian; Rudeva, Irina] Univ Melbourne, Sch Earth Sci, Melbourne, Vic, Australia; [Rudeva, Irina] Australian Bur Meteorol, Melbourne, Vic, Australia</t>
  </si>
  <si>
    <t>Kitami Institute of Technology; Japan Agency for Marine-Earth Science &amp; Technology (JAMSTEC); Research Organization of Information &amp; Systems (ROIS); National Institute of Polar Research (NIPR) - Japan; Graduate University for Advanced Studies - Japan; University of Melbourne; Melbourne Bioinformatics; Bureau of Meteorology - Australia</t>
  </si>
  <si>
    <t>Sato, K (corresponding author), Kitami Inst Technol, Kitami, Hokkaido, Japan.;Sato, K (corresponding author), Japan Agcy Marine Earth Sci &amp; Technol, Applicat Lab, Yokohama, Kanagawa, Japan.</t>
  </si>
  <si>
    <t>satokazu@mail.kitami-it.ac.jp</t>
  </si>
  <si>
    <t>Inoue, Jun/0000-0001-7738-6480; Sato, Kazutoshi/0000-0003-0216-8942; Rudeva, Irina/0000-0001-9851-8198; Simmonds, Ian/0000-0002-4479-3255</t>
  </si>
  <si>
    <t>JSPS Overseas Research Fellowship, JSPS KAKENHI [20H04963, 19K14802, 18H05053]; Australian Research Council [DP16010997]; JAMSTEC</t>
  </si>
  <si>
    <t>JSPS Overseas Research Fellowship, JSPS KAKENHI; Australian Research Council(Australian Research Council); JAMSTEC</t>
  </si>
  <si>
    <t>This work was supported by a JSPS Overseas Research Fellowship, JSPS KAKENHI (20H04963, 19K14802, 18H05053). Parts of this research were made possible by funding from the Australian Research Council (Grant DP16010997). The AFES integration was performed on the Earth Simulator with the support of JAMSTEC. We thank Sara J. Mason for correcting a draft of this manuscript.</t>
  </si>
  <si>
    <t>10.1038/s41467-021-21773-5</t>
  </si>
  <si>
    <t>QU7EK</t>
  </si>
  <si>
    <t>WOS:000627442200001</t>
  </si>
  <si>
    <t>Jennings, SJA; Davies, BJ; Nyvlt, D; Glasser, NF; Engel, Z; Hrbacek, F; Carrivick, JL; Mlcoch, B; Hambrey, MJ</t>
  </si>
  <si>
    <t>Jennings, Stephen J. A.; Davies, Bethan J.; Nyvlt, Daniel; Glasser, Neil F.; Engel, Zbynek; Hrbacek, Filip; Carrivick, Jonathan L.; Mlcoch, Bedrich; Hambrey, Michael J.</t>
  </si>
  <si>
    <t>Geomorphology of Ulu Peninsula, James Ross Island, Antarctica</t>
  </si>
  <si>
    <t>JOURNAL OF MAPS</t>
  </si>
  <si>
    <t>Geomorphology; palaeoglaciology; Ulu Peninsula; James Ross Island; Antarctic Peninsula; Antarctica</t>
  </si>
  <si>
    <t>This study presents a 1:25,000 geomorphological map of the northern sector of Ulu Peninsula, James Ross Island, Antarctic Peninsula. The map covers an area of c. 250 km(2), and documents the landforms and surficial sediments of one of the largest ice-free areas in Antarctica, based on remote sensing and field-based mapping. The large-scale landscape features are determined by the underlying Cretaceous sedimentary and Neogene volcanic geology, which has been sculpted by overlying ice masses during glacial periods. Paraglacial and periglacial features are superimposed upon remnant glacial features, reflecting the post-glacial evolution of the landscape. The study area can be broadly separated into three geomorphological sectors, according to the dominant contemporary Earth-surface processes; specifically, a glacierised southern sector, a paraglacial-dominated eastern sector, and a periglacial-dominated central/northern sector. This map provides a basis for further interdisciplinary research, and insight into the potential future landscape evolution of other parts of the Antarctic Peninsula as the climate warms.</t>
  </si>
  <si>
    <t>[Jennings, Stephen J. A.; Nyvlt, Daniel; Hrbacek, Filip] Masaryk Univ, Dept Geog, Polar Geo Lab, Fac Sci, Kotlarska 2, Brno 61137, Czech Republic; [Davies, Bethan J.] Royal Holloway Univ London, Dept Geog, Ctr Quaternary Res, Egham, Surrey, England; [Nyvlt, Daniel; Mlcoch, Bedrich] Czech Geol Survey, Prague, Czech Republic; [Glasser, Neil F.; Hambrey, Michael J.] Aberystwyth Univ, Dept Geog &amp; Earth Sci, Ctr Glaciol, Aberystwyth, Dyfed, Wales; [Engel, Zbynek] Charles Univ Prague, Dept Phys Geog &amp; Geoecol, Fac Sci, Prague, Czech Republic; [Carrivick, Jonathan L.] Univ Leeds, Sch Geog, Leeds, W Yorkshire, England</t>
  </si>
  <si>
    <t>Masaryk University Brno; University of London; Royal Holloway University London; Czech Geological Survey; Aberystwyth University; Charles University Prague; University of Leeds</t>
  </si>
  <si>
    <t>Jennings, SJA (corresponding author), Masaryk Univ, Dept Geog, Polar Geo Lab, Fac Sci, Kotlarska 2, Brno 61137, Czech Republic.</t>
  </si>
  <si>
    <t>242540@mail.muni.cz</t>
  </si>
  <si>
    <t>Hrbacek, Filip/ABG-4319-2020; Davies, Bethan/KFR-3266-2024; Jennings, Stephen J. A./ABD-2966-2021; Engel, Zbyněk/S-2954-2016; Nyvlt, Daniel/D-5708-2011</t>
  </si>
  <si>
    <t>Hrbacek, Filip/0000-0001-5032-9216; Davies, Bethan/0000-0002-8636-1813; Jennings, Stephen J. A./0000-0003-4255-4522; Engel, Zbyněk/0000-0002-5209-7823; Nyvlt, Daniel/0000-0002-6876-490X; Carrivick, Jonathan/0000-0002-9286-5348; Hambrey, Michael/0000-0003-0662-1783; Glasser, Neil/0000-0002-8245-2670</t>
  </si>
  <si>
    <t>Operational Programme Research, Development, and Education - Project Postdoc@-MUNI [CZ.02.2.69/0.0/0.0/16_027/0008360]; J. G. Mendel Station [LM2015078, VAN2020/1]; project NUNANTAR (Fundacao para a Ciencia e a Tecnologia, Portugal) [02/SAICT/2017-32002]; UK Natural Environment Research Council (NERC) under the Antarctic Funding Initiative [NE/F012942/1]; British Antarctic Survey; Royal Navy</t>
  </si>
  <si>
    <t>Operational Programme Research, Development, and Education - Project Postdoc@-MUNI; J. G. Mendel Station; project NUNANTAR (Fundacao para a Ciencia e a Tecnologia, Portugal); UK Natural Environment Research Council (NERC) under the Antarctic Funding Initiative(UK Research &amp; Innovation (UKRI)Natural Environment Research Council (NERC)); British Antarctic Survey; Royal Navy</t>
  </si>
  <si>
    <t>This work was supported from Operational Programme Research, Development, and Education - Project Postdoc@-MUNI(No.CZ.02.2.69/0.0/0.0/16_027/0008360), by infrastructural projects supporting the operation of the J. G. Mendel Station (LM2015078 and VAN2020/1), and was partly supported by the project NUNANTAR (02/SAICT/2017-32002; Fundacao para a Ciencia e a Tecnologia, Portugal). Fieldwork was also funded by the UK Natural Environment Research Council (NERC) under the Antarctic Funding Initiative (NE/F012942/1). Transport, logistics, and fieldwork on James Ross Island for BJD, NFG, JLC, and MJH were supported by the British Antarctic Survey and the Royal Navy, and we thank the captain and crew of the RRS Ernest Shackleton, the RRS James Clark Ross, and HMS Protector for their support.</t>
  </si>
  <si>
    <t>1744-5647</t>
  </si>
  <si>
    <t>J MAPS</t>
  </si>
  <si>
    <t>J. Maps</t>
  </si>
  <si>
    <t>10.1080/17445647.2021.1893232</t>
  </si>
  <si>
    <t>Geography; Geography, Physical</t>
  </si>
  <si>
    <t>Geography; Physical Geography</t>
  </si>
  <si>
    <t>QT0IR</t>
  </si>
  <si>
    <t>WOS:000626277000001</t>
  </si>
  <si>
    <t>Warwick-Evans, V; Santora, JA; Waggitt, JJ; Trathan, PN</t>
  </si>
  <si>
    <t>Warwick-Evans, V; Santora, J. A.; Waggitt, J. J.; Trathan, P. N.</t>
  </si>
  <si>
    <t>Multi-scale assessment of distribution and density of procellariiform seabirds within the Northern Antarctic Peninsula marine ecosystem</t>
  </si>
  <si>
    <t>climate change; ecosystem oceanography; fisheries management; species distribution modelling</t>
  </si>
  <si>
    <t>PREDATOR-PREY INTERACTIONS; KING-GEORGE-ISLAND; SPATIAL AUTOCORRELATION; HABITAT-USE; POPULATION-DYNAMICS; ELEPHANT ISLAND; RED HERRINGS; ABUNDANCE; KRILL; VARIABILITY</t>
  </si>
  <si>
    <t>The Antarctic Peninsula is one of the most rapidly warming regions on earth, and it is likely that the abundance and distribution of marine predators will change as a result. Procellariiform seabirds are highly mobile predators, which target specific habitat characteristics associated with underlying distributions of prey and areas of increased prey availability. We use ship surveys and hurdle models, to estimate the summer distribution and relative density of 11 seabird species within the northern Antarctic Peninsula marine ecosystem. Models differed among species; however, sea surface temperature and depth were frequently associated with seabird occurrence and had the greatest explanatory power across many species. Null models based on observation data were better at predicting seabird density than models that included environmental covariates. This suggests that the main driver of distribution patterns is the broad-scale habitat features, and fine-scale aggregations within these ranges are harder to predict. Our seabird distribution models reflect known habitat associations, species hotspots, and community organization relative to oceanic and coastal marine processes. Application of species distribution models will benefit the assessments of critical habitat and potential responses to climate change and anthropogenic disturbance, which will provide insight into how species may change in polar ecosystems.</t>
  </si>
  <si>
    <t>[Warwick-Evans, V; Trathan, P. N.] British Antarctic Survey, Ecosyst Dept, Madingely Rd, Cambridge CB3 0ET, England; [Santora, J. A.] NOAA, Fisheries Ecol Div, Southwest Fisheries Sci Ctr, Natl Marine Fisheries Serv, 110 McAllister Way, Santa Cruz, CA 95060 USA; [Santora, J. A.] Univ Calif Santa Cruz, Dept Appl Math, 110 McAllister Way, Santa Cruz, CA 95060 USA; [Waggitt, J. J.] Bangor Univ, Sch Ocean Sci, Isle Of Anglesey LL59 5AB, Wales</t>
  </si>
  <si>
    <t>UK Research &amp; Innovation (UKRI); Natural Environment Research Council (NERC); NERC British Antarctic Survey; National Oceanic Atmospheric Admin (NOAA) - USA; University of California System; University of California Santa Cruz; Bangor University</t>
  </si>
  <si>
    <t>Warwick-Evans, V (corresponding author), British Antarctic Survey, Ecosyst Dept, Madingely Rd, Cambridge CB3 0ET, England.</t>
  </si>
  <si>
    <t>vicrwi@bas.ac.uk</t>
  </si>
  <si>
    <t>Warwick-Evans, Victoria/0000-0002-0583-5504</t>
  </si>
  <si>
    <t>Darwin Plus grant [072]; Pew Charitable Trusts [PA00034295]; NERC [bas0100035] Funding Source: UKRI</t>
  </si>
  <si>
    <t>Darwin Plus grant; Pew Charitable Trusts; NERC(UK Research &amp; Innovation (UKRI)Natural Environment Research Council (NERC))</t>
  </si>
  <si>
    <t>Darwin Plus grant 072 and Pew Charitable Trusts: (Grant Number: PA00034295).</t>
  </si>
  <si>
    <t>10.1093/icesjms/fsab020</t>
  </si>
  <si>
    <t>WOS:000692552000013</t>
  </si>
  <si>
    <t>Emmer, A; Le Roy, M; Sattar, A; Veettil, BK; Alcalá-Reygosa, J; Campos, N; Malecki, J; Cochachin, A</t>
  </si>
  <si>
    <t>Emmer, Adam; Le Roy, Melaine; Sattar, Ashim; Veettil, Bijeesh K.; Alcala-Reygosa, Jesus; Campos, Nestor; Malecki, Jakub; Cochachin, Alejo</t>
  </si>
  <si>
    <t>Glacier retreat and associated processes since the Last Glacial Maximum in the Lejiamayu valley, Peruvian Andes</t>
  </si>
  <si>
    <t>Glacier retreat; Glacier extent reconstruction; Moraine mapping; Glacial lakes; Cordillera blanca</t>
  </si>
  <si>
    <t>CORDILLERA-BLANCA; TROPICAL ANDES; ICE-AGE; SURFACE VELOCITIES; SOUTHERN NORWAY; LICHENOMETRY; MORAINES; CLIMATE; GROWTH; FLUCTUATIONS</t>
  </si>
  <si>
    <t>In this study, we examine glacier retreat and associated processes in the Lejiamayu valley, central Cordillera Blanca, Peru (9.27 degrees S; 77.48 degrees W) since the Last Glacial Maximum (LGM). Based on detailed mapping of well-preserved moraines, we reconstruct glacier extent during the LGM, the Antarctic Cold Reversal (ACR) and the Little Ice Age (LIA), being 21.34 km(2) (LGM), 13.68 km(2) (ACR) and 6.84 km(2) (LIA). We document that glacier extent decreased to 2,86 km(2) since the end of the LIA in this catchment (ice loss 58%). In addition, we explore the colonization and growth of lichens and Schmidt-hammer rock test R-values over the deglaciated surfaces, suggesting a relationship to possible evironmental controls rather than to the timing of the exposure. Further, we use empirical glacier velocity-based equation to estimate maximum potential future volume of the new glacial lake forming in the upper part of the valley (4725 m a.s.l.; 2.2 Mm(3)). We conclude that previous estimates of future lake volume might have been underestimated and that the sufficiency of the glacial lake outburst flood (GLOF) mitigation measures implemented at downstream located Lake Lejiacocha (4628 m a.s.l.) should be revised in future.</t>
  </si>
  <si>
    <t>[Emmer, Adam] Karl Franzens Univ Graz, Inst Geog &amp; Reg Sci, A-8010 Graz, Austria; [Le Roy, Melaine] Univ Geneva, Inst Environm Sci Climate Change Impacts &amp; Risks, CH-1205 Geneva, Switzerland; [Le Roy, Melaine] Univ Grenoble Alpes, Univ Savoie Mt Blanc, Chambery, EDYTEM, F-73000 Chambery, France; [Sattar, Ashim] Univ Dayton, Dept Geol &amp; Environm Geosci, Dayton, OH 45469 USA; [Veettil, Bijeesh K.] Duy Tan Univ, Inst Fundamental &amp; Appl Sci, Ho Chi Minh City 700000, Vietnam; [Alcala-Reygosa, Jesus] Univ Nacl Autonoma Mexico, Fac Filosofia &amp; Letras, Ciudad Univ, Ciudad De Mexico 04510, Mexico; [Campos, Nestor] Univ Playa Ancha, Fac Ciencias Nat &amp; Exactas, Dept Ciencias Geog, Lab Teledetecc Ambiental TeleAmb, Valparaiso, Chile; [Malecki, Jakub] Adam Mickiewicz Univ, Inst Geoecol &amp; Geoinformat, Poznan, Poland; [Cochachin, Alejo] Autoridad Nacl Agua, Area Evaluac Glaciares &amp; Lagunas, Huaraz, Peru; [Sattar, Ashim] Univ Zurich, Dept Geog, CH-8057 Zurich, Switzerland; [Veettil, Bijeesh K.] Duy Tan Univ, Fac Informat Technol, Da Nang 550000, Vietnam</t>
  </si>
  <si>
    <t>University of Graz; University of Geneva; Communaute Universite Grenoble Alpes; Universite Grenoble Alpes (UGA); Centre National de la Recherche Scientifique (CNRS); Universite Savoie Mont Blanc; University System of Ohio; University of Dayton; Duy Tan University; Universidad Nacional Autonoma de Mexico; Universidad de Playa Ancha; Adam Mickiewicz University; University of Zurich; Duy Tan University</t>
  </si>
  <si>
    <t>Emmer, A (corresponding author), Karl Franzens Univ Graz, Inst Geog &amp; Reg Sci, A-8010 Graz, Austria.</t>
  </si>
  <si>
    <t>aemmer@seznam.cz</t>
  </si>
  <si>
    <t>Sattar, Ashim/HPE-5061-2023; Kozhikkodan Veettil, Bijeesh/Q-6489-2017; Emmer, Adam/P-5500-2014; Malecki, Jakub/M-6881-2014</t>
  </si>
  <si>
    <t>Sattar, Ashim/0000-0002-9440-2929; Kozhikkodan Veettil, Bijeesh/0000-0003-4158-4578; Emmer, Adam/0000-0002-8268-990X; LE ROY, MELAINE/0000-0002-1886-6051; Malecki, Jakub/0000-0002-1338-5232</t>
  </si>
  <si>
    <t>University of Graz; Swiss Government Excellence Postdoc Award</t>
  </si>
  <si>
    <t>We thank anonymous reviewer for insightful comments and suggestions which helped to improve initial version of this study. AE acknowledge the financial support by the University of Graz. AE is a member of the RCUK-CONICYT Glacial Lakes of Peru (GLOP) project. AS is supported by the Swiss Government Excellence Postdoc Award. We thank Sarah Hall and Jose Ubeda for sharing unpublished 10Be dating results and for fruitful discussions about late Quaternary glacier variations in CB. This paper was developed in the frame of activities of ARNEES community (Alpine Research Network of Early carEer Scientists) .</t>
  </si>
  <si>
    <t>10.1016/j.jsames.2021.103254</t>
  </si>
  <si>
    <t>TE8RX</t>
  </si>
  <si>
    <t>WOS:000670275600001</t>
  </si>
  <si>
    <t>Poblete, Y; Botero-Delgadillo, E; Espíndola-Hernández, P; Südel, G; Vásquez, RA</t>
  </si>
  <si>
    <t>Poblete, Yanina; Botero-Delgadillo, Esteban; Espindola-Hernandez, Pamela; Sudel, Gabriela; Vasquez, Rodrigo A.</t>
  </si>
  <si>
    <t>Female extra-pair behavior is not associated with reduced paternal care in Thorn-tailed Rayadito</t>
  </si>
  <si>
    <t>Aphrastura spinicauda; extra‐ pair paternity; facultative male response; nest attendance; parental care; southern Chile</t>
  </si>
  <si>
    <t>Extra-pair behavior is present in 76% of socially monogamous bird species with biparental care. This behavior may produce costs to females related to a reduction in paternal care. We estimated the percentage of extra-pair offspring and quantified paternal care in 44 nests of Thorn-tailed Rayadito (Aphrastura spinicauda) to assess whether males reduce their parental care when females obtain extra-pair fertilizations. We used data from a sub-Antarctic population of Rayadito located on Navarino Island (55 degrees 4 ' S, 67 degrees 40 ' W), southern Chile. We found no statistical support for a relationship between variation in paternal care and the percentage of extra-pair offspring. We discuss how the inability of breeding males to assess their genetic paternity and potential restrictions on behavioral flexibility may explain this result. Additionally, if paternal care is subjected to sexual selection, this could limit a facultative response to female extra-pair behavior by males. Finally, it is possible that a reduction in paternal care might not have evolved in this particular locality given the low frequency of extra-pair paternity in our study population.</t>
  </si>
  <si>
    <t>[Poblete, Yanina; Botero-Delgadillo, Esteban; Espindola-Hernandez, Pamela; Sudel, Gabriela; Vasquez, Rodrigo A.] Univ Chile, Fac Ciencias, Dept Ciencias Ecol, Inst Ecol &amp; Biodiversidad, Santiago, Chile; [Poblete, Yanina] Univ Las Amer, Inst Ciencias Natur, NIAVA Nucleo Invest Aplicadas Ciencias Vet &amp; Agro, Manuel Montt 948, Santiago, Chile; [Botero-Delgadillo, Esteban; Espindola-Hernandez, Pamela] Max Planck Inst Ornithol, Dept Behav Ecol &amp; Evolutionary Genet, Seewiesen, Germany; [Botero-Delgadillo, Esteban] SELVA Res Conservat Neotrop, Bogota, Colombia</t>
  </si>
  <si>
    <t>Universidad de Chile; Universidad de Las Americas - Chile; Max Planck Society</t>
  </si>
  <si>
    <t>Poblete, Y (corresponding author), Univ Las Amer, Inst Ciencias Natur, NIAVA Nucleo Invest Aplicadas Ciencias Vet &amp; Agro, Manuel Montt 948, Santiago, Chile.</t>
  </si>
  <si>
    <t>yanina.poblete@udla.cl</t>
  </si>
  <si>
    <t>Poblete, Yanina/GXA-0464-2022; Espindola Hernandez, Pamela/H-1934-2017</t>
  </si>
  <si>
    <t>Poblete, Yanina/0000-0002-1378-9341; Espindola Hernandez, Pamela/0000-0002-9771-6907; Vasquez, Rodrigo A/0000-0003-4309-6789</t>
  </si>
  <si>
    <t>FONDECYT [1100359, 1140548]; ICM [P05-002]; CONICYT-Chile [PFB-23]; CONICYT-Chile-IEB [AFB-170008]; CONICYT [21130127]</t>
  </si>
  <si>
    <t>FONDECYT(Comision Nacional de Investigacion Cientifica y Tecnologica (CONICYT)CONICYT FONDECYT); ICM; CONICYT-Chile(Comision Nacional de Investigacion Cientifica y Tecnologica (CONICYT)); CONICYT-Chile-IEB; CONICYT(Comision Nacional de Investigacion Cientifica y Tecnologica (CONICYT))</t>
  </si>
  <si>
    <t>FONDECYT, Grant/Award Number: 1100359 and 1140548; ICM, Grant/Award Number: P05-002; PFB-23 CONICYT-Chile; AFB-170008-CONICYT-Chile-IEB; CONICYT, Grant/Award Number: 21130127</t>
  </si>
  <si>
    <t>10.1002/ece3.7232</t>
  </si>
  <si>
    <t>RH4LN</t>
  </si>
  <si>
    <t>WOS:000625656100001</t>
  </si>
  <si>
    <t>Cardona, L; Lloret-Lloret, E; Moles, J; Avila, C</t>
  </si>
  <si>
    <t>Cardona, Luis; Lloret-Lloret, Elena; Moles, Juan; Avila, Conxita</t>
  </si>
  <si>
    <t>Latitudinal changes in the trophic structure of benthic coastal food webs along the Antarctic Peninsula</t>
  </si>
  <si>
    <t>Detritus bank; Dendrilla antarctica; Desmarestia; Diplasterias brucei; Layman metrics; Margarella antarctica; Nacella concinna; Odontaster validus</t>
  </si>
  <si>
    <t>STABLE-ISOTOPE RATIOS; KING-GEORGE ISLAND; ORGANIC-MATTER; WATER MASS; SEA-ICE; DELTA-C-13; DELTA-N-15; CARBON; WEST; COMMUNITIES</t>
  </si>
  <si>
    <t>Stable isotopes of C and N have been used to assess the effect of the duration of the sea ice season on the structure of benthic, Antarctic coastal food webs. Samples of suspended particulate organic matter, macroalgae and macroinvertebrates were collected at five subtidal rocky sites across a latitudinal gradient along the western Antarctic Peninsula and among the South Shetland Islands. We tested the hypotheses that trophic positions of omnivores decrease, and food web structure becomes more redundant at higher latitudes. A latitudinal shift in the isotope baseline was detected for both 613C and 615N, but the trophic positions of macroinvertebrates and their relative positions along the 613C axis and were basically constant across sites, even after rescaling stable isotope ratios to account for shifts in the baseline. Although the northernmost and southernmost study sites differed significantly in most of the metrics of the food web structure, changes with latitude and the duration of the sea ice season were non-monotonic. Highly productive phytoplankton blooms during the ice-free season at Esperanza Bay and Rothera Point may explain the observed pattern, as they result in a massive supply of planktonic organic matter to the detritus bank in the seabed and, hence, shorten the C range and increase trophic redundancy. If this hypothesis is correct, the intensity of the summer phytoplankton bloom can be as relevant for the structure of the benthic marine food web as the duration of the sea ice season.</t>
  </si>
  <si>
    <t>[Cardona, Luis; Lloret-Lloret, Elena; Avila, Conxita] Univ Barcelona, Fac Biol, Dept Evolutionary Biol Ecol &amp; Environm Sci, IRBio, Av Diagonal 643, Barcelona 08029, Catalonia, Spain; [Moles, Juan] SNSB Bavarian State Collect Zool, Sect Mollusca, Munchhausenstr 21, D-81247 Munich, Germany</t>
  </si>
  <si>
    <t>University of Barcelona</t>
  </si>
  <si>
    <t>Cardona, L (corresponding author), CSIC, Consejo Super Invest Cient, Inst Ciencies Mar, ICM, Barcelona, Spain.</t>
  </si>
  <si>
    <t>luis.cardona@ub.edu</t>
  </si>
  <si>
    <t>Moles, Juan/H-4786-2018; Lloret Lloret, Elena/AGO-3559-2022; Cardona, Luis/L-1680-2014; Avila, Conxita/B-9466-2008</t>
  </si>
  <si>
    <t>Moles, Juan/0000-0003-4511-4055; Lloret Lloret, Elena/0000-0002-5795-1945; Cardona, Luis/0000-0002-7892-1323; Avila, Conxita/0000-0002-5489-8376</t>
  </si>
  <si>
    <t>Spanish Government [DISTANTCOM: CTM2013-42667/ANT, BLUEBIO: CTM2016-78901/ANT]; Alexander von Humboldt Foundation (Germany)</t>
  </si>
  <si>
    <t>Spanish Government(Spanish Government); Alexander von Humboldt Foundation (Germany)(Alexander von Humboldt Foundation)</t>
  </si>
  <si>
    <t>We are thankful to all the participants of the DISTANTCOM and BLUEBIO projects and the crew of the Spanish BIO-Hesperides for their logistic support in the field. Thanks are due to Jordi Rull and Rafael P. Martin for their help with the taxonomical identification of the algae. Financial support was provided by grants from the Spanish Government (DISTANTCOM: CTM2013-42667/ANT, BLUEBIO: CTM2016-78901/ANT) to C.A. JM postdoctoral fellowship was supported by the Alexander von Humboldt Foundation (Germany). This is an Ant-ECO (SCAR) contribution. Authors declare no conflict of interest.</t>
  </si>
  <si>
    <t>10.1016/j.marenvres.2021.105290</t>
  </si>
  <si>
    <t>WOS:000651797100004</t>
  </si>
  <si>
    <t>Cannone, N; Guglielmin, M; Malfasi, F; Hubberten, HW; Wagner, D</t>
  </si>
  <si>
    <t>Cannone, N.; Guglielmin, M.; Malfasi, F.; Hubberten, H. W.; Wagner, D.</t>
  </si>
  <si>
    <t>Rapid soil and vegetation changes at regional scale in continental Antarctica</t>
  </si>
  <si>
    <t>GEODERMA</t>
  </si>
  <si>
    <t>Soil chemistry; Alkalinization; Vegetation changes; Manipulation experiment</t>
  </si>
  <si>
    <t>SOUTHERN VICTORIA LAND; ROSS SEA REGION; LATITUDINAL GRADIENT; TERRESTRIAL VEGETATION; COMMUNITY STRUCTURE; LICHEN VEGETATION; CLIMATE-CHANGE; POLAR DESERT; KAR PLATEAU; WILKES-LAND</t>
  </si>
  <si>
    <t>Antarctica is the last pristine environment on Earth, its biota being adapted to the harsh and extreme polar climate. Until now, soil formation and vegetation development in continental Antarctica were considered very slow due to the extreme conditions of this polar desert. Since the austral summer 2002/2003, a long-term monitoring network of the terrestrial ecosystems (soils, vegetation, active layer thickness) has been established at Victoria Land (VL) across a &gt; 500 km latitudinal gradient of coastal sites (73 degrees -77 degrees S). In only one decade large ecosystem changes were detected. Climate was characterized by a significant increase of thawing degree days in northern VL and of autumn air temperature. No extreme climatic events (such as hot spells) where detected in the study period. Soil chemistry suffered large quantitative changes, clearly indicating rapid pedogenetic processes. In most soils the upper layers exhibited a strong alkalinization (pH increases up to 3 units) and increases in conductivity, anions and cations (in particular of SO4 and Na). The largest changes were observed in soils with low vegetation cover. Statistically significant differences in soil chemistry were detected between soils with high and low vegetation cover, the former showing lower pH, conductivity, Na and Cl. Most plots exhibited changes of total cover, species richness and floristic composition, with vegetation expansion in soils with low vegetation cover and the largest increase recorded at Apostrophe Island (northern VL). Principal Component Analysis (PCA) identified the main trend of vegetation change, with a shift from lower to higher cover and a secondary trend of change associated with a gradient of water availability, consistent with an increase in water instead of snow. Redundancy analysis (RDA) identified the trend of change in soil chemistry with increases in pH, conductivity, anions and cations associated with the concomitant decrease in C, N, NO3, PO4. The RDA confirmed that soil changes were associated with a gradient of vegetation change (from low to high cover) as well as of water availability, as already indirectly outlined by the PCA. Field manipulation experiments carried out at five locations of the network between 73 degrees S and 77 degrees S, simulating increases of precipitation from snow or water additions didn't induce changes in soil pH, indicating that pulse events of snow accumulation or melting could not trigger persistent soil pH changes. These data allow hypothesize the occurrence of a main ecosystem change occurring at regional scale at Victoria Land. The slight air warming and its consequences on soil chemistry and vegetation, further highlight the sensitivity of the fragile Antarctic ecosystems to the consequences of even small changes in climate.</t>
  </si>
  <si>
    <t>[Cannone, N.; Malfasi, F.] Univ Insubria, Dept Sci &amp; High Technol, Via Valleggio 11, I-22100 Como, CO, Italy; [Guglielmin, M.] Univ Insubria, Dept Theoret &amp; Appl Sci, Via JH Dunant 3, I-21100 Varese, VA, Italy; [Hubberten, H. W.] Alfred Wegener Inst, Helmholtz Ctr Polar &amp; Marine Res, D-14473 Potsdam, Germany; [Wagner, D.] GFZ German Res Ctr Geosci, Sect Geomicrobiol, D-14473 Potsdam, Germany; [Wagner, D.] Univ Potsdam, Inst Earth &amp; Environm Sci, Karl Liebknecht Str 24-25, D-14476 Potsdam, Germany</t>
  </si>
  <si>
    <t>University of Insubria; University of Insubria; Helmholtz Association; Alfred Wegener Institute, Helmholtz Centre for Polar &amp; Marine Research; Helmholtz Association; Helmholtz-Center Potsdam GFZ German Research Center for Geosciences; University of Potsdam</t>
  </si>
  <si>
    <t>Cannone, N (corresponding author), Univ Insubria, Dept Sci &amp; High Technol, Via Valleggio 11, I-22100 Como, CO, Italy.</t>
  </si>
  <si>
    <t>nicoletta.cannone@uninsubria.it</t>
  </si>
  <si>
    <t>Wagner, Dirk/C-3932-2012; Malfasi, Francesco/JTS-5575-2023</t>
  </si>
  <si>
    <t>Wagner, Dirk/0000-0001-5064-497X; Malfasi, Francesco/0000-0002-2660-8327</t>
  </si>
  <si>
    <t>PNRA (Progetto Nazionale Ricerche in Antartide); Progetto Nazionale Ricerche in Antartide [PDR2009/A2.12, 2013/AZ1.05]</t>
  </si>
  <si>
    <t>PNRA (Progetto Nazionale Ricerche in Antartide); Progetto Nazionale Ricerche in Antartide</t>
  </si>
  <si>
    <t>We thank PNRA (Progetto Nazionale Ricerche in Antartide) for funding and logistical support. This paper has been supported by Progetto Nazionale Ricerche in Antartide (grant number PDR2009/A2.12 year 2009; grant number 2013/AZ1.05, year 2013). This paper also contributes to the SCAR `AnTERA' (Antarctic ThresholdsEcosystem Resilience and Adaptation) and `AntECO' (State of the Antarctic Ecosystem) programs. We thank Paolo Grigioni and the MeteoClimatological Observatory of PNRA (www.climantartide.it) for supplying air temperature data at the AWS Eneide and Cape King. Special thanks go to Oliver Burckhardt (German Research Centre for Geosciences) for his assistance with the soil chemical analysis. We thank two anonymous reviewers who improved our work.</t>
  </si>
  <si>
    <t>0016-7061</t>
  </si>
  <si>
    <t>1872-6259</t>
  </si>
  <si>
    <t>Geoderma</t>
  </si>
  <si>
    <t>10.1016/j.geoderma.2021.115017</t>
  </si>
  <si>
    <t>RP2UB</t>
  </si>
  <si>
    <t>WOS:000641587900009</t>
  </si>
  <si>
    <t>McLaskey, AK; Keister, JE</t>
  </si>
  <si>
    <t>McLaskey, Anna K.; Keister, Julie E.</t>
  </si>
  <si>
    <t>An integrated field-laboratory investigation of the effects of low oxygen and pH on North Pacific krill (Euphausia pacifica)</t>
  </si>
  <si>
    <t>ELECTRON-TRANSPORT-SYSTEM; OCEAN ACIDIFICATION; CALIFORNIA CURRENT; THYSANOESSA-INERMIS; ANTARCTIC KRILL; PUGET-SOUND; GROWTH; ZOOPLANKTON; VARIABILITY; RESPIRATION</t>
  </si>
  <si>
    <t>Krill are abundant and ecologically important zooplankton that inhabit dynamic environments characterized by strong natural variability, but global ocean change is shifting the range of conditions that they experience. Laboratory tests reveal that krill are sensitive to ocean acidification despite residing in naturally low pH areas, showing the importance of modulating factors for determining their responses. This study combines laboratory manipulations with field observations across a strong natural water chemistry gradient in Puget Sound, Washington, USA to investigate the effects of pH and oxygen on adult female North Pacific krill, Euphausia pacifica. Enzyme activities of the Electron Transport System (ETS) and aminoacyl-tRNA synthetases (AARS) were used as indices of zooplankton metabolism and growth, respectively, and were paired with traditional incubation methods. Acclimation to pH and oxygen conditions in the laboratory did not reveal effects on respiration rate, ETS, or AARS activity of krill. However, field observations showed that respiratory potential, as estimated by ETS activity, decreased with decreasing oxygen, declining 9% (95% confidence interval 2.5-15%) over the range of conditions we observed (3.9-8.1 mg O-2 L-1). This reduction would depress the metabolic potential of krill in areas of stressful conditions (concurrent low pH), though krill also displayed a high degree of inter-individual variability. Although differences in age structure suggest different patterns of recruitment between E. pacifica populations in areas with stressful conditions and those without, populations persist at stressful sites. Lower temperature of waters with low oxygen and pH, as well as high food concentrations, may contribute to these populations' success.</t>
  </si>
  <si>
    <t>[McLaskey, Anna K.] Univ British Columbia, Inst Oceans &amp; Fisheries, 2202 Main Mall, Vancouver, BC V6T 1Z4, Canada; [McLaskey, Anna K.] Hakai Inst, POB 25039, Campbell River, BC V9W 0B7, Canada; [McLaskey, Anna K.; Keister, Julie E.] Univ Washington, Sch Oceanog, Box 357940, Seattle, WA 98105 USA</t>
  </si>
  <si>
    <t>University of British Columbia; Hakai Institute; University of Washington; University of Washington Seattle</t>
  </si>
  <si>
    <t>McLaskey, AK (corresponding author), Univ British Columbia, Inst Oceans &amp; Fisheries, 2202 Main Mall, Vancouver, BC V6T 1Z4, Canada.;McLaskey, AK (corresponding author), Hakai Inst, POB 25039, Campbell River, BC V9W 0B7, Canada.;McLaskey, AK (corresponding author), Univ Washington, Sch Oceanog, Box 357940, Seattle, WA 98105 USA.</t>
  </si>
  <si>
    <t>a.mclaskey@oceans.ubc.ca</t>
  </si>
  <si>
    <t>Keister, Julie/AAD-5734-2019</t>
  </si>
  <si>
    <t>Keister, Julie/0000-0002-9385-5889; McLaskey, Anna/0000-0002-4399-6130</t>
  </si>
  <si>
    <t>Washington Ocean Acidification Center; University of Washington School of Oceanography; Patricia L. Dudley Endowment from the Friday Harbor Laboratories; National Science Foundation (NSF) Graduate Research Fellowship Program [DGE-1256082]; NSF [OCE-1657992]</t>
  </si>
  <si>
    <t>Washington Ocean Acidification Center; University of Washington School of Oceanography; Patricia L. Dudley Endowment from the Friday Harbor Laboratories; National Science Foundation (NSF) Graduate Research Fellowship Program(National Science Foundation (NSF)); NSF(National Science Foundation (NSF))</t>
  </si>
  <si>
    <t>This research was supported by the Washington Ocean Acidification Center, the University of Washington School of Oceanography, the Patricia L. Dudley Endowment from the Friday Harbor Laboratories, the National Science Foundation (NSF) Graduate Research Fellowship Program under Grant No. DGE-1256082 (AKM), and NSF award OCE-1657992 to JEK.</t>
  </si>
  <si>
    <t>MAR 5</t>
  </si>
  <si>
    <t>10.1007/s00227-021-03845-8</t>
  </si>
  <si>
    <t>QT3SV</t>
  </si>
  <si>
    <t>WOS:000626510900001</t>
  </si>
  <si>
    <t>Tetzner, D; Thomas, ER; Allen, CS; Wolff, EW</t>
  </si>
  <si>
    <t>Tetzner, Dieter; Thomas, Elizabeth R.; Allen, Claire S.; Wolff, Eric W.</t>
  </si>
  <si>
    <t>A Refined Method to Analyze Insoluble Particulate Matter in Ice Cores, and Its Application to Diatom Sampling in the Antarctic Peninsula</t>
  </si>
  <si>
    <t>continuous flow analysis; scanning electron microscope; insoluble particles; ice cores; dust; diatoms; Antarctic Peninsula; climate proxies</t>
  </si>
  <si>
    <t>The insoluble particulate matter deposited on ice sheets provide key information to reconstruct past climate. The low concentration of some insoluble particulate matter, such as terrigenous particles and microfossils, challenges the efficiency of the recovery and the representativeness of the results. Here we present a new optimized method to extract, quantify and classify targeted low concentration insoluble particulate matter. Particle recovery rates and particle distribution were investigated using polystyrene particle standards filtered through Polycarbonate membrane filters and subsequently scanned in a scanning electron microscope. Experimental results in continuous and discrete sampling systems reveal consistent trends in the transport and removal of particulate material inside a filtration system. Statistical simulations are used to optimize the sample analyses required to achieve representative results. The analysis of diatoms in ice cores using this new method uncovered their potential to hold valuable climate records from the Antarctic Peninsula region. The data presented here evidence the presence of a measurable amount of marine diatoms with sub-annual variations, highlighting the potential of this record as a seasonal indicator. The new method presented provides an optimized and statistically representative approach for extracting, recovering and analyzing micrometre-sized, low-concentration insoluble particulate matter in ice.</t>
  </si>
  <si>
    <t>[Tetzner, Dieter; Thomas, Elizabeth R.; Allen, Claire S.] British Antarctic Survey, Cambridge, England; [Tetzner, Dieter; Wolff, Eric W.] Univ Cambridge, Dept Earth Sci, Cambridge, England</t>
  </si>
  <si>
    <t>UK Research &amp; Innovation (UKRI); Natural Environment Research Council (NERC); NERC British Antarctic Survey; University of Cambridge</t>
  </si>
  <si>
    <t>Tetzner, D (corresponding author), British Antarctic Survey, Cambridge, England.;Tetzner, D (corresponding author), Univ Cambridge, Dept Earth Sci, Cambridge, England.</t>
  </si>
  <si>
    <t>dt462@cam.ac.uk</t>
  </si>
  <si>
    <t>Wolff, Eric W/D-7925-2014; Thomas, Elizabeth Ruth/ADF-3660-2022</t>
  </si>
  <si>
    <t>Wolff, Eric W/0000-0002-5914-8531; Thomas, Elizabeth Ruth/0000-0002-3010-6493</t>
  </si>
  <si>
    <t>CONICYT-Becas Chile and Cambridge Trust funding program for PhD studies [72180432]</t>
  </si>
  <si>
    <t>CONICYT-Becas Chile and Cambridge Trust funding program for PhD studies</t>
  </si>
  <si>
    <t>This research was funded by CONICYT-Becas Chile and Cambridge Trust funding program for PhD studies. Grant number 72180432.</t>
  </si>
  <si>
    <t>10.3389/feart.2021.617043</t>
  </si>
  <si>
    <t>QY9EA</t>
  </si>
  <si>
    <t>gold, Green Published, Green Accepted</t>
  </si>
  <si>
    <t>WOS:000630337500001</t>
  </si>
  <si>
    <t>Cronin, KE; Walker, SE; Bowser, SS</t>
  </si>
  <si>
    <t>Cronin, Kelly E.; Walker, Sally E.; Bowser, Samuel S.</t>
  </si>
  <si>
    <t>Striae in the Antarctic scallop Adamussium colbecki provide environmental insights but not reliable age increments</t>
  </si>
  <si>
    <t>Adamussium colbecki; Scallop; Antarctica; Sea ice; Growth increments; Wavelet analysis</t>
  </si>
  <si>
    <t>PECTEN-MAXIMUS; MCMURDO SOUND; SEA-ICE; GROWTH-RATE; TEMPERATURE; SHELLS; VARIABILITY; BIVALVIA; ARCHIVE; RECORDS</t>
  </si>
  <si>
    <t>Subannual growth increments in bivalves provide insight into past seasonal seawater conditions at high temporal resolution. The Antarctic scallop Adamussium colbecki (Smith 1902) accretes putatively fortnightly surficial growth lines (striae) and interstrial growth increments have the potential to archive sea ice variations. Cycles of paired groups of wide and narrow striae are sometimes used to determine ontogenetic age in these scallops, but previous quantitative work describing strial grouping and formation is limited to a few months of juvenile growth. Here, we analyze striae patterns in A. colbecki collected from two sites on western McMurdo Sound, Antarctica that differ by sea ice duration: Explorers Cove with multi-annual sea ice and Bay of Sails with annual sea ice. At both sites, visual analysis of striae groups and cycles (using the methods of previous authors) and wavelet analysis of interstrial increments suggest that striae groups are too variable to age A. colbecki. Only similar to 40% of striae groups and cycles conformed to expectations from annual cycles of fortnightly growth increments (similar to 26 striae per cycle). Moreover, only one scallop from each study site displayed consistent periodicity at similar to 26 striae throughout juvenile growth in wavelet analysis. Though striae grouping was inconsistent, analysis of concurrent growth of juvenile scallops from Explorers Cove suggested strong environmental control on interstrial increment size and thus that strial increments are suitable for further analysis as sea ice proxies. Finally, the multi-annual sea ice site had smaller interstrial growth increments and less valve wear than the annual sea ice site, indicating overall slower growth and possibly lower metabolic activity.</t>
  </si>
  <si>
    <t>[Cronin, Kelly E.] Georgia Southern Univ, Dept Geol &amp; Geog, Statesboro, GA 30460 USA; [Walker, Sally E.] Univ Georgia, Dept Geol, Athens, GA 30602 USA; [Bowser, Samuel S.] New York State Dept Hlth, Wadsworth Ctr, Albany, NY 12201 USA</t>
  </si>
  <si>
    <t>University System of Georgia; Georgia Southern University; University System of Georgia; University of Georgia; State University of New York (SUNY) System; Wadsworth Center</t>
  </si>
  <si>
    <t>Cronin, KE (corresponding author), Georgia Southern Univ, Dept Geol &amp; Geog, Statesboro, GA 30460 USA.</t>
  </si>
  <si>
    <t>kcronin@georgiasouthern.edu</t>
  </si>
  <si>
    <t>Cronin, Kelly/0000-0002-7112-9907</t>
  </si>
  <si>
    <t>NSF Polar Programs [ANT 0739512, OPP 1745057, PLR 1341612]; Paleontological Society; Geological Society of America</t>
  </si>
  <si>
    <t>NSF Polar Programs(National Science Foundation (NSF)); Paleontological Society; Geological Society of America</t>
  </si>
  <si>
    <t>The following research was funded by NSF Polar Programs grants ANT 0739512, OPP 1745057, and PLR 1341612 as well as grants from the Paleontological Society and the Geological Society of America to the first author.</t>
  </si>
  <si>
    <t>10.1007/s00300-021-02830-7</t>
  </si>
  <si>
    <t>WOS:000625592600002</t>
  </si>
  <si>
    <t>Quintanilla, JC; González, MP; García, JP; Olmos, P; Contreras-Lynch, S</t>
  </si>
  <si>
    <t>Quintanilla, Juan Carlos; Gonzalez, Margarita P.; Garcia, Juan Pablo; Olmos, Paola; Contreras-Lynch, Sergio</t>
  </si>
  <si>
    <t>Horizontal transmission of Piscirickettsia salmonis from the wild sub-Antarctic notothenioid fish Eleginops maclovinus to rainbow trout (Oncorhynchus mykiss) under experimental conditions</t>
  </si>
  <si>
    <t>cohabitation challenge; Eleginops maclovinus; infection; Oncorhynchus mykiss; Piscirickettsia salmonis; transmission</t>
  </si>
  <si>
    <t>BASS DICENTRARCHUS-LABRAX; ATLANTIC SALMON; COHO SALMON; GENETIC-CHARACTERIZATION; MARINE FISH; PCR ASSAY; IN-VITRO; INFECTION; ORGANISM; KISUTCH</t>
  </si>
  <si>
    <t>Piscirickettsia salmonis is the aetiological agent of piscirickettsiosis, a bacterial disease that affects farmed salmonids, causing high mortalities and significant economic losses in the Chilean salmon farm industry. Given the Chilean native fish species Patagonian blenny, Eleginops maclovinus, lives in the vicinity of salmon farms, it is relevant to clarify the epidemiological role that this species could play in the transmission and/or dissemination of this pathogen. This study aimed to evaluate the bidirectional transmission of P. salmonis between the Patagonian blenny and Oncorhynchus mykiss (rainbow trout), via a cohabitation challenge model. The results of this study demonstrated the transmission of the bacteria from Patagonian blennies to rainbow trout, considering the specific mortality in cohabitant rainbow trout, reaching 46%: the necropsy of these specimens, evidencing the characteristic pathological lesions of the disease and the positive results of the qPCR analysis for P. salmonis, in the same individuals. In contrast, no mortalities of Patagonian blenny specimens were recorded in the challenged experimental groups. This study is the first report showing the horizontal transmission of P. salmonis from a native non-salmonid species, such as the Patagonian blenny, to a salmonid species, generating the disease and specific mortality in rainbow trout, using a cohabitation challenge.</t>
  </si>
  <si>
    <t>[Quintanilla, Juan Carlos; Gonzalez, Margarita P.; Garcia, Juan Pablo; Olmos, Paola; Contreras-Lynch, Sergio] Inst Fomento Pesquero, Div Invest Acuicultura, Dept Salud Hidrobiol, Puerto Montt, Chile; [Contreras-Lynch, Sergio] Pontificia Univ Catolica Valparaiso, Univ Catolica Norte, Programa Cooperat Univ Chile, Acuicultura, Valparaiso, Chile</t>
  </si>
  <si>
    <t>Instituto de Fomento Pesquero (Valparaiso); Pontificia Universidad Catolica de Valparaiso; Universidad Catolica del Norte</t>
  </si>
  <si>
    <t>Quintanilla, JC (corresponding author), Inst Fomento Pesquero, Div Invest Acuicultura, Dept Salud Hidrobiol, Puerto Montt, Chile.</t>
  </si>
  <si>
    <t>juancarlos.quintanilla@ifop.cl</t>
  </si>
  <si>
    <t>Contreras-Lynch, Sergio/0000-0002-0029-0621; Quintanilla, Juan Carlos/0000-0003-3311-2597; Gonzalez Gomez, Margarita P./0000-0003-0382-0736</t>
  </si>
  <si>
    <t>Ministry for Economy of Chile, ASIPA Program of the Undersecretary of Fisheries and Aquaculture</t>
  </si>
  <si>
    <t>An important part of this work was financed by the Ministry for Economy of Chile, ASIPA Program of the Undersecretary of Fisheries and Aquaculture.</t>
  </si>
  <si>
    <t>10.1111/jfd.13360</t>
  </si>
  <si>
    <t>WOS:000625656600001</t>
  </si>
  <si>
    <t>Thomas, M; France, J; Crabeck, O; Hall, B; Hof, V; Notz, D; Rampai, T; Riemenschneider, L; Tooth, OJ; Tranter, M; Kaiser, J</t>
  </si>
  <si>
    <t>Thomas, Max; France, James; Crabeck, Odile; Hall, Benjamin; Hof, Verena; Notz, Dirk; Rampai, Tokoloho; Riemenschneider, Leif; Tooth, Oliver John; Tranter, Mathilde; Kaiser, Jan</t>
  </si>
  <si>
    <t>The Roland von Glasow Air-Sea-Ice Chamber (RvG-ASIC): an experimental facility for studying ocean-sea-ice-atmosphere interactions</t>
  </si>
  <si>
    <t>OPTICAL-PROPERTIES; GRAVITY DRAINAGE; GROWTH; EVOLUTION; SALINITY; PARAMETERIZATION; THERMODYNAMICS; TRANSMITTANCE; TRANSPORT; DYNAMICS</t>
  </si>
  <si>
    <t>Sea ice is difficult, expensive, and potentially dangerous to observe in nature. The remoteness of the Arctic Ocean and Southern Ocean complicates sampling logistics, while the heterogeneous nature of sea ice and rapidly changing environmental conditions present challenges for conducting process studies. Here, we describe the Roland von Glasow Air-Sea-Ice Chamber (RvG-ASIC), a laboratory facility designed to reproduce polar processes and overcome some of these challenges. The RvG-ASIC is an open-topped 3.5 m(3) glass tank housed in a cold room (temperature range: -55 to +30 degrees C). The RvG-ASIC is equipped with a wide suite of instruments for ocean, sea ice, and atmospheric measurements, as well as visible and UV lighting. The infrastructure, available instruments, and typical experimental protocols are described. To characterise some of the technical capabilities of our facility, we have quantified the timescale over which our chamber exchanges gas with the outside, pi l = (0.66 +/- 0.07) d, and the mixing rate of our experimental ocean, pi(m) = (4.2 +/- 0.1) min Characterising our light field, we show that the light intensity across the tank varies by less than 10 % near the centre of the tank but drops to as low as 60 % of the maximum intensity in one corner. The temperature sensitivity of our light sources over the 400 to 700 nm range (PAR) is (0.028 +/- 0.003) W m(-2) degrees C-1, with a maximum irradiance of 26.4 W m(-2) at 0 degrees C; over the 320 to 380 nm range, it is (0.16 +/- 0.1) W m(-2) degrees C-1, with a maximum irradiance of 5.6 Wm(-2) at 0 degrees C. We also present results characterising our experimental sea ice. The extinction coefficient for PAR varies from 3.7 to 6.1 m(-1) when calculated from irradiance measurements exterior to the sea ice and from 4.4 to 6.2 m(-1) when calculated from irradiance measurements within the sea ice. The bulk salinity of our experimental sea ice is measured using three techniques, modelled using a halo-dynamic one-dimensional (1D) gravity drainage model, and calculated from a salt and mass budget. The growth rate of our sea ice is between 2 and 4 cm d(-1) for air temperatures of (-9.2 +/- 0.9) degrees C and (-26.6 +/- 0.9) degrees C. The PAR extinction coefficients, vertically integrated bulk salinities, and growth rates all lie within the range of previously reported comparable values for first-year sea ice. The vertically integrated bulk salinity and growth rates can be reproduced well by a 1D model. Taken together, the similarities between our laboratory sea ice and observations in nature, as well as our ability to reproduce our results with a model, give us confidence that sea ice grown in the RvG-ASIC is a good representation of natural sea ice.</t>
  </si>
  <si>
    <t>[Thomas, Max; France, James; Crabeck, Odile; Tooth, Oliver John; Tranter, Mathilde; Kaiser, Jan] Univ East Anglia, Sch Environm Sci, Ctr Ocean &amp; Atmospher Sci, Norwich NR4 7TJ, Norfolk, England; [Thomas, Max] Univ Otago, Dept Phys, POB 56, Dunedin 9054, New Zealand; [France, James] NERC, British Antarctic Survey, Cambridge CB3 0ET, England; [France, James] Royal Holloway Univ London, Dept Earth Sci, Egham TW20 0EX, Surrey, England; [Crabeck, Odile] Univ Libre Bruxelles, Lab Glaciol, Brussels, Belgium; [Crabeck, Odile] Univ Liege, Unite Oceanog Chim Freshwater &amp; Ocean sCi Unit re, Liege, Belgium; [Hall, Benjamin; Rampai, Tokoloho] Univ Cape Town, Chem Engn Dept, Cape Town, South Africa; [Hof, Verena; Notz, Dirk; Riemenschneider, Leif] Max Planck Inst Meteorol, Hamburg, Germany; [Notz, Dirk] Univ Hamburg, Ctr Earth Syst Res &amp; Sustainabil CEN, Hamburg, Germany</t>
  </si>
  <si>
    <t>University of East Anglia; University of Otago; UK Research &amp; Innovation (UKRI); Natural Environment Research Council (NERC); NERC British Antarctic Survey; University of London; Royal Holloway University London; Universite Libre de Bruxelles; University of Liege; University of Cape Town; Max Planck Society; University of Hamburg</t>
  </si>
  <si>
    <t>Kaiser, J (corresponding author), Univ East Anglia, Sch Environm Sci, Ctr Ocean &amp; Atmospher Sci, Norwich NR4 7TJ, Norfolk, England.</t>
  </si>
  <si>
    <t>j.kaiser@uea.ac.uk</t>
  </si>
  <si>
    <t>Notz, Dirk/P-4428-2017; Kaiser, Jan/D-3327-2009; /Q-6028-2018; France, James/L-9719-2015</t>
  </si>
  <si>
    <t>Notz, Dirk/0000-0003-0365-5654; Kaiser, Jan/0000-0002-1553-4043; /0000-0003-1882-9303; France, James/0000-0002-8785-1240</t>
  </si>
  <si>
    <t>European Research Council [616938]; H2020 Research Infrastructure EUROCHAMP-2020 [730997]; NERC [bas0100032] Funding Source: UKRI; European Research Council (ERC) [616938] Funding Source: European Research Council (ERC)</t>
  </si>
  <si>
    <t>European Research Council(European Research Council (ERC)); H2020 Research Infrastructure EUROCHAMP-2020; NERC(UK Research &amp; Innovation (UKRI)Natural Environment Research Council (NERC)); European Research Council (ERC)(European Research Council (ERC)Spanish Government)</t>
  </si>
  <si>
    <t>This research has been supported by the European Research Council, Seventh Framework Programme (FP7 Ideas (grant no. 616938)) and the H2020 Research Infrastructure EUROCHAMP-2020 (grant no. 730997).</t>
  </si>
  <si>
    <t>10.5194/amt-14-1833-2021</t>
  </si>
  <si>
    <t>QT6ZR</t>
  </si>
  <si>
    <t>WOS:000626739200001</t>
  </si>
  <si>
    <t>Mann, ME; Steinman, BA; Brouillette, DJ; Miller, SK</t>
  </si>
  <si>
    <t>Mann, Michael E.; Steinman, Byron A.; Brouillette, Daniel J.; Miller, Sonya K.</t>
  </si>
  <si>
    <t>Multidecadal climate oscillations during the past millennium driven by volcanic forcing</t>
  </si>
  <si>
    <t>LEVEL PRESSURE VARIABILITY; ANTARCTIC CIRCUMPOLAR WAVE; SURFACE-TEMPERATURE; SEA-ICE; INTERNAL VARIABILITY; NORTHERN-HEMISPHERE; SOUTHERN-HEMISPHERE; SIGNAL-DETECTION; ATLANTIC; PACIFIC</t>
  </si>
  <si>
    <t>Past research argues for an internal multidecadal (40- to 60-year) oscillation distinct from climate noise. Recent studies have claimed that this so-termed Atlantic Multidecadal Oscillation is instead a manifestation of competing time-varying effects of anthropogenic greenhouse gases and sulfate aerosols. That conclusion is bolstered by the absence of robust multidecadal climate oscillations in control simulations of current-generation models. Paleoclimate data, however, do demonstrate multidecadal oscillatory behavior during the preindustrial era. By comparing control and forced Last Millennium simulations, we show that these apparent multidecadal oscillations are an artifact of pulses of volcanic activity during the preindustrial era that project markedly onto the multidecadal (50- to 70-year) frequency band. We conclude that there is no compelling evidence for internal multidecadal oscillations in the climate system.</t>
  </si>
  <si>
    <t>[Mann, Michael E.; Brouillette, Daniel J.; Miller, Sonya K.] Penn State Univ, Dept Meteorol &amp; Atmospher Sci, 514 Walker Bldg, University Pk, PA 16802 USA; [Steinman, Byron A.] Univ Minnesota Duluth, Dept Earth &amp; Environm Sci, 2205 East 5th St, Duluth, MN 55812 USA; [Steinman, Byron A.] Univ Minnesota Duluth, Large Lakes Observ, 2205 East 5th St, Duluth, MN 55812 USA</t>
  </si>
  <si>
    <t>Pennsylvania Commonwealth System of Higher Education (PCSHE); Pennsylvania State University; Pennsylvania State University - University Park; University of Minnesota System; University of Minnesota Twin Cities; University of Minnesota Hospital; University of Minnesota Duluth; University of Minnesota System; University of Minnesota Twin Cities; University of Minnesota Hospital; University of Minnesota Duluth</t>
  </si>
  <si>
    <t>Mann, ME (corresponding author), Penn State Univ, Dept Meteorol &amp; Atmospher Sci, 514 Walker Bldg, University Pk, PA 16802 USA.</t>
  </si>
  <si>
    <t>mann@psu.edu</t>
  </si>
  <si>
    <t>Mann, Michael E/B-8472-2017</t>
  </si>
  <si>
    <t>Mann, Michael E/0000-0003-3067-296X; Brouillette, Daniel/0000-0003-0445-132X</t>
  </si>
  <si>
    <t>NSF Paleoclimate Program [1748097, 1748115]; Directorate For Geosciences [1748115] Funding Source: National Science Foundation; Directorate For Geosciences; Div Atmospheric &amp; Geospace Sciences [1748097] Funding Source: National Science Foundation; Div Atmospheric &amp; Geospace Sciences [1748115] Funding Source: National Science Foundation</t>
  </si>
  <si>
    <t>NSF Paleoclimate Program(National Science Foundation (NSF)NSF - Directorate for Geosciences (GEO)); Directorate For Geosciences(National Science Foundation (NSF)NSF - Directorate for Geosciences (GEO)); Directorate For Geosciences; Div Atmospheric &amp; Geospace Sciences(National Science Foundation (NSF)NSF - Directorate for Geosciences (GEO)); Div Atmospheric &amp; Geospace Sciences(National Science Foundation (NSF)NSF - Directorate for Geosciences (GEO))</t>
  </si>
  <si>
    <t>M.E.M., B.A.S., D.J.B., and S.K.M. were supported by grants 1748097 and 1748115 from the NSF Paleoclimate Program.</t>
  </si>
  <si>
    <t>10.1126/science.abc5810</t>
  </si>
  <si>
    <t>QS4MM</t>
  </si>
  <si>
    <t>WOS:000625876100048</t>
  </si>
  <si>
    <t>Manno, C; Fielding, S; Stowasser, G; Murphy, EJ; Thorpe, SE; Tarling, GA</t>
  </si>
  <si>
    <t>Manno, C.; Fielding, S.; Stowasser, G.; Murphy, E. J.; Thorpe, S. E.; Tarling, G. A.</t>
  </si>
  <si>
    <t>Continuous moulting by Antarctic krill drives major pulses of carbon export in the north Scotia Sea, Southern Ocean (vol 11, 6051, 2020)</t>
  </si>
  <si>
    <t>clanno@bas.ac.uk</t>
  </si>
  <si>
    <t>murphy, eugene/GZL-1620-2022; Fielding, Sophie/E-5137-2012</t>
  </si>
  <si>
    <t>Stowasser, Gabriele/0000-0002-0595-0772; Thorpe, Sally/0000-0002-5193-6955; Tarling, Geraint/0000-0002-3753-5899</t>
  </si>
  <si>
    <t>10.1038/s41467-021-22037-y</t>
  </si>
  <si>
    <t>QU6UL</t>
  </si>
  <si>
    <t>WOS:000627416200001</t>
  </si>
  <si>
    <t>Sanchez, KJ; Roberts, GC; Saliba, G; Russell, LM; Twohy, C; Reeves, MJ; Humphries, RS; Keywood, MD; Ward, JP; McRobert, IM</t>
  </si>
  <si>
    <t>Sanchez, Kevin J.; Roberts, Gregory C.; Saliba, Georges; Russell, Lynn M.; Twohy, Cynthia; Reeves, Michael J.; Humphries, Ruhi S.; Keywood, Melita D.; Ward, Jason P.; McRobert, Ian M.</t>
  </si>
  <si>
    <t>Measurement report: Cloud processes and the transport of biological emissions affect southern ocean particle and cloud condensation nuclei concentrations</t>
  </si>
  <si>
    <t>Long-range transport of biogenic emissions from the coast of Antarctica, precipitation scavenging, and cloud processing are the main processes that influence the observed variability in Southern Ocean (SO) marine boundary layer (MBL) condensation nuclei (CN) and cloud condensation nuclei (CCN) concentrations during the austral summer. Airborne particle measurements on the HIAPER GV from north-south transects between Hobart, Tasmania, and 62ffi S during the Southern Ocean Clouds, Radiation Aerosol Transport Experimental Study (SOCRATES) were separated into four regimes comprising combinations of high and low concentrations of CCN and CN. In 5 d HYSPLIT back trajectories, air parcels with elevated CCN concentrations were almost always shown to have crossed the Antarctic coast, a location with elevated phytoplankton emissions relative to the rest of the SO in the region south of Australia. The presence of high CCN concentrations was also consistent with high cloud fractions over their trajectory, suggesting there was substantial growth of biogenically formed particles through cloud processing. Cases with low cloud fraction, due to the presence of cumulus clouds, had high CN concentrations, consistent with previously reported new particle formation in cumulus outflow regions. Measurements associated with elevated precipitation during the previous 1.5 d of their trajectory had low CCN concentrations indicating CCN were effectively scavenged by precipitation. A coarse-mode fitting algorithm was used to determine the primary marine aerosol (PMA) contribution, which accounted for &lt;20% of CCN (at 0.3% supersaturation) and cloud droplet number concentrations. Vertical profiles of CN and large particle concentrations ( Dp&gt;0 :07 mu m) indicated that particle formation occurs more frequently above the MBL; however, the growth of recently formed particles typically occurs in the MBL, consistent with cloud processing and the condensation of volatile compound oxidation products. CCN measurements on the R/V Investigator as part of the second Clouds, Aerosols, Precipitation, Radiation and atmospheric Composition Over the southeRn Ocean (CAPRICORN-2) campaign were also conducted during the same period as the SOCRATES study. The R/V Investigator observed elevated CCN concentrations near Australia, likely due to continental and coastal biogenic emissions. The Antarctic coastal source of CCN from the south, CCN sources from the midlatitudes, and enhanced precipitation sink in the cyclonic circulation between the Ferrel and polar cells (around 60 degrees S) create opposing latitudinal gradients in the CCN concentration with an observed minimum in the SO between 55 and 60 degrees S. The SOCRATES airborne measurements are not influenced by Australian continental emissions but still show evidence of elevated CCN concentrations to the south of 60 degrees S, consistent with biogenic coastal emissions. In addition, a latitudinal gradient in the particle composition, south of the Australian and Tasmanian coasts, is apparent in aerosol hygroscopicity derived from CCN spectra and aerosol particle size distribution. The particles are more hygroscopic to the north, consistent with a greater fraction of sea salt from PMA, and less hygroscopic to the south as there is more sulfate and organic particles originating from biogenic sources in coastal Antarctica.</t>
  </si>
  <si>
    <t>[Sanchez, Kevin J.; Roberts, Gregory C.; Saliba, Georges; Russell, Lynn M.] Univ Calif San Diego, Scripps Inst Oceanog, San Diego, CA 92103 USA; [Roberts, Gregory C.] Univ Toulouse Meteo France, Ctr Natl Rech Meteorol, CNRS, Toulouse, France; [Twohy, Cynthia] NorthWest Res Associates, Redmond, WA USA; [Reeves, Michael J.] Natl Ctr Atmospher Res, POB 3000, Boulder, CO 80307 USA; [Humphries, Ruhi S.; Keywood, Melita D.; Ward, Jason P.] CSIRO Oceans &amp; Atmosphere, Climate Sci Ctr, Aspendale, Vic, Australia; [McRobert, Ian M.] CSIRO Oceans &amp; Atmosphere, Engn &amp; Technol Program, Hobart, Tas, Australia; [Sanchez, Kevin J.] Univ Space Res Assoc, Columbia, MD 21046 USA; [Sanchez, Kevin J.] NASA, Langley Res Ctr, Hampton, VA 23665 USA</t>
  </si>
  <si>
    <t>University of California System; University of California San Diego; Scripps Institution of Oceanography; Centre National de la Recherche Scientifique (CNRS); NorthWest Research Associates; National Center Atmospheric Research (NCAR) - USA; Commonwealth Scientific &amp; Industrial Research Organisation (CSIRO); Commonwealth Scientific &amp; Industrial Research Organisation (CSIRO); Universities Space Research Association (USRA); National Aeronautics &amp; Space Administration (NASA); NASA Langley Research Center</t>
  </si>
  <si>
    <t>Sanchez, KJ (corresponding author), Univ Calif San Diego, Scripps Inst Oceanog, San Diego, CA 92103 USA.;Sanchez, KJ (corresponding author), Univ Space Res Assoc, Columbia, MD 21046 USA.;Sanchez, KJ (corresponding author), NASA, Langley Res Ctr, Hampton, VA 23665 USA.</t>
  </si>
  <si>
    <t>kjs356@gmail.com</t>
  </si>
  <si>
    <t>Saliba, Georges/AAH-5994-2020; Humphries, Ruhi S/M-4074-2018; keywood, melita/C-5139-2011</t>
  </si>
  <si>
    <t>Humphries, Ruhi S/0000-0002-4864-5321; McRobert, Ian/0000-0003-2130-257X; Russell, Lynn/0000-0002-6108-2375; Roberts, Greg/0000-0002-3636-8590; keywood, melita/0000-0001-9953-6806; Sanchez, Kevin/0000-0003-4456-0918; Saliba, Georges/0000-0002-4305-1305</t>
  </si>
  <si>
    <t>National Science Foundation [AGS-1660374, AGS1660509, AGS-1660605]</t>
  </si>
  <si>
    <t>This research has been supported by the National Science Foundation (grant nos. AGS-1660374, AGS1660509, and AGS-1660605).</t>
  </si>
  <si>
    <t>10.5194/acp-21-3427-2021</t>
  </si>
  <si>
    <t>QT6ZW</t>
  </si>
  <si>
    <t>WOS:000626739700002</t>
  </si>
  <si>
    <t>Zheng, YX; Heywood, KJ; Webber, BGM; Stevens, DP; Biddle, LC; Boehme, L; Loose, B</t>
  </si>
  <si>
    <t>Zheng, Yixi; Heywood, Karen J.; Webber, Benjamin G. M.; Stevens, David P.; Biddle, Louise C.; Boehme, Lars; Loose, Brice</t>
  </si>
  <si>
    <t>Winter seal-based observations reveal glacial meltwater surfacing in the southeastern Amundsen Sea</t>
  </si>
  <si>
    <t>PINE ISLAND GLACIER; ICE-SHELF; OCEAN CIRCULATION; CONTINENTAL-SHELF; SOUTHERN-OCEAN; NOBLE-GASES; MELTING ICE; DEEP-WATER; VARIABILITY; SENSITIVITY</t>
  </si>
  <si>
    <t>Determining the injection of glacial meltwater into polar oceans is crucial for quantifying the climate system response to ice sheet mass loss. However, meltwater is poorly observed and its pathways poorly known, especially in winter. Here we present winter meltwater distribution near Pine Island Glacier using data collected by tagged seals, revealing a highly variable meltwater distribution with two meltwater-rich layers in the upper 250m and at around 450m, connected by scattered meltwater-rich columns. We show that the hydrographic signature of meltwater is clearest in winter, when its presence can be unambiguously mapped. We argue that the buoyant meltwater provides near-surface heat that helps to maintain polynyas close to ice shelves. The meltwater feedback onto polynyas and air-sea heat fluxes demonstrates that although the processes determining the distribution of meltwater are small-scale, they are important to represent in Earth system models. A highly variable meltwater distribution with interlinked layers and columns is found in the Amundsen Sea in winter, and it may sustain polynyas in the region, according to hydrographic data obtained by seals.</t>
  </si>
  <si>
    <t>[Zheng, Yixi; Heywood, Karen J.; Webber, Benjamin G. M.] Univ East Anglia, Ctr Ocean &amp; Atmospher Sci, Sch Environm Sci, Norwich, Norfolk, England; [Stevens, David P.] Univ East Anglia, Ctr Ocean &amp; Atmospher Sci, Sch Math, Norwich, Norfolk, England; [Biddle, Louise C.] Univ Gothenburg, Dept Marine Sci, Gothenburg, Sweden; [Boehme, Lars] Univ St Andrews, Scottish Oceans Inst, St Andrews, Fife, Scotland; [Loose, Brice] Univ Rhode Isl, Grad Sch Oceanog, Narragansett, RI 02882 USA</t>
  </si>
  <si>
    <t>University of East Anglia; University of East Anglia; University of Gothenburg; University of St Andrews; University of Rhode Island</t>
  </si>
  <si>
    <t>Zheng, YX (corresponding author), Univ East Anglia, Ctr Ocean &amp; Atmospher Sci, Sch Environm Sci, Norwich, Norfolk, England.</t>
  </si>
  <si>
    <t>yixi.zheng@uea.ac.uk</t>
  </si>
  <si>
    <t>Webber, Benjamin G M/J-7096-2015; Heywood, Karen/L-1757-2016; Stevens, David/F-2509-2010; Boehme, Lars/B-6567-2009</t>
  </si>
  <si>
    <t>Webber, Ben/0000-0002-8812-5929; Heywood, Karen/0000-0001-9859-0026; Stevens, David/0000-0002-7283-4405; Boehme, Lars/0000-0003-3513-6816; Zheng, Yixi/0000-0003-3136-1311; Biddle, Louise/0000-0002-4785-1959</t>
  </si>
  <si>
    <t>UK Natural Environment Research Council under the iSTAR Programme [NE/J005703/1]; European Research Council [741120]; National Science Foundation Division of Polar Programs; Natural Environment Research Council under the research grant TARSAN (Thwaites-Amundsen Regional Survey and Network) [NSF PLR 1738992, NE/S006419/1]; China Scholarship Council; University of East Anglia; Wallenberg Academy Fellowship [WAF 2015.0186]; Swedish Research Council [VR2019-04400]; European Research Council (ERC) [741120] Funding Source: European Research Council (ERC); NERC [NE/J005703/1, NE/S006591/1, NE/S006419/1, NE/J005649/1] Funding Source: UKRI</t>
  </si>
  <si>
    <t>UK Natural Environment Research Council under the iSTAR Programme; European Research Council(European Research Council (ERC)); National Science Foundation Division of Polar Programs(National Science Foundation (NSF)); Natural Environment Research Council under the research grant TARSAN (Thwaites-Amundsen Regional Survey and Network); China Scholarship Council(China Scholarship Council); University of East Anglia; Wallenberg Academy Fellowship; Swedish Research Council(Swedish Research Council); European Research Council (ERC)(European Research Council (ERC)Spanish Government); NERC(UK Research &amp; Innovation (UKRI)Natural Environment Research Council (NERC))</t>
  </si>
  <si>
    <t>We thank the scientists, technicians and crew of the RSS James Clark Ross on the iSTAR cruise, especially those who helped with hydrographic measurements, for their hard work during the cruise to make the data collection possible. We thank Michael A. Fedak (Sea Mammal Research Unit, University of St Andrews) for help with seal tagging and Helen Mallett for quality control of seal-tag data after the iSTAR cruise. We thank Anna Wahlin (University of Gothenburg), Alessandro Silvano (University of Southampton) and Shenjie Zhou (British Antarctic Survey) for helpful discussion. This work is funded by the UK Natural Environment Research Council under the iSTAR Programme through grants NE/J005703/1 (K.J.H., D.P.S., B.G.M.W.); European Research Council (under H2020-EU.1.1.) under research grant COMPASS (Climate-relevant Ocean Measurements and Processes on the Antarctic continental Shelf and Slope, grant agreement ID: 741120, K.J.H., Y.Z.); National Science Foundation Division of Polar Programs and Natural Environment Research Council under the research grant TARSAN (Thwaites-Amundsen Regional Survey and Network, NSF PLR 1738992 and NE/S006419/1, K.J.H.). Y.Z. is supported by China Scholarship Council and University of East Anglia. L.C.B. is supported by a Wallenberg Academy Fellowship (WAF 2015.0186) and Swedish Research Council grant (VR2019-04400) of S. Swart.</t>
  </si>
  <si>
    <t>10.1038/s43247-021-00111-z</t>
  </si>
  <si>
    <t>SY2VO</t>
  </si>
  <si>
    <t>WOS:000665750500001</t>
  </si>
  <si>
    <t>Kittel, C; Amory, C; Agosta, C; Jourdain, NC; Hofer, S; Delhasse, A; Doutreloup, S; Huot, PV; Lang, C; Fichefet, T; Fettweis, X</t>
  </si>
  <si>
    <t>Kittel, Christoph; Amory, Charles; Agosta, Cecile; Jourdain, Nicolas C.; Hofer, Stefan; Delhasse, Alison; Doutreloup, Sebastien; Huot, Pierre-Vincent; Lang, Charlotte; Fichefet, Thierry; Fettweis, Xavier</t>
  </si>
  <si>
    <t>Diverging future surface mass balance between the Antarctic ice shelves and grounded ice sheet</t>
  </si>
  <si>
    <t>SEA-LEVEL RISE; REGIONAL CLIMATE; WEST GREENLAND; ADELIE LAND; MODEL; SNOW; CMIP5; SENSITIVITY; MELT; MELTWATER</t>
  </si>
  <si>
    <t>The future surface mass balance (SMB) will influence the ice dynamics and the contribution of the Antarctic ice sheet (AIS) to the sea level rise. Most of recent Antarctic SMB projections were based on the fifth phase of the Coupled Model Intercomparison Project (CMIP5). However, new CMIP6 results have revealed a C1:3 degrees C higher mean Antarctic near-surface temperature than in CMIP5 at the end of the 21st century, enabling estimations of future SMB in warmer climates. Here, we investigate the AIS sensitivity to different warmings with an ensemble of four simulations performed with the polar regional climate model Modele Atmospherique Regional (MAR) forced by two CMIP5 and two CMIP6 models over 1981-2100. Statistical extrapolation enables us to expand our results to the whole CMIP5 and CMIP6 ensembles. Our results highlight a contrasting effect on the future grounded ice sheet and the ice shelves. The SMB over grounded ice is projected to increase as a response to stronger snowfall, only partly offset by enhanced meltwater run-off. This leads to a cumulated sealevel-rise mitigation (i.e. an increase in surface mass) of the grounded Antarctic surface by 5.1 +/- 1.9 cm sea level equivalent (SLE) in CMIP5-RCP8.5 (Relative Concentration Pathway 8.5) and 6.3 +/- 2.0 cm SLE in CMIP6-ssp585 (Shared Socioeconomic Pathways 585). Additionally, the CMIP6 low-emission ssp126 and intermediate-emission ssp245 scenarios project a stabilized surface mass gain, resulting in a lower mitigation to sea level rise than in ssp585. Over the ice shelves, the strong run-off increase associated with higher temperature is projected to decrease the SMB (more strongly in CMIP6-ssp585 compared to CMIP5-RCP8.5). Ice shelves are however predicted to have a close-to-present-equilibrium stable SMB under CMIP6 ssp126 and ssp245 scenarios. Future uncertainties are mainly due to the sensitivity to anthropogenic forcing and the timing of the projected warming. While ice shelves should remain at a close-to-equilibrium stable SMB under the Paris Agreement, MAR projects strong SMB decrease for an Antarctic near-surface warming above C2:5 degrees C compared to 1981-2010 mean temperature, limiting the warming range before potential irreversible damages on the ice shelves. Finally, our results reveal the existence of a potential threshold (C7:5 degrees C) that leads to a lower groundedSMB increase. This however has to be confirmed in following studies using more extreme or longer future scenarios.</t>
  </si>
  <si>
    <t>[Kittel, Christoph; Amory, Charles; Delhasse, Alison; Doutreloup, Sebastien; Lang, Charlotte; Fettweis, Xavier] Univ Liege, Dept Geog, SPHERES Res Unit, Lab Climatol, Liege, Belgium; [Amory, Charles; Jourdain, Nicolas C.] Univ Grenoble Alpes, Inst Geosci Environm IGE, CNRS, IRD,G INP, Grenoble, France; [Agosta, Cecile] Univ Paris Saclay, Lab Sci Climat &amp; Environm, LSCE IPSL, CEA CNRS UVSQ, Gif Sur Yvette, France; [Hofer, Stefan] Univ Oslo, Dept Geosci, Oslo, Norway; [Huot, Pierre-Vincent; Fichefet, Thierry] Catholic Univ Louvain, Earth &amp; Life Inst, Earth &amp; Climate, Louvain La Neuve, Belgium; [Lang, Charlotte] Univ Reading, Natl Ctr Atmospher Sci, Reading, Berks, England</t>
  </si>
  <si>
    <t>University of Liege; Institut de Recherche pour le Developpement (IRD); Centre National de la Recherche Scientifique (CNRS); Communaute Universite Grenoble Alpes; Universite Grenoble Alpes (UGA); CEA; Centre National de la Recherche Scientifique (CNRS); Universite Paris Saclay; Universite Paris Cite; University of Oslo; Universite Catholique Louvain; UK Research &amp; Innovation (UKRI); Natural Environment Research Council (NERC); NERC National Centre for Atmospheric Science; University of Reading</t>
  </si>
  <si>
    <t>Kittel, C (corresponding author), Univ Liege, Dept Geog, SPHERES Res Unit, Lab Climatol, Liege, Belgium.</t>
  </si>
  <si>
    <t>ckittel@uliege.be</t>
  </si>
  <si>
    <t>Doutreloup, Sebastien/GXH-2445-2022; Agosta, Cécile/HLQ-5577-2023; Jourdain, Nicolas/B-6899-2015; Agosta, Cecile/B-9625-2013</t>
  </si>
  <si>
    <t>Doutreloup, Sebastien/0000-0002-3724-7432; Delhasse, Alison/0000-0003-0961-1601; Jourdain, Nicolas/0000-0002-1372-2235; Agosta, Cecile/0000-0003-4091-1653; Kittel, Christoph/0000-0001-6586-9784; Hofer, Stefan/0000-0002-5249-1249; Amory, Charles/0000-0002-5906-4303</t>
  </si>
  <si>
    <t>Fonds de la Recherche Scientifique - FNRS [T.0002.16]; TROIS-AS project [ANR-15-CE01-0005-01]; PROTECT; European Union [869304]</t>
  </si>
  <si>
    <t>Fonds de la Recherche Scientifique - FNRS(Fonds de la Recherche Scientifique - FNRS); TROIS-AS project; PROTECT; European Union(European Union (EU))</t>
  </si>
  <si>
    <t>Christoph Kittel was supported by the Fonds de la Recherche Scientifique - FNRS under grant no. T.0002.16. Nicolas C. Jourdain and Charles Amory were partly funded by the TROIS-AS project (ANR-15-CE01-0005-01). This publication was supported by PROTECT. This project has received funding from the European Union's Horizon 2020 research and innovation programme under grant agreement no. 869304, PROTECT contribution no. 15.</t>
  </si>
  <si>
    <t>10.5194/tc-15-1215-2021</t>
  </si>
  <si>
    <t>QT7BP</t>
  </si>
  <si>
    <t>WOS:000626744200001</t>
  </si>
  <si>
    <t>Poblete, Y; Botero-Delgadillo, E; Espíndola-Hernández, P; Vásquez, RA</t>
  </si>
  <si>
    <t>Poblete, Yanina; Botero-Delgadillo, Esteban; Espindola-Hernandez, Pamela; Vasquez, Rodrigo A.</t>
  </si>
  <si>
    <t>Risk-taking behaviour relates to timing of breeding in a sub-Antarctic rainforest bird</t>
  </si>
  <si>
    <t>IBIS</t>
  </si>
  <si>
    <t>exploratory behaviour; reproductive success; southern Chile; start laying; Thorn‐ tailed Rayadito</t>
  </si>
  <si>
    <t>CLUTCH-SIZE; SEASONAL DECLINE; REPRODUCTIVE-PERFORMANCE; INTRASPECIFIC VARIATION; PHENOTYPIC PLASTICITY; FITNESS CONSEQUENCES; EXPLORATORY-BEHAVIOR; AVIAN PERSONALITIES; FOOD AVAILABILITY; PARENTAL CARE</t>
  </si>
  <si>
    <t>Within-population variation in timing of breeding may be linked to a trade-off between the risks and benefits of breeding earlier. This trade-off may be mediated by individual risk-taking behaviour, but this needs to be assessed in detail in wild populations. Here, we recorded timing of breeding and risk-taking behaviour during three consecutive breeding seasons in a resident population of Thorn-tailed Rayadito Aphrastura spinicauda located in Navarino Island (55 degrees S), southern Chile. Navarino is a high-latitude, highly seasonal continental island in southern Chile where early breeding may be risky for rayaditos, given the presence of low temperatures, storms and relatively low food abundance during early spring. We used novel environment tests to assess exploratory behaviour, which in turn was used as a proxy of risk-taking behaviour. In addition, we evaluated the potential consequences of timing of breeding and risk-taking behaviour on three measures of reproductive success: clutch size, number of fledglings produced and body condition of the offspring. We found that risk-prone individuals started breeding earlier than risk-averse individuals but we did not find evidence for an effect of timing of breeding on any of the variables of seasonal breeding success. However, we observed that fast-exploring females tended to lay smaller clutches. Measurements reflecting lifetime reproductive success may better reflect an effect of timing of breeding and risk-taking behaviour, but this needs to be studied. Our results support the idea that risk-taking behaviour is linked to early breeding in high-latitude environments. We suggest that, despite the risks that low temperatures and snowstorms pose to breeding rayaditos during early spring, it is possible that early breeders increase the probability of occupying better nesting cavities and they may adjust the timing of breeding to match brood provisioning with peak resource abundance.</t>
  </si>
  <si>
    <t>[Poblete, Yanina; Botero-Delgadillo, Esteban; Espindola-Hernandez, Pamela; Vasquez, Rodrigo A.] Univ Chile, Fac Ciencias, Inst Ecol &amp; Biodiversidad, Dept Ciencias Ecol, Santiago, Chile; [Poblete, Yanina] Univ Las Amer, Inst Ciencias Nat, NIAVA Nucleo Investigac Aplicadas Ciencias Vet &amp;, Santiago, Chile; [Botero-Delgadillo, Esteban; Espindola-Hernandez, Pamela] Max Planck Inst Ornithol, Dept Behav Ecol &amp; Evolutionary Genet, Seewiesen, Germany; [Botero-Delgadillo, Esteban] SELVA Res Conservat Neotrop, Bogota, Colombia</t>
  </si>
  <si>
    <t>Poblete, Y (corresponding author), Univ Chile, Fac Ciencias, Inst Ecol &amp; Biodiversidad, Dept Ciencias Ecol, Santiago, Chile.;Poblete, Y (corresponding author), Univ Las Amer, Inst Ciencias Nat, NIAVA Nucleo Investigac Aplicadas Ciencias Vet &amp;, Santiago, Chile.</t>
  </si>
  <si>
    <t>yaninapobleteq@gmail.com</t>
  </si>
  <si>
    <t>Poblete, Yanina/0000-0002-1378-9341; Vasquez, Rodrigo A/0000-0003-4309-6789; Espindola Hernandez, Pamela/0000-0002-9771-6907</t>
  </si>
  <si>
    <t>FONDECYT [1100359, 1140548]; CONICYT-Chile [PFB-23, AFB-170008, ICM-P05-002, 63130100]; COLFUTURO scholarship-loan [PCB-2012]</t>
  </si>
  <si>
    <t>FONDECYT(Comision Nacional de Investigacion Cientifica y Tecnologica (CONICYT)CONICYT FONDECYT); CONICYT-Chile(Comision Nacional de Investigacion Cientifica y Tecnologica (CONICYT)); COLFUTURO scholarship-loan</t>
  </si>
  <si>
    <t>We thank Ana Pineiro, Silvia Lazzarino, Fabiola Canepa, Patricio Castwell, Gabriela Sudel, Camila Bravo, Javier Bustos and Omar Barroso for their collaboration during fieldwork. We thank Paula Castillo for English language support. We thank Dan Chamberlain, Maggie MacPherson and two anonymous reviewers for revising an earlier version of the manuscript. Funding was provided by grants from FONDECYT (Nos. 1100359 and 1140548), grant ICM-P05-002, PFB-23 CONICYT-Chile, and AFB-170008-CONICYT-Chile to R.A.V. Y.P. received a graduate fellowship CONICYT-Chile 21130127, and E.B.-D received graduate fellowships CONICYT-Chile 63130100 and a COLFUTURO scholarship-loan PCB-2012. All birds were captured and marked according to the regulations of Servicio Agricola y Ganadero (SAG, permits 5193/6295) and the Corporacion Nacional Forestal (CONAF). This research was carried out under the supervision of the Ethics Committee of the Science Faculty, Universidad de Chile.</t>
  </si>
  <si>
    <t>0019-1019</t>
  </si>
  <si>
    <t>1474-919X</t>
  </si>
  <si>
    <t>Ibis</t>
  </si>
  <si>
    <t>10.1111/ibi.12941</t>
  </si>
  <si>
    <t>SO8PN</t>
  </si>
  <si>
    <t>WOS:000625569000001</t>
  </si>
  <si>
    <t>Zhou, JJ; Luo, XF; Xiao, JG; Wei, H; Zhao, W; Zheng, ZJ</t>
  </si>
  <si>
    <t>Zhou, Junjun; Luo, Xiaofan; Xiao, Jingen; Wei, Hao; Zhao, Wei; Zheng, Zijia</t>
  </si>
  <si>
    <t>Modeling the seasonal and interannual variations in nitrate flux through Bering Strait</t>
  </si>
  <si>
    <t>Nitrate flux; Interannual variation; Nitrate budget; Model; Bering Strait; Cape Navarin</t>
  </si>
  <si>
    <t>CHUKCHI SEAS; PHYTOPLANKTON; TRANSPORT; SHELF; NUTRIENTS; EXCHANGE; WATER; CIRCULATION; INCREASES; COMMUNITY</t>
  </si>
  <si>
    <t>The nutrient flux through Bering Strait has significant impacts on the biomass and community composition of phytoplankton in the western Arctic Ocean. Based on a three-dimensional ocean-sea ice-biogeochemical model, the hindcast simulations from 1998 to 2015 suggest that the nitrate flux through Bering Strait reaches the peak during February?May (-12 kmol N/s) and then decreases to a relatively lower level (-8 kmol N/s) in July and maintains this level until January. The interannual nitrate fluxes in winter and summer were analyzed with winter defined as February?March and summer defined as July?August. The main findings are summarized as follows. (1) Shelf-slope exchange near Cape Navarin plays a key role in poleward nutrient supply since the main nutrient transport belt over the Bering shelf corresponds to the pathway of Anadyr Current from Cape Navarin to Bering Strait. (2) In the winter season, the interannual nitrate flux through Bering Strait has a significant correlation (r = 0.80, p &lt; 0.01) with that through the section adjacent to Cape Navarin (CN section) in the fall season. This remote interannual signal from upstream appears to regulate the Bering Strait nitrate flux via horizontal advection so that it can be considered as a predictor factor. (3) In the summer season, the nitrate budget in the water column from Cape Navarin to Bering Strait indicates that biological activity plays a limited role in the interannual variation in poleward nitrate flux. Instead, this interannual variability is determined by the volume transport through Bering Strait and upstream advection.</t>
  </si>
  <si>
    <t>[Zhou, Junjun; Luo, Xiaofan; Xiao, Jingen; Wei, Hao; Zhao, Wei; Zheng, Zijia] Tianjin Univ, Sch Marine Sci &amp; Technol, 92 Weijin Rd, Tianjin, Peoples R China</t>
  </si>
  <si>
    <t>Tianjin University</t>
  </si>
  <si>
    <t>Luo, XF (corresponding author), Tianjin Univ, Sch Marine Sci &amp; Technol, 92 Weijin Rd, Tianjin, Peoples R China.</t>
  </si>
  <si>
    <t>xiaofan.luo@tju.edu.cn</t>
  </si>
  <si>
    <t>Zheng, Zijia/KFP-9989-2024</t>
  </si>
  <si>
    <t>Zheng, Zijia/0000-0002-6662-708X</t>
  </si>
  <si>
    <t>National Natural Science Foundation of China [41806225, 41630969, 41941013]; Tianjin Natural Science Foundation [20JCQNJC01290]</t>
  </si>
  <si>
    <t>National Natural Science Foundation of China(National Natural Science Foundation of China (NSFC)); Tianjin Natural Science Foundation(Natural Science Foundation of Tianjin)</t>
  </si>
  <si>
    <t>This work is funded by the National Natural Science Foundation of China (41806225, 41630969, and 41941013) and the Tianjin Natural Science Foundation (20JCQNJC01290) . We thank the NEMO team for providing the stateoftheart models. We thank the National Arctic and Antarctic Data Center of China, the USA North Pacific Research Board, the National Oceanic and Atmospheric Administration, and the National Science Foundation for providing observed data online. We thank Lee W. Cooper, Calvin W. Mordy, and Terry E. Whitledge for providing nutrient data, and two anonymous reviewers for the very insightful and constructive comments that guided the revision of the manuscript.</t>
  </si>
  <si>
    <t>10.1016/j.jmarsys.2021.103527</t>
  </si>
  <si>
    <t>RO2UB</t>
  </si>
  <si>
    <t>WOS:000640901600003</t>
  </si>
  <si>
    <t>Bamford, CCG; Warwick-Evans, V; Staniland, IJ; Jackson, JA; Trathan, PN</t>
  </si>
  <si>
    <t>Bamford, Connor C. G.; Warwick-Evans, Victoria; Staniland, Iain J.; Jackson, Jennifer A.; Trathan, Philip N.</t>
  </si>
  <si>
    <t>Wintertime overlaps between female Antarctic fur seals (Arctocephalus gazella) and the krill fishery at South Georgia, South Atlantic</t>
  </si>
  <si>
    <t>EUPHAUSIA-SUPERBA; PUP PRODUCTION; HABITAT USE; SCOTIA SEA; OCEAN; VARIABILITY; CLIMATE; TRANSPORT; ABUNDANCE; ECOSYSTEM</t>
  </si>
  <si>
    <t>The diet of Antarctic fur seals (Arctocephalus gazella) at South Georgia is dominated by Antarctic krill (Euphausia superba). During the breeding season, foraging trips by lactating female fur seals are constrained by their need to return to land to provision their pups. Post-breeding, seals disperse in order to feed and recover condition; estimates indicate c.70% of females remain near to South Georgia, whilst others head west towards the Patagonian Shelf or south to the ice-edge. The krill fishery at South Georgia operates only during the winter, providing the potential for fur seal: fishery interaction during these months. Here we use available winter (May to September) tracking data from Platform Terminal Transmitter (PTT) tags deployed on female fur seals at Bird Island, South Georgia. We develop habitat models describing their distribution during the winters of 1999 and 2003 with the aim of visualising and quantifying the degree of spatial overlap between female fur seals and krill harvesting in South Georgia waters. We show that spatial distribution of fur seals around South Georgia is extensive, and that the krill fishery overlaps with small, highly localised areas of available fur seal habitat. From these findings we discuss the implications for management, and future work.</t>
  </si>
  <si>
    <t>[Bamford, Connor C. G.; Warwick-Evans, Victoria; Staniland, Iain J.; Jackson, Jennifer A.; Trathan, Philip N.] British Antarctic Survey, Cambridge, England; [Bamford, Connor C. G.] Univ Southampton, Southampton, Hants, England; [Staniland, Iain J.] Int Whaling Commiss, Cambridge, England</t>
  </si>
  <si>
    <t>UK Research &amp; Innovation (UKRI); Natural Environment Research Council (NERC); NERC British Antarctic Survey; University of Southampton</t>
  </si>
  <si>
    <t>Bamford, CCG (corresponding author), British Antarctic Survey, Cambridge, England.;Bamford, CCG (corresponding author), Univ Southampton, Southampton, Hants, England.</t>
  </si>
  <si>
    <t>connord48@bas.ac.uk</t>
  </si>
  <si>
    <t>Jackson, Jennifer A/E-7997-2013; Staniland, Iain/I-4725-2012</t>
  </si>
  <si>
    <t>Staniland, Iain/0000-0003-2736-9134; Jackson, Jennifer/0000-0003-4158-1924; Bamford, Connor/0000-0002-5732-7237</t>
  </si>
  <si>
    <t>SPITFIRE NERC DTP [NE/L002531/1]</t>
  </si>
  <si>
    <t>SPITFIRE NERC DTP</t>
  </si>
  <si>
    <t>CCGB is funded by the SPITFIRE NERC DTP (Grant number NE/L002531/1).</t>
  </si>
  <si>
    <t>e0248071</t>
  </si>
  <si>
    <t>10.1371/journal.pone.0248071</t>
  </si>
  <si>
    <t>QT5BY</t>
  </si>
  <si>
    <t>WOS:000626604100075</t>
  </si>
  <si>
    <t>Suryawanshi, MR; Tripathi, N; Oza, SR</t>
  </si>
  <si>
    <t>Suryawanshi, Maya Raghunath; Tripathi, Naveen; Oza, Sandip R.</t>
  </si>
  <si>
    <t>Analysis of Surface Weather Parameters and Energy Fluxes Over the Indian Antarctic Stations: Maitri and Bharati</t>
  </si>
  <si>
    <t>PROCEEDINGS OF THE NATIONAL ACADEMY OF SCIENCES INDIA SECTION A-PHYSICAL SCIENCES</t>
  </si>
  <si>
    <t>Maitri; Bharati; ERAI; Energy fluxes</t>
  </si>
  <si>
    <t>In the present study, analysis of surface weather parameters and energy fluxes has been carried out over the Indian Antarctic stations Maitri and Bharati. For this purpose, weather parameters taken from three different reanalysis datasets are compared against automatic weather station (AWS) observations during the period from 1991 to 2010. Results suggest that the European centre for medium-range weather forecasts Reanalysis-Interim (ERAI) yields better estimates and further used for long-term analysis over the period from 1979 to 2017. It is found that air temperature at Maitri is always lower than that at Bharati. This difference might be due to the Maitri being located at 100 km inland in comparison with Bharati which is near the coast. The wind direction analysis indicates the predominance of South-East and North-East winds at Maitri and Bharati, respectively. Moreover, monthly net energy fluxes climatology has been prepared using ERAI reanalysis. During January (-14 W/m(2)) and December (-9 W/m(2)) net energy fluxes at Maitri are negative (energy flow from surface to atmosphere), whereas at Bharati, during January (7.68 W/m(2)) and December (15.34 W/m(2)) net energy fluxes are positive. Net energy flux at Maitri is strongly and negatively influenced by snow layer temperature whereas at Bharati, snow layer temperature influences net energy flux during winter.</t>
  </si>
  <si>
    <t>[Suryawanshi, Maya Raghunath; Tripathi, Naveen; Oza, Sandip R.] Space Applicat Ctr ISRO, Ahmadabad, Gujarat, India; [Suryawanshi, Maya Raghunath] Gujarat Univ, Dept Phys Elect &amp; Space Sci, Ahmadabad, Gujarat, India</t>
  </si>
  <si>
    <t>Department of Space (DoS), Government of India; Indian Space Research Organisation (ISRO); Space Applications Centre (SAC); Gujarat University</t>
  </si>
  <si>
    <t>Suryawanshi, MR (corresponding author), Space Applicat Ctr ISRO, Ahmadabad, Gujarat, India.;Suryawanshi, MR (corresponding author), Gujarat Univ, Dept Phys Elect &amp; Space Sci, Ahmadabad, Gujarat, India.</t>
  </si>
  <si>
    <t>maya2509.surya@gmail.com</t>
  </si>
  <si>
    <t>Tripathi, Naveen/0000-0003-2265-8797</t>
  </si>
  <si>
    <t>NATL ACAD SCIENCES INDIA</t>
  </si>
  <si>
    <t>ALLAHABAD</t>
  </si>
  <si>
    <t>5 LAJPATRAI RD, ALLAHABAD 211002, INDIA</t>
  </si>
  <si>
    <t>0369-8203</t>
  </si>
  <si>
    <t>2250-1762</t>
  </si>
  <si>
    <t>P NATL A SCI INDIA A</t>
  </si>
  <si>
    <t>Proc. Nat. Acad. Sci. India A</t>
  </si>
  <si>
    <t>10.1007/s40010-021-00738-9</t>
  </si>
  <si>
    <t>1K5NT</t>
  </si>
  <si>
    <t>WOS:000625781300002</t>
  </si>
  <si>
    <t>Kim, EJ; Chae, H; Yu, J; Kim, H; Cho, SM; Shin, SC; Choi, HG; Kim, S; Han, SJ</t>
  </si>
  <si>
    <t>Kim, Eun Jae; Chae, Hyunsik; Yu, Jihyeon; Kim, Hyunjoong; Cho, Sung Mi; Shin, Seung Chul; Choi, Han-Gu; Kim, Sanghee; Han, Se Jong</t>
  </si>
  <si>
    <t>Mitochondrial genome of the Antarctic microalga Micractinium simplicissimum KSF0127 (Chlorellaceae, Trebouxiophyceae)</t>
  </si>
  <si>
    <t>Micractinium simplicissimum; Chlorellaceae; Trebouxiophyceae; Antarctic microalga; mitochondrial genome</t>
  </si>
  <si>
    <t>We report the first mitochondrial genome of the Antarctic microalga Micractinium simplicissimum KSF0127. The circular mitochondrial genome was 67,923 bp in length and contained 45 protein-coding genes, one ribosomal RNA gene, and 60 transfer RNA genes. The phylogenetic tree was constructed with eight previously reported mitogenome sequences and showed the phylogenetic position of M. simplicissimum KSF0127 within the Chlorellaceae family.</t>
  </si>
  <si>
    <t>[Kim, Eun Jae; Chae, Hyunsik; Yu, Jihyeon; Kim, Hyunjoong; Cho, Sung Mi; Shin, Seung Chul; Choi, Han-Gu; Kim, Sanghee; Han, Se Jong] Korea Polar Res Inst, Div Life Sci, Incheon, South Korea; [Chae, Hyunsik] Kyungpook Natl Univ, Sch Life Sci, Daegu, South Korea; [Kim, Hyunjoong] Yonsei Univ, Inst Life Sci &amp; Biotechnol, Dept Syst Biol, Seoul, South Korea; [Han, Se Jong] Univ Sci &amp; Technol, Dept Polar Sci, Incheon, South Korea</t>
  </si>
  <si>
    <t>Korea Polar Research Institute (KOPRI); Kyungpook National University; Yonsei University</t>
  </si>
  <si>
    <t>Han, SJ (corresponding author), Korea Polar Res Inst, Div Life Sci, Incheon, South Korea.</t>
  </si>
  <si>
    <t>hansj@kopri.re.kr</t>
  </si>
  <si>
    <t>Yu, Jihyeon/U-4150-2019</t>
  </si>
  <si>
    <t>Yu, Jihyeon/0000-0003-0247-7753</t>
  </si>
  <si>
    <t>Korea Polar Research Institute [PE21140]</t>
  </si>
  <si>
    <t>This work was supported by Korea Polar Research Institute [PE21140].</t>
  </si>
  <si>
    <t>10.1080/23802359.2021.1886010</t>
  </si>
  <si>
    <t>QX8JW</t>
  </si>
  <si>
    <t>WOS:000629590100001</t>
  </si>
  <si>
    <t>Toolsee, T; Lamont, T; Rouault, M; Ansorge, I</t>
  </si>
  <si>
    <t>Toolsee, T.; Lamont, T.; Rouault, M.; Ansorge, I</t>
  </si>
  <si>
    <t>Characterising the seasonal cycle of wind forcing, surface circulation and temperature around the sub-Antarctic Prince Edward Islands</t>
  </si>
  <si>
    <t>AFRICAN JOURNAL OF MARINE SCIENCE</t>
  </si>
  <si>
    <t>Antarctic Polar Front; eddy kinetic energy; monthly climatology; satellite data; Southern Ocean; sub-Antarctic Front; surface currents; wind speed; wind stress curl</t>
  </si>
  <si>
    <t>Located between the sub-Antarctic Front and the Antarctic Polar Front, the Prince Edward Islands (PEIs) provide an essential breeding ground for top predators and are an ideal location to investigate disturbances linked to climate change. This study provides the first seasonal characterisation of surface hydrography at the PEIs, using satellite and reanalysis products from 1993 to 2016. Sea surface temperature (SST) showed consistently higher values to the north, while wind, currents and eddy kinetic energy all showed higher values to the south of the islands. The highest SST (8 degrees C) occurred in summer and the lowest (2 degrees C) in winter, with a one-to two-month delay between the maximum incoming solar radiation (in December-January) and the highest SST (in February). The highest wind speed occurred in July (10.8 m s(-1)) and the minimum in February (7 m s(-1)). Geostrophic currents were four-times larger than Ekman currents, showing lower speeds between April and June (0.25-0.30 m s(-1)) and a peak in August (0.45 m s(-1)). There were no significant differences for SST and Ekman currents between the regions upstream and downstream of the PEIs. In contrast, surface total and geostrophic current velocities were weaker downstream because the islands act as a barrier to the flow. A zone of lower wind speed, coinciding with enhanced positive wind stress curl (WSC), favouring downwelling, occurred directly upstream throughout the year. Although WSC over the PEIs was negative (upwelling-favourable), no corresponding cooling was evident in SST. This seasonal characterisation provides a baseline against which interannual/decadal variability and future changes in these parameters can be assessed.</t>
  </si>
  <si>
    <t>[Toolsee, T.; Lamont, T.; Rouault, M.; Ansorge, I] Univ Cape Town, Marine Res Inst, Cape Town, South Africa; [Toolsee, T.; Lamont, T.; Rouault, M.; Ansorge, I] Univ Cape Town, Dept Oceanog, Cape Town, South Africa; [Toolsee, T.; Lamont, T.; Rouault, M.] Univ Cape Town, Nansen Tutu Ctr Marine Environm Res, Cape Town, South Africa; [Lamont, T.] Dept Environm Forestry &amp; Fisheries DEFF, Cape Town, South Africa; [Lamont, T.] Bayworld Ctr Res &amp; Educ, Cape Town, South Africa</t>
  </si>
  <si>
    <t>University of Cape Town; University of Cape Town; University of Cape Town</t>
  </si>
  <si>
    <t>Toolsee, T (corresponding author), Univ Cape Town, Marine Res Inst, Cape Town, South Africa.;Toolsee, T (corresponding author), Univ Cape Town, Dept Oceanog, Cape Town, South Africa.</t>
  </si>
  <si>
    <t>teshatoolsee@gmail.com</t>
  </si>
  <si>
    <t>Rouault, Mathieu/A-5022-2008</t>
  </si>
  <si>
    <t>Rouault, Mathieu/0000-0002-3207-6777; Lamont, Tarron/0000-0001-8464-891X; Toolsee, Tesha/0000-0002-6195-7442; Ansorge, Isabelle/0000-0001-7071-8147</t>
  </si>
  <si>
    <t>NRF SARChI Chair in Ocean-Atmosphere Modelling; University of Cape Town; NansenTutu Centre for Marine Environmental Research</t>
  </si>
  <si>
    <t>The authors wish to thank The NansenTutu Centre for Marine Environmental Research and the NRF SARChI Chair in Ocean-Atmosphere Modelling for financial support. The University of Cape Town, as well as the Branch: Oceans and Coasts of the South African Department of Environment, Forestry and Fisheries (DEFF), are also thanked for funding support and administrative and logistical assistance. All data used in this study are freely available and downloadable from the following websites: ERA5 reanalysis data, https://cds.climate.copernicus.eu; GlobCurrent 3.0 data, http://globcurrent.ifremer.fr; GHRSST Level 4 AVHRR_OI Global Blended Sea Surface Temperature Analysis (GDS2), http://podaac.jpl.nasa.gov; WHOI OAFlux data, http://oaflux.whoi.edu; and altimetry data, http://marine.copernicus.eu.</t>
  </si>
  <si>
    <t>1814-232X</t>
  </si>
  <si>
    <t>1814-2338</t>
  </si>
  <si>
    <t>AFR J MAR SCI</t>
  </si>
  <si>
    <t>Afr. J. Mar. Sci.</t>
  </si>
  <si>
    <t>10.2989/1814232X.2021.1873858</t>
  </si>
  <si>
    <t>RG8OQ</t>
  </si>
  <si>
    <t>WOS:000625529100001</t>
  </si>
  <si>
    <t>Steffenel, LA; Anabor, V; Pinheiro, DK; Guzman, L; Bittencourt, GD; Bencherif, H</t>
  </si>
  <si>
    <t>Steffenel, Luiz Angelo; Anabor, Vagner; Kirsch Pinheiro, Damaris; Guzman, Lissette; Dornelles Bittencourt, Gabriela; Bencherif, Hassan</t>
  </si>
  <si>
    <t>Forecasting upper atmospheric scalars advection using deep learning: an O3 experiment</t>
  </si>
  <si>
    <t>MACHINE LEARNING</t>
  </si>
  <si>
    <t>Deep learning; Spatio-temporal; Ozone; Weather forecast</t>
  </si>
  <si>
    <t>STRATOSPHERIC OZONE; MODEL; SIMULATIONS; REANALYSIS; COLUMN</t>
  </si>
  <si>
    <t>Weather forecast based on extrapolation methods is gathering a lot of attention due to the advance of artificial intelligence. Recent works on deep neural networks (CNN, RNN, LSTM, etc.) are enabling the development of spatiotemporal prediction models based on the analysis of historical time-series, images, and satellite data. In this paper, we focus on the use of deep learning for the forecast of stratospheric Ozone (O-3), especially in the cases of exchanges between the polar vortex and mid-latitudes known as Ozone Secondary Events (OSE). Secondary effects of the Antarctic Ozone Hole are regularly observed above populated zones on South America, south of Africa, and New Zealand, resulting in abrupt reductions in the total ozone column of more than 10% and a consequent increase in UV radiation in densely populated areas. We study different OSE events from the literature, comparing real data with predictions from our model. We obtained interesting results and insights that may lead to accurate and fast prediction models to forecast stratospheric Ozone and the occurrence of OSE.</t>
  </si>
  <si>
    <t>[Steffenel, Luiz Angelo] Univ Reims, LICIIS Lab, LRC CEA DIGIT, Reims, France; [Anabor, Vagner; Kirsch Pinheiro, Damaris; Guzman, Lissette; Dornelles Bittencourt, Gabriela] Univ Fed Santa Maria, Santa Maria, RS, Brazil; [Dornelles Bittencourt, Gabriela; Bencherif, Hassan] Univ Reunion, LACy Lab, St Denis, La Reunion, France</t>
  </si>
  <si>
    <t>Universite de Reims Champagne-Ardenne; Universidade Federal de Santa Maria (UFSM); University of La Reunion</t>
  </si>
  <si>
    <t>Steffenel, LA (corresponding author), Univ Reims, LICIIS Lab, LRC CEA DIGIT, Reims, France.</t>
  </si>
  <si>
    <t>angelo.steffenel@univ-reims.fr; vanabor@ufsm.br; damaris@ufsm.br; hassan.bencherif@univ-reunion.fr</t>
  </si>
  <si>
    <t>Anabor, Vagner/I-5814-2012; Steffenel, Luiz Angelo/AAE-4573-2020; Anabor, Vagner/AAL-4118-2021; Pinheiro, Damaris Kirsch/AAE-6120-2020; Bencherif, Hichem/W-5849-2019</t>
  </si>
  <si>
    <t>Steffenel, Luiz Angelo/0000-0003-3670-4088; Pinheiro, Damaris Kirsch/0000-0001-6939-7091;</t>
  </si>
  <si>
    <t>French-Brazilian CAPES-COFECUB MESO project [130199, Te893/17]</t>
  </si>
  <si>
    <t>French-Brazilian CAPES-COFECUB MESO project</t>
  </si>
  <si>
    <t>This research has been supported by the French-Brazilian CAPES-COFECUB MESO project (Project Numbers 130199 and Te893/17 - http://meso.univ-reims.fr).The authors also thank the ROMEO Computing Center (https://romeo.univ-reims.fr/) from Universite de Reims Champagne Ardenne for the access to its computational resources.</t>
  </si>
  <si>
    <t>0885-6125</t>
  </si>
  <si>
    <t>1573-0565</t>
  </si>
  <si>
    <t>MACH LEARN</t>
  </si>
  <si>
    <t>Mach. Learn.</t>
  </si>
  <si>
    <t>10.1007/s10994-020-05944-x</t>
  </si>
  <si>
    <t>Computer Science, Artificial Intelligence</t>
  </si>
  <si>
    <t>Computer Science</t>
  </si>
  <si>
    <t>9P2QI</t>
  </si>
  <si>
    <t>WOS:000625490400002</t>
  </si>
  <si>
    <t>Lathika, N; Rahaman, W; Tarique, M; Gandhi, N; Kumar, A; Thamban, M</t>
  </si>
  <si>
    <t>Lathika, N.; Rahaman, Waliur; Tarique, Mohd; Gandhi, Naveen; Kumar, Avinash; Thamban, Meloth</t>
  </si>
  <si>
    <t>Deep water circulation in the Arabian Sea during the last glacial cycle: Implications for paleo-redox condition, carbon sink and atmospheric CO2 variability</t>
  </si>
  <si>
    <t>Quaternary; Paleoceanography; Indian Ocean; Arabian Sea; Radiogenic isotopes; Nd isotopes; Ocean circulation; Glacial-interglacial stages</t>
  </si>
  <si>
    <t>NEODYMIUM ISOTOPE COMPOSITION; RARE-EARTH-ELEMENTS; OCEAN CIRCULATION; INDIAN-OCEAN; THERMOHALINE CIRCULATION; OVERTURNING CIRCULATION; DISSOLVED NEODYMIUM; BOUNDARY EXCHANGE; OXYGEN ISOTOPES; SOUTH ATLANTIC</t>
  </si>
  <si>
    <t>Global overturning circulation plays a vital role in atmospheric CO2 and climate variability during glacial-interglacial (G-I) cycles; however, the exact mechanism remains elusive due to inadequate knowledge on past deep water circulation in the global ocean. Since no deep water is formed in the northern Indian Ocean, it ventilates from the south and acts only as a host for deep water circulation. Absence of any active deep water formation makes the northern Indian Ocean an ideal location to assess the extent of southern source waters and its role on past CO2 variability during the G-I climate cycles. This study provides the first record of deep water circulation in the Arabian Sea, the northwestern Indian Ocean, during the past 136 ka based on authigenic Nd isotope record (epsilon(Nd)). The Arabian Sea epsilon(Nd) record shows large variability ranging from -8.8 to -6.5 with more radiogenic values during the glacial stages (MIS 2 &amp; 6) and less radiogenic values during the interglacial stages (MIS 1 &amp; 5) indicating changes in water mass sources. The observation of more radiogenic epsilon(Nd) values similar to the glacial Antarctic Bottom Water (AABW) indicates enhanced flow of AABW (95-100%) and substantial reduction and/or almost complete retreat of North Atlantic Deep Water (NADW, 0-5%) during the glacials, whereas less radiogenic values indicate enhanced flow of NADW (similar to 20-40%) during the interglacials. The Arabian Sea e N d record followed exactly similar pattern to that of the equatorial Indian Ocean (EIO). However, amplitude of their variations differed significantly during the interglacials (MIS 1 &amp; 5); the Arabian Sea epsilon(Nd) values were more radiogenic than the EIO. This suggests that during the interglacials, the Arabian Sea received more fraction of AABW through the western pathway, whereas the EIO received more fraction of NADW through the central pathway. This highlights differences in deep water exports from the Southern Ocean to the Arabian Sea and the EIO during the interglacials whereas export of similar water masses and its uniform distribution up to the northern Indian Ocean during the glacials. Our findings of significant G-I changes in AABW and NADW exports to the Indian Ocean and intra-basinal differences in their distribution have important implications for regional biogeochemical processes, paleo-redox conditions in the water column, carbon sink (organic and inorganic) and atmospheric CO2 variability during the G-I climate transitions. (C) 2021 Elsevier Ltd. All rights reserved.</t>
  </si>
  <si>
    <t>[Lathika, N.; Rahaman, Waliur; Tarique, Mohd; Kumar, Avinash; Thamban, Meloth] Minist Earth Sci, Natl Ctr Polar &amp; Ocean Res, Mormugao, Goa, India; [Lathika, N.] Goa Univ, Sch Earth Ocean &amp; Atmospher Sci, Taleigao, Goa, India; [Tarique, Mohd] Mangalore Univ, Dept Marine Geol, Mangalore, India; [Gandhi, Naveen] Minist Earth Sci, Indian Inst Trop Meteorol, Pune, Maharashtra, India</t>
  </si>
  <si>
    <t>Ministry of Earth Sciences (MoES) - India; National Centre for Polar and Ocean Research (NCPOR); Goa University; Mangalore University; Ministry of Earth Sciences (MoES) - India; Indian Institute of Tropical Meteorology (IITM)</t>
  </si>
  <si>
    <t>Lathika, N (corresponding author), Minist Earth Sci, Natl Ctr Polar &amp; Ocean Res, Mormugao, Goa, India.</t>
  </si>
  <si>
    <t>lathika@ncpor.res.in; waliur@ncpor.res.in; tarique@ncpor.res.in; naveen@tropmet.res.in; avinash@ncpor.res.in; meloth@ncpor.res.in</t>
  </si>
  <si>
    <t>; Tarique, Mohd/M-4359-2016</t>
  </si>
  <si>
    <t>N, Lathika/0000-0001-7617-6377; Tarique, Mohd/0000-0002-3203-2694; Rahaman, Waliur/0000-0001-6439-4529; Avinash, Kumar/0000-0002-6511-8435</t>
  </si>
  <si>
    <t>Ministry of Earth Sciences, India</t>
  </si>
  <si>
    <t>We thank Director, NCPOR for encouragement and Ministry of Earth Sciences, India, for the financial support through the project PACER -Cryosphere and Climate.. We thank two anonymous reviewers for their detailed review, valuable suggestions and comments. We also thank the editor Ingrid Hendy for editorial handling of the manuscript. The authors thank Ms Ankita Kanetkar for technical and laboratory support. The authors declare no conflict of interest. This is NCPOR contribution No. J-116/2020-21.</t>
  </si>
  <si>
    <t>10.1016/j.quascirev.2021.106853</t>
  </si>
  <si>
    <t>QZ9NS</t>
  </si>
  <si>
    <t>WOS:000631046400007</t>
  </si>
  <si>
    <t>Kim, JU; Kim, JH</t>
  </si>
  <si>
    <t>Kim, Jong-U; Kim, Jeong-Hoon</t>
  </si>
  <si>
    <t>Characterization of the complete mitochondrial genome of the Macaroni penguin Eudyptes chrysolophus from the Barton Peninsula, King George Island, Antarctica</t>
  </si>
  <si>
    <t>Crested penguin; Eudyptes chrysolophus; Macaroni penguin mitogenome</t>
  </si>
  <si>
    <t>The Macaroni penguin Eudyptes chrysolophus is a small crested penguin. In this study, the complete mitochondrial genome of E. chrysolophus is revealed for the first time. The mitogenome sequence is circular and 17,059 bp in length. It contains 13 protein-coding genes (PCGs), 22 transfer RNA (tRNA) genes, and two ribosomal RNA (rRNA) genes similar to other Spheniscidae species. The total nucleotide composition is 30.53% (A), 32.86% (C), 13.96% (G), and 22.66% (T), and 46.81% for overall GC contents. The phylogenetic analysis shows a close relationship between E. chrysolophus and E. schlegeli. Our findings would be useful for further studies on phylogenetics and evolutionary history of the genus Eudyptes.</t>
  </si>
  <si>
    <t>[Kim, Jong-U; Kim, Jeong-Hoon] Korea Polar Res Inst, 26 Songdomirae Ro, Incheon 21990, South Korea</t>
  </si>
  <si>
    <t>Korea Polar Research Institute (KOPRI)</t>
  </si>
  <si>
    <t>Kim, JH (corresponding author), Korea Polar Res Inst, 26 Songdomirae Ro, Incheon 21990, South Korea.</t>
  </si>
  <si>
    <t>jhkim94@kopri.re.kr</t>
  </si>
  <si>
    <t>KIM, JONG-U/0000-0001-7790-1817; Kim, Jeong-Hoon/0000-0002-2397-2668</t>
  </si>
  <si>
    <t>Korea Polar Research Institute [PE21130]</t>
  </si>
  <si>
    <t>This study was supported by Ecophysiology of Antarctic terrestrial organisms to reveal mechanisms of adaptation to changing environment of the Korea Polar Research Institute under Grant number [PE21130].</t>
  </si>
  <si>
    <t>10.1080/23802359.2021.1888329</t>
  </si>
  <si>
    <t>RA0TY</t>
  </si>
  <si>
    <t>WOS:000631132900001</t>
  </si>
  <si>
    <t>Kusiak, MA; Dunkley, DJ; Wilde, SA; Whitehouse, MJ; Kemp, AIS</t>
  </si>
  <si>
    <t>Kusiak, Monika A.; Dunkley, Daniel J.; Wilde, Simon A.; Whitehouse, Martin J.; Kemp, Anthony I. S.</t>
  </si>
  <si>
    <t>Eoarchean crust in East Antarctica: Extension from Enderby Land into Kemp Land</t>
  </si>
  <si>
    <t>GONDWANA RESEARCH</t>
  </si>
  <si>
    <t>Eoarchean; Antarctica; Zircon; U-Pb geochronology; Hf isotopes</t>
  </si>
  <si>
    <t>Eoarchean rocks in the Napier Complex of East Antarctica are largely known from a few localities in the western Tula Mountains of Enderby Land. Zircon from trondhjemitic and mafic gneisses from Aker Peaks in Kemp Land, 200 km further east, were analysed by secondary ion mass spectrometry (SIMS), yielding concordant U\\Pb dates between 3860 and 3700 Ma, which can be attributed to magmatic and possibly metamorphic activity. Concurrent analysis of 207Pb/206Pb ratios and Lu\\Hf isotopes in the trondhjemitic sample by laser ablation ICPMS provide initial ?Hf(t) estimates for this age range that are slightly sub-chondritic (ca 0 to ?2). This can be attributed to the incorporation of older crust into the magmatic protoliths of the gneisses, although there is no requirement that this crustal source be older than Eoarchean. Much scatter in the U\\Pb dataset is attributable to isotopic disturbance of Pb during high-temperature metamorphism at 2.5 Ga, and if not corrected for, can lead to overestimation of model crust formation ages, a critical problem in the search for evidence of Hadean crust in Eoarchean rocks, and for estimating the timing and rate of ancient continental growth. ? 2021 International Association for Gondwana Research. Published by Elsevier B.V. All rights reserved.</t>
  </si>
  <si>
    <t>[Kusiak, Monika A.] Polish Acad Sci, Inst Geol Sci, Twarda 51-55, PL-00818 Warsaw, Poland; [Dunkley, Daniel J.] Polish Acad Sci, Inst Geophys, Ksiecia Janusza 64, PL-01452 Warsaw, Poland; [Wilde, Simon A.] Curtin Univ, Sch Earth &amp; Planetary Sci, POB U1987, Perth, WA 6845, Australia; [Whitehouse, Martin J.] Swedish Museum Nat Hist, Box 50007, SE-10405 Stockholm, Sweden; [Kemp, Anthony I. S.] Univ Western Australia, Sch Earth Sci, Perth, WA 6009, Australia</t>
  </si>
  <si>
    <t>Polish Academy of Sciences; Institute of Geological Sciences of the Polish Academy of Sciences; Polish Academy of Sciences; Institute of Geophysics of the Polish Academy of Sciences; Curtin University; Swedish Museum of Natural History; University of Western Australia</t>
  </si>
  <si>
    <t>Kusiak, MA (corresponding author), Polish Acad Sci, Inst Geol Sci, Twarda 51-55, PL-00818 Warsaw, Poland.</t>
  </si>
  <si>
    <t>monika.kusiak@igf.edu.pl</t>
  </si>
  <si>
    <t>Wilde, Simon Alexander/C-5174-2009; Whitehouse, Martin J/E-1425-2013; Kusiak, Monika A./B-7026-2015</t>
  </si>
  <si>
    <t>Wilde, Simon Alexander/0000-0002-4546-8278; Kemp, Anthony/0000-0003-1642-0360; Kusiak, Monika A./0000-0003-2042-8621</t>
  </si>
  <si>
    <t>Polish National Science Centre (NCN) [UMO2016/B/ST10/02067]; Australian Antarctic Science (AAS) [RES-SE-SEP-SL-61901-1]</t>
  </si>
  <si>
    <t>Polish National Science Centre (NCN); Australian Antarctic Science (AAS)</t>
  </si>
  <si>
    <t>This reserach was funded by a Polish National Science Centre (NCN) grant UMO2016/B/ST10/02067 to MAK and by Australian Antarctic Science (AAS) grant RES-SE-SEP-SL-61901-1 to SAW. Samples for this study come from the legacy archive of Geoscience Australia, and were made available thanks to Chris Carson and Alix Post.</t>
  </si>
  <si>
    <t>1342-937X</t>
  </si>
  <si>
    <t>1878-0571</t>
  </si>
  <si>
    <t>GONDWANA RES</t>
  </si>
  <si>
    <t>Gondwana Res.</t>
  </si>
  <si>
    <t>10.1016/j.gr.2020.12.031</t>
  </si>
  <si>
    <t>RF0EN</t>
  </si>
  <si>
    <t>WOS:000634521600002</t>
  </si>
  <si>
    <t>Zang, L; Zhang, Y; Zhu, B; Mao, FY; Zhang, Y; Wang, ZM</t>
  </si>
  <si>
    <t>Zang, Lin; Zhang, Yi; Zhu, Bo; Mao, Feiyue; Zhang, Yu; Wang, Zemin</t>
  </si>
  <si>
    <t>Characteristics of water-soluble inorganic aerosol pollution and its meteorological response in Wuhan, Central China</t>
  </si>
  <si>
    <t>ATMOSPHERIC POLLUTION RESEARCH</t>
  </si>
  <si>
    <t>Aerosol pollution; Central China; Meteorological response; PM2.5; Water-soluble inorganic ions</t>
  </si>
  <si>
    <t>Due to the rapid economic development in Central China, PM2.5 (particles not larger than 2.5 mu m) pollution is serious in recent years. To fully understand the causes of PM2.5 in this region, we conducted a long-term tracking (2015-2018) on water-soluble inorganic ions (WSIIs) in PM2.5, including sulfate (SO42-), nitrate (NO3-), ammonium (NH4+), chlorine (Cl), potassium (K+), calcium (Ca2+), sodium (Na+), and magnesium (Mg2+). Results indicate that each ion has significant seasonal variations, with the maximum concentration in winter and minimum in summer. The secondary inorganic aerosols (SIAs) have remarkably higher concentrations in haze periods than non-haze periods, which indicates that the outbreak of haze is closely related to the massive generation of SIAs. Moreover, each ion shows a different response to the variation of meteorology, implying the different formation mechanisms. Generally, high pollution levels of Ca-2(+), Mg-2(+), K+, Cl-, and Na+ are correlated to prevailing winds, suggesting the significant contribution of regional transport. High concentrations of SIAs are usually accompanied by the low temperature (T &lt; 15 degrees C), high relative humidity (RH &gt; 60%), and calm wind, which means they are mainly locally generated. Under conditions with low T and high RH, more gaseous sulfur and nitrogen tend to be converted into solid inorganic salts, proved by the higher oxidation efficiency. Different to NO3-, SO42- is also easily generated at high T through photochemical oxidization. This study interprets fine particle pollution from the perspective of particle composition, and the results provide an reference for regional air pollution prevention.</t>
  </si>
  <si>
    <t>[Zang, Lin; Wang, Zemin] Wuhan Univ, Chinese Antarctic Ctr Surveying &amp; Mapping, Wuhan 430079, Peoples R China; [Zhang, Yi; Mao, Feiyue; Zhang, Yu] Wuhan Univ, Sch Remote Sensing &amp; Informat Engn, Wuhan 430079, Peoples R China; [Zhu, Bo] Hubei Ecoenvironm Monitoring Ctr, Wuhan 430079, Peoples R China; [Mao, Feiyue] Wuhan Univ, State Key Lab Informat Engn Surveying Mapping &amp; R, Wuhan 430079, Peoples R China</t>
  </si>
  <si>
    <t>Wuhan University; Wuhan University; Wuhan University</t>
  </si>
  <si>
    <t>Zhang, Y (corresponding author), Wuhan Univ, Sch Remote Sensing &amp; Informat Engn, Wuhan 430079, Peoples R China.</t>
  </si>
  <si>
    <t>ivory2008@whu.edu.cn</t>
  </si>
  <si>
    <t>Zhang, Yufeng/GSD-5532-2022</t>
  </si>
  <si>
    <t>Zhang, Yufeng/0000-0003-3610-5229; Zhang, Yi/0000-0003-3929-3595</t>
  </si>
  <si>
    <t>National Natural Science Foundation of China [41971285, 41627804]; Fundamental Research Funds for the Central Universities [2042019kf0192, 2042020kf0216]</t>
  </si>
  <si>
    <t>National Natural Science Foundation of China(National Natural Science Foundation of China (NSFC)); Fundamental Research Funds for the Central Universities(Fundamental Research Funds for the Central Universities)</t>
  </si>
  <si>
    <t>This work was supported by the National Natural Science Foundation of China (grant numbers 41971285 and 41627804); and the Fundamental Research Funds for the Central Universities (grant numbers 2042019kf0192 and 2042020kf0216).</t>
  </si>
  <si>
    <t>TURKISH NATL COMMITTEE AIR POLLUTION RES &amp; CONTROL-TUNCAP</t>
  </si>
  <si>
    <t>BUCA</t>
  </si>
  <si>
    <t>DOKUZ EYLUL UNIV, DEPT ENVIRONMENTAL ENGINEERING, TINAZTEPE CAMPUS, BUCA, IZMIR 35160, TURKEY</t>
  </si>
  <si>
    <t>1309-1042</t>
  </si>
  <si>
    <t>ATMOS POLLUT RES</t>
  </si>
  <si>
    <t>Atmos. Pollut. Res.</t>
  </si>
  <si>
    <t>10.1016/j.apr.2021.01.003</t>
  </si>
  <si>
    <t>RB0TN</t>
  </si>
  <si>
    <t>WOS:000631830400002</t>
  </si>
  <si>
    <t>Allan, BJM; Ray, JL; Tiedemann, M; Komyakova, V; Vikebo, F; Skaar, KS; Stiasny, MH; Folkvord, A; Nash, RDM; Stenevik, EK; Kjesbu, OS</t>
  </si>
  <si>
    <t>Allan, Bridie Jean Marie; Ray, Jessica Louise; Tiedemann, Maik; Komyakova, Valeriya; Vikebo, Frode; Skaar, Katrine Sandnes; Stiasny, Martina H.; Folkvord, Arild; Nash, Richard D. M.; Stenevik, Erling Kare; Kjesbu, Olav Sigurd</t>
  </si>
  <si>
    <t>Quantitative molecular detection of larval Atlantic herring (Clupea harengus) in stomach contents of Atlantic mackerel (Scomber scombrus) marks regions of predation pressure</t>
  </si>
  <si>
    <t>NORDIC SEAS; ALTERNATIVE PREY; SWIMMING SPEEDS; RECRUITMENT; GROWTH; STOCK; COD; DNA; IDENTIFICATION; TEMPERATURE</t>
  </si>
  <si>
    <t>Mortality rates in the early life-history stages of fishes are generally high yet identifying the causes remain unclear. Faltering recruitment rates of Atlantic herring (Clupea harengus) in the Norwegian Sea indicate a need to identify which mortality factors influence larval herring survival. Previous research suggests that increased predation pressure by Atlantic mackerel (Scomber scombrus) may contribute to the disconnect between spawning stock biomass and recruitment. To quantify the contribution of predation pressure by Atlantic mackerel to herring larval mortality, two research cruises were conducted within a probable hot spot (67-72 degrees N) for intensified mackerel predation based on particle drift simulations. Mackerel stomach contents were analysed for herring larvae content using droplet digital polymerase chain reaction (ddPCR) with a quantitative molecular detection assay specific for herring. The ddPCR results demonstrate clear predation by mackerel on herring larvae and also suggest that the alternative use of visual examination may give misleading results. Our results show that mackerel should be considered a potentially important predator on herring larvae. The quantitative molecular assay presented here shows great promise as an efficient and specific tool to correctly identify and quantify predation pressure on early life-history stages of fishes.</t>
  </si>
  <si>
    <t>[Allan, Bridie Jean Marie; Tiedemann, Maik; Vikebo, Frode; Stiasny, Martina H.; Folkvord, Arild; Nash, Richard D. M.; Stenevik, Erling Kare; Kjesbu, Olav Sigurd] Inst Marine Res, N-5817 Bergen, Norway; [Allan, Bridie Jean Marie] Univ Otago, Dept Marine Sci, Dunedin 9016, New Zealand; [Ray, Jessica Louise; Skaar, Katrine Sandnes] NORCE Norwegian Res Ctr AS, NORCE Environm, N-5008 Bergen, Norway; [Komyakova, Valeriya] Univ Tasmania, Inst Marine &amp; Antarctic Studies, Hobart, Tas 7001, Australia; [Folkvord, Arild] Univ Bergen, N-5020 Bergen, Norway; [Nash, Richard D. M.] Ctr Environm Fisheries &amp; Aquaculture Sci Cef, Lowestoft NR33 0HT, Suffolk, England</t>
  </si>
  <si>
    <t>Institute of Marine Research - Norway; University of Otago; Norwegian Research Centre (NORCE); University of Tasmania; University of Bergen</t>
  </si>
  <si>
    <t>Allan, BJM (corresponding author), Inst Marine Res, N-5817 Bergen, Norway.;Allan, BJM (corresponding author), Univ Otago, Dept Marine Sci, Dunedin 9016, New Zealand.</t>
  </si>
  <si>
    <t>bridie.allan@otago.ac.nz</t>
  </si>
  <si>
    <t>Komyakova, Valeriya/H-4632-2013; Ray, Jessica Louise/D-2210-2018; Tiedemann, Maik/AGN-4975-2022</t>
  </si>
  <si>
    <t>Ray, Jessica Louise/0000-0002-7305-5737;</t>
  </si>
  <si>
    <t>Norwegian Fisheries Research Sales Tax System (IMR) [14861]; IMR Research Program 'Marine Processes and Human Impacts'</t>
  </si>
  <si>
    <t>Norwegian Fisheries Research Sales Tax System (IMR); IMR Research Program 'Marine Processes and Human Impacts'</t>
  </si>
  <si>
    <t>This work was undertaken within the project RECNOR (Recruitment Dynamics of Commercially Important Fish Species in Changing NE Atlantic Ecosystems) funded by The Norwegian Fisheries Research Sales Tax System (IMR project no. 14861). The two research cruises were financially supported by the IMR Research Program 'Marine Processes and Human Impacts'. We thank IMR technicians, vessel crews and P. Gibbs for logistical support.</t>
  </si>
  <si>
    <t>MAR 3</t>
  </si>
  <si>
    <t>10.1038/s41598-021-84545-7</t>
  </si>
  <si>
    <t>QS8JS</t>
  </si>
  <si>
    <t>WOS:000626140400002</t>
  </si>
  <si>
    <t>Zarco-Perello, S; Bosch, NE; Bennett, S; Vanderklift, MA; Wernberg, T</t>
  </si>
  <si>
    <t>Zarco-Perello, Salvador; Bosch, Nestor E.; Bennett, Scott; Vanderklift, Mat A.; Wernberg, Thomas</t>
  </si>
  <si>
    <t>Persistence of tropical herbivores in temperate reefs constrains kelp resilience to cryptic habitats</t>
  </si>
  <si>
    <t>JOURNAL OF ECOLOGY</t>
  </si>
  <si>
    <t>herbivory; kelp forest; nursery grounds; refuge; seagrass; temperate reefs; tropicalization</t>
  </si>
  <si>
    <t>FISH KYPHOSUS-BIGIBBUS; CORAL-REEF; TEMPORAL PATTERNS; FEEDING-BEHAVIOR; MARINE; RANGE; DIET; RECRUITMENT; DIVERSITY; ABUNDANCE</t>
  </si>
  <si>
    <t>Global warming is facilitating the range expansion of tropical herbivores, causing a tropicalization of temperate marine ecosystems, where tropical herbivores can suppress habitat-forming macrophytes, supporting the resilience of canopy-free ecosystem states. However, currently we lack a thorough understanding of the mechanisms that, on one hand, support the persistence of tropical herbivores and on the other support the recovery of temperate foundation species in tropicalized ecosystems, a required knowledge to predict potential regime shifts and reversals to the baseline state of the ecosystem. This study tested processes behind the persistence of the tropicalization of temperate reefs which experienced a complete loss of their kelp forests and an influx of tropical herbivores following a marine heatwave in 2011. For this, we assessed the feedback mechanisms that maintain turf-dominated states (recruitment of tropical herbivores, browsing and grazing rates and turf cover) and those that resist it (kelp recruitment, survival and reproductiveness). We found that the reefs remained tropicalized with high abundances of turf and tropical herbivores after 9 years from the regime shift. The rabbitfish Siganus fuscescens and the chub Kyphosus bigibbus were the most important herbivores whose persistence was supported by the adjacent reef lagoon, where seagrass meadows and the backreef habitats hosted juveniles of both species, particularly rabbitfish. Tropical herbivores exerted a strong top-down control on turf seaweed and kelp during herbivory assays, rapidly consuming kelp individuals in open areas. However, in topographical refuges in the reefs, herbivory was low and kelp individuals survived, with some having reproductive tissue. Synthesis. Our findings incorporate the importance of nursery grounds for tropical herbivores and herbivory refugia for kelp individuals into the tropicalization model, where the former increases the resilience of canopy-free states and the latter might facilitate recovering kelp populations. The restoration of abundant warm-resistant kelp populations in shelters could provide local sources of propagules to recolonize open spaces; however, our results suggest that the reduction of herbivory and the provision of turf-free substratum would be necessary to boost the recovery of kelp forests.</t>
  </si>
  <si>
    <t>[Zarco-Perello, Salvador; Bosch, Nestor E.; Wernberg, Thomas] Univ Western Australia, Sch Biol Sci, Crawley, WA, Australia; [Zarco-Perello, Salvador; Bosch, Nestor E.; Wernberg, Thomas] Univ Western Australia, UWA Oceans Inst, Crawley, WA, Australia; [Bennett, Scott] Univ Tasmania, Inst Marine &amp; Antarctic Studies, Hobart, Tas, Australia; [Bennett, Scott] Univ Tasmania, Ctr Marine Socioecol, Hobart, Tas, Australia; [Vanderklift, Mat A.] Commonwealth Sci &amp; Ind Res Org CSIRO, Oceans &amp; Atmosphere Flagship, Indian Ocean Marine Res Ctr, Crawley, WA, Australia</t>
  </si>
  <si>
    <t>University of Western Australia; University of Western Australia; University of Tasmania; University of Tasmania; Commonwealth Scientific &amp; Industrial Research Organisation (CSIRO); University of Western Australia</t>
  </si>
  <si>
    <t>Zarco-Perello, S (corresponding author), Univ Western Australia, Sch Biol Sci, Crawley, WA, Australia.;Zarco-Perello, S (corresponding author), Univ Western Australia, UWA Oceans Inst, Crawley, WA, Australia.</t>
  </si>
  <si>
    <t>salvador.zarco.perello@gmail.com</t>
  </si>
  <si>
    <t>Bennett, Scott/A-8747-2016; Guerra, Néstor Echedey Bosch/AAI-6774-2020; Wernberg, Thomas/B-4172-2010</t>
  </si>
  <si>
    <t>Bennett, Scott/0000-0003-2969-7430; Guerra, Néstor Echedey Bosch/0000-0003-0421-8456; Wernberg, Thomas/0000-0003-1185-9745; Zarco-Perello, Salvador/0000-0001-9435-8545</t>
  </si>
  <si>
    <t>Australian Research Council [DP170100023]; Holsworth Wildlife Research Endowment [RA/1/411/101]; Sea World Research and Rescue Foundation [SWR/14/2019]</t>
  </si>
  <si>
    <t>Australian Research Council(Australian Research Council); Holsworth Wildlife Research Endowment; Sea World Research and Rescue Foundation</t>
  </si>
  <si>
    <t>Australian Research Council, Grant/Award Number: DP170100023; Holsworth Wildlife Research Endowment, Grant/Award Number: RA/1/411/101; Sea World Research and Rescue Foundation, Grant/Award Number: SWR/14/2019</t>
  </si>
  <si>
    <t>0022-0477</t>
  </si>
  <si>
    <t>1365-2745</t>
  </si>
  <si>
    <t>J ECOL</t>
  </si>
  <si>
    <t>J. Ecol.</t>
  </si>
  <si>
    <t>10.1111/1365-2745.13621</t>
  </si>
  <si>
    <t>Plant Sciences; Ecology</t>
  </si>
  <si>
    <t>Plant Sciences; Environmental Sciences &amp; Ecology</t>
  </si>
  <si>
    <t>SA6EW</t>
  </si>
  <si>
    <t>WOS:000624971200001</t>
  </si>
  <si>
    <t>Thomas, ER; Gacitúa, G; Pedro, JB; King, ACF; Markle, B; Potocki, M; Moser, DE</t>
  </si>
  <si>
    <t>Thomas, Elizabeth Ruth; Gacitua, Guisella; Pedro, Joel B.; King, Amy Constance Faith; Markle, Bradley; Potocki, Mariusz; Moser, Dorothea Elisabeth</t>
  </si>
  <si>
    <t>Physical properties of shallow ice cores from Antarctic and sub-Antarctic islands</t>
  </si>
  <si>
    <t>DENSIFICATION; RETREAT</t>
  </si>
  <si>
    <t>The sub-Antarctic is one of the most data-sparse regions on earth. A number of glaciated Antarctic and sub-Antarctic islands have the potential to provide unique ice core records of past climate, atmospheric circulation, and sea ice. However, very little is known about the glaciology of these remote islands or their vulnerability to warming atmospheric temperature. Here we present melt histories and density profiles from shallow ice (firn) cores (14 to 24 m) drilled on three sub-Antarctic islands and two Antarctic coastal domes. Additionally, complementary ground-penetrating radar (GPR) data were collected to further characterize each site and assess the spatial distribution of the observed melt layers. This study includes the first ever firn cores from Bouvet Island (54 degrees 25'19 '' S, 03 degrees 23'27 '' E) in the South Atlantic, from Peter I Island (68 degrees 51'05 '' 5, 90 degrees 30'35 '' W) in the Bellingshausen Sea, and from Young Island (66 degrees 31'44 '' S, 162 degrees 33'21 '' E) in the Ross Sea sector's Balleny island chain. Despite their sub-Antarctic location, surface melt is low at most sites (melt layers account for similar to 10 % of total core), with undisturbed ice layers in the upper similar to 40 m, suggesting minimal impact of meltwater percolation. The exception is Young Island, where melt layers account for 47 % of the firn core. Surface snow densities range from 0.47 to 0.52 kg m(-3), with close-off depths ranging from 21 to 51 m. Based on the measured density, we estimate that the bottom ages of a 100 m ice core drilled on Peter 1 Island would reach similar to 1856 CE and similar to 1874 CE at Young Island.</t>
  </si>
  <si>
    <t>[Thomas, Elizabeth Ruth; King, Amy Constance Faith; Moser, Dorothea Elisabeth] British Antarctic Survey, Ice Dynam &amp; Paleoclimate, Cambridge CB3 0ET, England; [Gacitua, Guisella] Univ Magallanes, Ctr Invest Gaia Antart, Punta Arenas, Chile; [Pedro, Joel B.] Australian Antarctic Div, Kingston, Tas 7050, Australia; [Pedro, Joel B.] Australian Antarctic Programme Partnership, Hobart, Tas 7001, Australia; [Markle, Bradley] CALTECH, Pasadena, CA 91125 USA; [Potocki, Mariusz] Univ Maine, Climate Change Inst, Orono, ME 04469 USA; [Potocki, Mariusz] Univ Maine, Sch Earth &amp; Climate Sci, Orono, ME 04469 USA; [Moser, Dorothea Elisabeth] Univ Munster, Inst Geol &amp; Palaontol, D-48149 Munster, Germany</t>
  </si>
  <si>
    <t>UK Research &amp; Innovation (UKRI); Natural Environment Research Council (NERC); NERC British Antarctic Survey; Universidad de Magallanes; Australian Antarctic Division; California Institute of Technology; University of Maine System; University of Maine Orono; University of Maine System; University of Maine Orono; University of Munster</t>
  </si>
  <si>
    <t>Thomas, ER (corresponding author), British Antarctic Survey, Ice Dynam &amp; Paleoclimate, Cambridge CB3 0ET, England.</t>
  </si>
  <si>
    <t>lith@bas.ac.uk</t>
  </si>
  <si>
    <t>Thomas, Elizabeth Ruth/ADF-3660-2022; Pedro, Dr Joel B./M-5632-2014</t>
  </si>
  <si>
    <t>Thomas, Elizabeth Ruth/0000-0002-3010-6493; Pedro, Dr Joel B./0000-0002-0728-2712; King, Amy/0000-0002-1285-7568</t>
  </si>
  <si>
    <t>Ecole Polytechnique Federale de Lausanne; Swiss Polar Institute; Ferring Pharmaceuticals Inc. [subICE]</t>
  </si>
  <si>
    <t>Ecole Polytechnique Federale de Lausanne; Swiss Polar Institute; Ferring Pharmaceuticals Inc.</t>
  </si>
  <si>
    <t>This research has been supported by the Ecole Polytechnique Federale de Lausanne, the Swiss Polar Institute, and Ferring Pharmaceuticals Inc. (grant no. subICE).</t>
  </si>
  <si>
    <t>10.5194/tc-15-1173-2021</t>
  </si>
  <si>
    <t>QT0PX</t>
  </si>
  <si>
    <t>WOS:000626295900003</t>
  </si>
  <si>
    <t>AlMomani, A; Bollt, E</t>
  </si>
  <si>
    <t>AlMomani, Abd AlRahman; Bollt, Erik</t>
  </si>
  <si>
    <t>An early warning sign of critical transition in the Antarctic ice sheet - a data-driven tool for a spatiotemporal tipping point</t>
  </si>
  <si>
    <t>NONLINEAR PROCESSES IN GEOPHYSICS</t>
  </si>
  <si>
    <t>SHELF; LAPLACIANS; STABILITY; SURFACE</t>
  </si>
  <si>
    <t>Our recently developed tool, called Directed Affinity Segmentation (DAS), was originally designed for the data-driven discovery of coherent sets in fluidic systems. Here we interpret that it can also be used to indicate early warning signs of critical transitions in ice shelves as seen from remote sensing data. We apply a directed spectral clustering methodology, including an asymmetric affinity matrix and the associated directed graph Laplacian, to reprocess the ice velocity data and remote sensing satellite images of the Larsen C ice shelf. Our tool has enabled the simulated prediction of historical events from historical data and fault lines responsible for the critical transitions leading to the breakup of the Larsen C ice shelf crack, which resulted in the A-68 iceberg. Such benchmarking of methods, using data from the past to forecast events that are now also in the past, is sometimes called post-casting, analogous to forecasting into the future. Our method indicated the coming crisis months before the actual occurrence.</t>
  </si>
  <si>
    <t>[AlMomani, Abd AlRahman; Bollt, Erik] Clarkson Univ, Dept Elect &amp; Comp Engn, Potsdam, NY 13699 USA; [AlMomani, Abd AlRahman; Bollt, Erik] Clarkson Univ, Clarkson Ctr Complex Syst Sci C3S2, Potsdam, NY 13699 USA</t>
  </si>
  <si>
    <t>Clarkson University; Clarkson University</t>
  </si>
  <si>
    <t>AlMomani, A (corresponding author), Clarkson Univ, Dept Elect &amp; Comp Engn, Potsdam, NY 13699 USA.;AlMomani, A (corresponding author), Clarkson Univ, Clarkson Ctr Complex Syst Sci C3S2, Potsdam, NY 13699 USA.</t>
  </si>
  <si>
    <t>aaalmoma@clarkson.edu</t>
  </si>
  <si>
    <t>AlMomani, Abd AlRahman/0000-0001-9362-7459</t>
  </si>
  <si>
    <t>Army Research Office; Office of Naval Research [N00014-15-1-2093]</t>
  </si>
  <si>
    <t>Army Research Office; Office of Naval Research(Office of Naval Research)</t>
  </si>
  <si>
    <t>This research has been supported by the Army Research Office (grant no. N68164-EG) and the Office of Naval Research (grant no. N00014-15-1-2093).</t>
  </si>
  <si>
    <t>1023-5809</t>
  </si>
  <si>
    <t>1607-7946</t>
  </si>
  <si>
    <t>NONLINEAR PROC GEOPH</t>
  </si>
  <si>
    <t>Nonlinear Process Geophys.</t>
  </si>
  <si>
    <t>10.5194/npg-28-153-2021</t>
  </si>
  <si>
    <t>Geosciences, Multidisciplinary; Mathematics, Interdisciplinary Applications; Meteorology &amp; Atmospheric Sciences; Physics, Fluids &amp; Plasmas</t>
  </si>
  <si>
    <t>Geology; Mathematics; Meteorology &amp; Atmospheric Sciences; Physics</t>
  </si>
  <si>
    <t>QT0PE</t>
  </si>
  <si>
    <t>WOS:000626293900001</t>
  </si>
  <si>
    <t>Lewis, RD; Johnson, CR; Wright, JT</t>
  </si>
  <si>
    <t>Lewis, Ryan D.; Johnson, Craig R.; Wright, Jeffrey T.</t>
  </si>
  <si>
    <t>Demography of the Intertidal Fucoid Hormosira banksii: Importance of Recruitment to Local Abundance</t>
  </si>
  <si>
    <t>coralline turf algae; demography; ecosystem engineer; fucoid; Hormosira banksii; intertidal; macroalgae</t>
  </si>
  <si>
    <t>EARLY-LIFE-HISTORY; ALTERNATIVE STABLE STATES; SPATIAL VARIATION; DENSITY-DEPENDENCE; FORMING ALGAE; BROWN ALGA; PATTERNS; KELP; POPULATION; DISTURBANCE</t>
  </si>
  <si>
    <t>Canopy-forming macroalgae form the basis of diverse coastal ecosystems globally. The fucoid Hormosira banksii is often the dominant canopy-forming macroalga in the temperate intertidal of southern Australia and New Zealand, where it is commonly associated with an understory of coralline turf. Hormosira banksii is susceptible to both natural and anthropogenic disturbance and despite its abundance, few studies have examined the demography of this important species. This study determined the demographic response of H. banksii to different gradients of disturbance to both its canopy and to the understory coralline turf. We established plots in which the density of H. banksii and/or understory coralline turf was manipulated in a pulse perturbation to simulate a disturbance event. The manipulated plots contained eight treatments ranging from 100% removal of H. banksii to 100% removal of the understory coralline turf. We then measured recruitment and followed individual recruits for up to 18 months to determine growth and survivorship. We found that H. banksii recruitment was seasonally variable throughout the experiment and highest over summer, survivorship of recruits was generally high, and the species was slow-growing and long-lived. Moreover, the level of disturbance did not seem to affect recruitment, growth, or survivorship and post-recruitment mortality was independent of H. banksii density. In this system, it appears that H. banksii is a relatively long-lived perennial species whose demography is density-independent which appears to allow recovery from disturbance.</t>
  </si>
  <si>
    <t>[Lewis, Ryan D.; Johnson, Craig R.; Wright, Jeffrey T.] Univ Tasmania, Inst Marine &amp; Antarctic Studies, Private Bag 129, Hobart, Tas 7001, Australia</t>
  </si>
  <si>
    <t>Lewis, RD (corresponding author), Univ Tasmania, Inst Marine &amp; Antarctic Studies, Private Bag 129, Hobart, Tas 7001, Australia.</t>
  </si>
  <si>
    <t>ryan.lewis@utas.edu.au</t>
  </si>
  <si>
    <t>; Wright, Jeffrey/J-7536-2014</t>
  </si>
  <si>
    <t>Lewis, Ryan/0000-0003-0666-4345; Wright, Jeffrey/0000-0002-1085-4582</t>
  </si>
  <si>
    <t>10.1111/jpy.13124</t>
  </si>
  <si>
    <t>RH1GP</t>
  </si>
  <si>
    <t>WOS:000624620700001</t>
  </si>
  <si>
    <t>Warren, VE; McPherson, C; Giorli, G; Goetz, KT; Radford, CA</t>
  </si>
  <si>
    <t>Warren, Victoria E.; McPherson, Craig; Giorli, Giacomo; Goetz, Kimberly T.; Radford, Craig A.</t>
  </si>
  <si>
    <t>Marine soundscape variation reveals insights into baleen whales and their environment: a case study in central New Zealand</t>
  </si>
  <si>
    <t>ROYAL SOCIETY OPEN SCIENCE</t>
  </si>
  <si>
    <t>passive acoustic monitoring; oceanography; bioacoustics; weather; soundscape</t>
  </si>
  <si>
    <t>Baleen whales reliably produce stereotyped vocalizations, enabling their spatio-temporal distributions to be inferred from acoustic detections. Soundscape analysis provides an integrated approach whereby vocal species, such as baleen whales, are sampled holistically with other acoustic contributors to their environment. Acoustic elements that occur concurrently in space, time and/or frequency can indicate overlaps between free-ranging species and potential stressors. Such information can inform risk assessment framework models. Here, we demonstrate the utility of soundscape monitoring in central New Zealand, an area of high cetacean diversity where potential threats are poorly understood. Pygmy blue whale calls were abundant in the South Taranaki Bight (STB) throughout recording periods and were also detected near Kaikura during autumn. Humpback, Antarctic blue and Antarctic minke whales were detected in winter and spring, during migration. Wind, rain, tidal and wave activity increased ambient sound levels in both deep- and shallow-water environments across a broad range of frequencies, including those used by baleen whales, and sound from shipping, seismic surveys and earthquakes overlapped in time, space and frequency with whale calls. The results highlight the feasibility of soundscape analysis to quantify and understand potential stressors to free-ranging species, which is essential for conservation and management decisions.</t>
  </si>
  <si>
    <t>[Warren, Victoria E.; Radford, Craig A.] Univ Auckland, Leigh Marine Lab, Inst Marine Sci, 160 Goat Isl Rd, Leigh 0985, New Zealand; [Warren, Victoria E.; Giorli, Giacomo; Goetz, Kimberly T.] Natl Inst Water &amp; Atmospher Res, 301 Evans Bay Parade, Wellington 6021, New Zealand; [McPherson, Craig] JASCO Appl Sci Australia Pty Ltd, 14 Hook St,Unit 1, Capalaba, Qld 4157, Australia; [Goetz, Kimberly T.] NOAA, Natl Marine Fisheries Serv, Alaska Fisheries Sci Ctr, Natl Marine Mammal Lab, 7600 Sand Point Way NE, Seattle, WA 98115 USA</t>
  </si>
  <si>
    <t>University of Auckland; National Institute of Water &amp; Atmospheric Research (NIWA) - New Zealand; National Oceanic Atmospheric Admin (NOAA) - USA</t>
  </si>
  <si>
    <t>Warren, VE (corresponding author), Univ Auckland, Leigh Marine Lab, Inst Marine Sci, 160 Goat Isl Rd, Leigh 0985, New Zealand.;Warren, VE (corresponding author), Natl Inst Water &amp; Atmospher Res, 301 Evans Bay Parade, Wellington 6021, New Zealand.</t>
  </si>
  <si>
    <t>vwar775@aucklanduni.ac.nz</t>
  </si>
  <si>
    <t>Goetz, Kimberly/AID-8232-2022</t>
  </si>
  <si>
    <t>McPherson, Craig/0000-0002-9406-9994; Radford, Craig/0000-0001-7949-9497</t>
  </si>
  <si>
    <t>OMV New Zealand Ltd; Chevron New Zealand Holdings LLC; Woodside Energy [Woodside Marine Mammal Research Grant]; Marlborough District Council; University of Auckland Doctoral Scholarship; NIWA Coasts and Oceans Programme 4</t>
  </si>
  <si>
    <t>This work was supported by OMV New Zealand Ltd, Chevron New Zealand Holdings LLC, Marlborough District Council, and Woodside Energy [Woodside Marine Mammal Research Grant, awarded to V.E.W.]. V.E.W. is also funded by the University of Auckland Doctoral Scholarship. G.G. and K.T.G. received co-funding by NIWA Coasts and Oceans Programme 4.</t>
  </si>
  <si>
    <t>2054-5703</t>
  </si>
  <si>
    <t>ROY SOC OPEN SCI</t>
  </si>
  <si>
    <t>R. Soc. Open Sci.</t>
  </si>
  <si>
    <t>10.1098/rsos.201503</t>
  </si>
  <si>
    <t>QS8XH</t>
  </si>
  <si>
    <t>WOS:000626176000001</t>
  </si>
  <si>
    <t>Dunn, MJ; Adlard, S; Taylor, AP; Wood, AG; Trathan, PN; Ratcliffe, N</t>
  </si>
  <si>
    <t>Dunn, M. J.; Adlard, S.; Taylor, A. P.; Wood, A. G.; Trathan, P. N.; Ratcliffe, N.</t>
  </si>
  <si>
    <t>Un-crewed aerial vehicle population survey of three sympatrically breeding seabird species at Signy Island, South Orkney Islands</t>
  </si>
  <si>
    <t>Un-crewed aerial system; UAV; Seabird; Survey; Population; South Orkney Islands; Ecological variability; Pygoscelis penguins</t>
  </si>
  <si>
    <t>Surveying seabirds in polar latitudes can be challenging due to sparse human populations, lack of infrastructure and the risk of disturbance to wildlife or damage to habitats. Counting populations using un-crewed aerial vehicles (UAVs) is a promising approach to overcoming these difficulties. However, a careful validation of the approach is needed to ensure comparability with counts collected using conventional methods. Here, we report on surveys of three Antarctic bird species breeding on Signy Island, South Orkney Islands; Chinstrap (Pygoscelis antarctica) and Gentoo (Pygoscelis papua) Penguins, and the South Georgia Shag (Leucocarbo atriceps georgianus). We show that images from low-altitude UAV surveys have sufficient resolution to allow separation of Chinstrap Penguins from contiguously breeding Adelie Penguins (Pygoscelis adeliae), which are very similar in appearance when viewed from overhead. We compare data from ground counts with manual counts of nesting birds on images collected simultaneously by low-altitude aerial photography from multi-rotor UAVs at the same colonies. Results at this long-term monitoring site confirmed a continued population decline for Chinstrap Penguins and increasing Gentoo Penguin population. Although both methods provided breeding pair counts that were generally within similar to 5%, there were significant differences at some locations. We examine these differences in order to highlight potential biases or methodological constraints that should be considered when analysing similar aerial census surveys and comparing them with ground counts.</t>
  </si>
  <si>
    <t>[Dunn, M. J.; Adlard, S.; Taylor, A. P.; Wood, A. G.; Trathan, P. N.; Ratcliffe, N.] British Antarctic Survey, Nat Environm Res Council, Madingley Rd, Cambridge CB3 0ET, England</t>
  </si>
  <si>
    <t>Dunn, MJ (corresponding author), British Antarctic Survey, Nat Environm Res Council, Madingley Rd, Cambridge CB3 0ET, England.</t>
  </si>
  <si>
    <t>mdunn@bas.ac.uk</t>
  </si>
  <si>
    <t>Dunn, Michael/0000-0003-4633-5466</t>
  </si>
  <si>
    <t>Natural Environment Research Council; NERC [bas0100035] Funding Source: UKRI</t>
  </si>
  <si>
    <t>Natural Environment Research Council(UK Research &amp; Innovation (UKRI)Natural Environment Research Council (NERC)); NERC(UK Research &amp; Innovation (UKRI)Natural Environment Research Council (NERC))</t>
  </si>
  <si>
    <t>We thank all the staff of the British Antarctic Survey (BAS) Signy Island Research Station who have contributed to and supported the UAV penguin monitoring survey. We also thank Carl Robinson and Peter Enderlein for their technical support, advice and equipment provision and Laura Gerrish for her mapping assistance. This study is part of the Ecosystems component of the British Antarctic Survey Polar Science for Planet Earth Programme, funded by The Natural Environment Research Council.</t>
  </si>
  <si>
    <t>10.1007/s00300-021-02831-6</t>
  </si>
  <si>
    <t>WOS:000625033200001</t>
  </si>
  <si>
    <t>Momberg, M; Hedding, DW; Luoto, M; le Roux, PC</t>
  </si>
  <si>
    <t>Momberg, Mia; Hedding, David W.; Luoto, Miska; le Roux, Peter C.</t>
  </si>
  <si>
    <t>Exposing wind stress as a driver of fine-scale variation in plant communities</t>
  </si>
  <si>
    <t>community composition; fine scale; plant community; species richness; vegetation cover; wind</t>
  </si>
  <si>
    <t>SPECIES DISTRIBUTION MODELS; CLIMATE-CHANGE; MARION ISLAND; TERRESTRIAL HABITATS; TIMBERLINE CONIFERS; NESTEDNESS ANALYSIS; INCIDENT RADIATION; ALPINE VEGETATION; SOUTHERN RANGE; GLOBAL TRENDS</t>
  </si>
  <si>
    <t>The effects of temperature and precipitation, and the impacts of changes in these climatic conditions, on plant communities have been investigated extensively. The roles of other climatic factors are, however, comparatively poorly understood, despite potentially also strongly structuring community patterns. Wind, for example, is seldom considered when forecasting species responses to climate change, despite having direct physiological and mechanical impacts on plants. It is, therefore, important to understand the magnitude of potential impacts of changing wind conditions on plant communities, particularly given that wind patterns are shifting globally. Here, we examine the relationship between wind stress (i.e. a combination of wind exposure and wind speed) and species richness, vegetation cover and community composition using fine-scale, field-collected data from 1,440 quadrats in a windy sub-Antarctic environment. Wind stress was consistently a strong predictor of all three community characteristics, even after accounting for other potentially ecophysiologically important variables, including pH, potential direct incident solar radiation, winter and summer soil temperature, soil moisture, soil depth and rock cover. Plant species richness peaked at intermediate wind stress, and vegetation cover was highest in plots with the greatest wind stress. Community composition was also related to wind stress, and, after the influence of soil moisture and pH, had a similar strength of effect as winter soil temperature. Synthesis. Wind conditions are, therefore, clearly related to plant community characteristics in this ecosystem that experiences chronic winds. Based on these findings, wind conditions require greater attention when examining environment-community relationships, and changing wind patterns should be explicitly considered in climate change impact predictions.</t>
  </si>
  <si>
    <t>[Momberg, Mia; le Roux, Peter C.] Univ Pretoria, Dept Plant &amp; Soil Sci, Pretoria, South Africa; [Hedding, David W.] Univ South Africa, Dept Geog, Pretoria, South Africa; [Luoto, Miska] Univ Helsinki, Dept Geosci &amp; Geog, Helsinki, Finland</t>
  </si>
  <si>
    <t>University of Pretoria; University of South Africa; University of Helsinki</t>
  </si>
  <si>
    <t>Momberg, M (corresponding author), Univ Pretoria, Dept Plant &amp; Soil Sci, Pretoria, South Africa.</t>
  </si>
  <si>
    <t>miamomberg@gmail.com</t>
  </si>
  <si>
    <t>Hedding, David William/F-3044-2011; Luoto, Miska/E-6693-2014; Momberg, Mia/ABB-8770-2021; le Roux, Peter Christiaan/E-7784-2011</t>
  </si>
  <si>
    <t>Hedding, David William/0000-0002-9748-4499; Momberg, Mia/0000-0002-8901-9271; le Roux, Peter Christiaan/0000-0002-7941-7444; Luoto, Miska/0000-0001-6203-5143</t>
  </si>
  <si>
    <t>National Research Foundation [93077, 110726, 110723]</t>
  </si>
  <si>
    <t>National Research Foundation</t>
  </si>
  <si>
    <t>National Research Foundation, Grant/Award Number: 93077, 110726 and 110723</t>
  </si>
  <si>
    <t>10.1111/1365-2745.13625</t>
  </si>
  <si>
    <t>WOS:000624971100001</t>
  </si>
  <si>
    <t>Duarte, AWF; Bonugli-Santos, RC; Duarte, ALF; Gomes, E; Sette, LD</t>
  </si>
  <si>
    <t>Fernandes Duarte, Alysson Wagner; Bonugli-Santos, Rafaella Costa; Ferrarezi Duarte, Ana Lucia; Gomes, Eleni; Sette, Lara Duraes</t>
  </si>
  <si>
    <t>Statistical experimental design applied to extracellular lipase production by the marine Antarctic yeast Leucosporidium scottii CRM 728</t>
  </si>
  <si>
    <t>BIOCATALYSIS AND AGRICULTURAL BIOTECHNOLOGY</t>
  </si>
  <si>
    <t>Antarctica; Cold-adapted lipase; Central composite design; Marine biotechnology</t>
  </si>
  <si>
    <t>The search for microbial enzymes from extreme environments may result in the discovery of biomolecules with different properties. In this sense, the aim of this study was to evaluate and optimize the conditions for lipase production by the marine-derived Antarctic yeast Leucosporidium scottii CRM 728 using an experimental design with different sources of carbon and nitrogen. The applied strategy was composed of three steps, including Plackett-Burman, Central Composite Design (CCD), and validation assay. Among nine variables applied, corn steep liquor, olive oil, and soybean oil showed a positive effect in the lipase production, while urea showed a negative effect. The production of lipase increased 9-fold in comparison to the basal activity when olive oil and corn steep liquor were used as nutrient sources. On the other hand, there was an increase of 4.8-fold when soybean oil and corn steep liquor were used as nutrient sources. The highest amounts of lipase were achieved in non-saline conditions and at 20.0 degrees C. In this study, the lipase production by the marine-derived psychrotolerant yeast L. scottii was for the first time reported, providing new knowledgement in the field of enzymatic production by extremophilic and marine microbial resource.</t>
  </si>
  <si>
    <t>[Fernandes Duarte, Alysson Wagner] Univ Fed Alagoas, Complexo Ciencias Med &amp; Enfermagem, Campus Arapiraca, Arapiraca, AL, Brazil; [Fernandes Duarte, Alysson Wagner; Bonugli-Santos, Rafaella Costa; Sette, Lara Duraes] Univ Estadual Campinas UNICAMP, Ctr Pluridisciplinar Pesquisas Quim Biol &amp; Agr CP, Div Recursos Microbianos, Campinas, SP, Brazil; [Bonugli-Santos, Rafaella Costa] Univ Fed Integracao Latino Amer, Inst Latinoamer Ciencias Vida &amp; Nat ILACVN, Foz Do Iguacu, Parana, Brazil; [Ferrarezi Duarte, Ana Lucia; Gomes, Eleni] Univ Estadual Paulista Julio de Mesquita Filho UN, Inst Biociencias Letras &amp; Ciencias Exatas Sao Jos, Sao Jose Do Rio Preto, SP, Brazil; [Sette, Lara Duraes] Univ Estadual Paulista Julio de Mesquita Filho UN, Inst Biociencias, Dept Biol Geral &amp; Aplicada, BR-13506900 Rio Claro, SP, Brazil</t>
  </si>
  <si>
    <t>Universidade Federal de Alagoas; Universidade Estadual de Campinas; Universidade Federal da Integracao Latino-Americana; Universidade Estadual Paulista; Universidade Estadual Paulista</t>
  </si>
  <si>
    <t>Sette, LD (corresponding author), Univ Estadual Paulista Julio de Mesquita Filho UN, Inst Biociencias, Dept Biol Geral &amp; Aplicada, BR-13506900 Rio Claro, SP, Brazil.</t>
  </si>
  <si>
    <t>lara.sette@unesp.br</t>
  </si>
  <si>
    <t>Sette, Lara Durães/C-8298-2013; Santos, Rafaella/IZP-6926-2023; Duarte, Alysson Wagner Fernandes/S-8062-2019</t>
  </si>
  <si>
    <t>Sette, Lara Durães/0000-0002-5980-3786; Duarte, Alysson Wagner Fernandes/0000-0001-9626-7524; Bonugli-Santos, Rafaella/0000-0002-5038-8491</t>
  </si>
  <si>
    <t>Fundacao de Amparo a Pesquisa do Estado de Sao Paulo - FAPESP [2013/19486-0]; European Commission Collaborative Project FP7 KBBE 2010-4 BAMMBO [265896]; FAPESP Doctorate fellowship [2010/08352-5]</t>
  </si>
  <si>
    <t>Fundacao de Amparo a Pesquisa do Estado de Sao Paulo - FAPESP(Fundacao de Amparo a Pesquisa do Estado de Sao Paulo (FAPESP)Fundacao de Amparo a Pesquisa e Inovacao do Estado de Santa Catarina (FAPESC)); European Commission Collaborative Project FP7 KBBE 2010-4 BAMMBO; FAPESP Doctorate fellowship(Fundacao de Amparo a Pesquisa do Estado de Sao Paulo (FAPESP))</t>
  </si>
  <si>
    <t>This study was supported by Fundacao de Amparo a Pesquisa do Estado de Sao Paulo - FAPESP (#2013/19486-0) and European Commission Collaborative Project FP7 KBBE 2010-4 BAMMBO (Project Number 265896). Duarte, A.W.F. was supported by FAPESP Doctorate fellowship (#2010/08352-5).</t>
  </si>
  <si>
    <t>1878-8181</t>
  </si>
  <si>
    <t>BIOCATAL AGR BIOTECH</t>
  </si>
  <si>
    <t>Biocatal. Agric. Biotechnol.</t>
  </si>
  <si>
    <t>10.1016/j.bcab.2021.101954</t>
  </si>
  <si>
    <t>Biotechnology &amp; Applied Microbiology</t>
  </si>
  <si>
    <t>RH5PP</t>
  </si>
  <si>
    <t>WOS:000636270700004</t>
  </si>
  <si>
    <t>de Menezes, GCA; Câmara, PEAS; Pinto, OHB; Carvalho-Silva, M; Oliveira, FS; Souza, CD; Schaefer, CEGR; Convey, P; Rosa, CA; Rosa, LH</t>
  </si>
  <si>
    <t>de Menezes, Graciele Cunha Alves; Camara, Paulo E. A. S.; Pinto, Otavio Henrique Bezerra; Carvalho-Silva, Micheline; Oliveira, Fabio Soares; Souza, Caroline Delpupo; Reynaud Schaefer, Carlos Ernesto G.; Convey, Peter; Rosa, Carlos Augusto; Rosa, Luiz Henrique</t>
  </si>
  <si>
    <t>Fungal diversity present on rocks from a polar desert in continental Antarctica assessed using DNA metabarcoding</t>
  </si>
  <si>
    <t>Antarctica; Ecology; Environmental DNA; Rock inhabiting fungi; Taxonomy; ITS rDNA</t>
  </si>
  <si>
    <t>DRY-VALLEY SOILS; MICROBIAL COMMUNITIES; ECOLOGY; BIOPROSPECTION; MICROFUNGI</t>
  </si>
  <si>
    <t>We evaluated the fungal diversity associated with carbonate veins and two types of salt encrustation in rocks in a polar desert region of continental Antarctica using DNA a metabarcoding approach. We detected 262,268 reads grouped into 517 amplicon sequence variants (ASVs) assigned to the phyla Ascomycota, Basidiomycota, Mortierellomycota and Mucoromycota. Fourteen ASVs belonging to the genera Trichosporon, Mortierella, Penicillium, Aspergillus, Cladosporium, Coprinellus, Pleurotus and Pseudogymnoascus were assessed to be dominant taxa. The fungal communities of the three habitats sampled displayed high diversity indices when compared with other habitats of Antarctica, although differing in detail, with the highest diversity indices in the gypsum crust type 2. Only 48 of the 517 ASVs (9.28%) were detected in all three habitats, including dominant, intermediate and minor components. In contrast with previous studies of fungal communities living in the ultra-extreme conditions of continental Antarctica, application of metabarcoding revealed the DNA of a rich and complex resident fungal community. The ASVs detected included fungi with different ecological roles, with xerophilic, human- and animal-associated, phytopathogenic, saprotrophic, mutualistic, psychrotolerant and cosmopolitan taxa. This sequence diversity may be the result of deposition of fungal propagules over time driven by air currents, precipitation or human activities in the region.</t>
  </si>
  <si>
    <t>[de Menezes, Graciele Cunha Alves; Rosa, Carlos Augusto; Rosa, Luiz Henrique] Univ Fed Minas Gerais, Inst Ciencias Biol, Dept Microbiol, Lab Microbiol Polar &amp; Conexoes Trop, POB 486, BR-31270901 Belo Horizonte, MG, Brazil; [Camara, Paulo E. A. S.; Carvalho-Silva, Micheline] Univ Brasilia, Dept Bot, Brasilia, DF, Brazil; [Pinto, Otavio Henrique Bezerra] Univ Brasilia, Dept Biol Celular, Brasilia, DF, Brazil; [Oliveira, Fabio Soares] Univ Fed Minas Gerais, Dept Geog, Belo Horizonte, MG, Brazil; [Souza, Caroline Delpupo] Inst Fed Minas Gerais, Coordenadoria Geog, Ouro Preto, Brazil; [Reynaud Schaefer, Carlos Ernesto G.] Univ Fed Vicosa, Dept Solos, Vicosa, MG, Brazil; [Convey, Peter] British Antarctic Survey, NERC, Madingley Rd, Cambridge CB3 0ET, England</t>
  </si>
  <si>
    <t>Universidade Federal de Minas Gerais; Universidade de Brasilia; Universidade de Brasilia; Universidade Federal de Minas Gerais; Instituto Federal de Educacao, Ciencia e Tecnologia de Minas Gerais (IFMG); Universidade Federal de Vicosa; UK Research &amp; Innovation (UKRI); Natural Environment Research Council (NERC); NERC British Antarctic Survey</t>
  </si>
  <si>
    <t>Rosa, LH (corresponding author), Univ Fed Minas Gerais, Inst Ciencias Biol, Dept Microbiol, Lab Microbiol Polar &amp; Conexoes Trop, POB 486, BR-31270901 Belo Horizonte, MG, Brazil.</t>
  </si>
  <si>
    <t>Convey, Peter/AAV-5728-2020; Schaefer, Carlos Ernesto/AAY-4977-2020; Camara, Paulo/GPP-2054-2022; Delpupo Souza, Caroline/L-7578-2017</t>
  </si>
  <si>
    <t>Convey, Peter/0000-0001-8497-9903; Camara, Paulo/0000-0002-3944-996X; Silva, Micheline/0000-0002-2389-3804; Oliveira, Fabio/0000-0002-1450-7609; Delpupo Souza, Caroline/0000-0001-5055-3963; Pinto, Otavio/0000-0002-8382-2987; Cunha Alves de Menezes, Graciele/0000-0002-9427-1893</t>
  </si>
  <si>
    <t>NERC [bas0100036] Funding Source: UKRI</t>
  </si>
  <si>
    <t>10.1007/s00792-021-01221-4</t>
  </si>
  <si>
    <t>QW2FN</t>
  </si>
  <si>
    <t>WOS:000624379500001</t>
  </si>
  <si>
    <t>Bax, N; Novaglio, C; Maxwell, KH; Meyers, K; McCann, J; Jennings, S; Frusher, S; Fulton, EA; Nursey-Bray, M; Fischer, M; Anderson, K; Layton, C; Emad, GR; Alexander, KA; Rousseau, Y; Lunn, Z; Carter, CG</t>
  </si>
  <si>
    <t>Bax, Narissa; Novaglio, Camilla; Maxwell, Kimberley H.; Meyers, Koen; McCann, Joy; Jennings, Sarah; Frusher, Stewart; Fulton, Elizabeth A.; Nursey-Bray, Melissa; Fischer, Mibu; Anderson, Kelli; Layton, Cayne; Emad, Gholam Reza; Alexander, Karen A.; Rousseau, Yannick; Lunn, Zau; Carter, Chris G.</t>
  </si>
  <si>
    <t>Ocean resource use: building the coastal blue economy</t>
  </si>
  <si>
    <t>UN sustainable development goals; Blue growth; Blue economy; Multidisciplinary; Decade of the ocean; Conflict resolution; Equity; Sovereignty; Marine Conservation</t>
  </si>
  <si>
    <t>ECOSYSTEM-BASED MANAGEMENT; MARINE; COMANAGEMENT; FISHERIES; GOVERNANCE; OPPORTUNITIES; COMMUNITIES; TRANSITION; ENGAGEMENT; FACILITATE</t>
  </si>
  <si>
    <t>Humans have relied on coastal resources for centuries. However, current growth in population and increased accessibility of coastal resources through technology have resulted in overcrowded and often conflicted spaces. The recent global move towards development of national blue economy strategies further highlights the increased focus on coastal resources to address a broad range of blue growth industries. The need to manage sustainable development and future exploitation of both over-utilised and emergent coastal resources is both a political and environmental complexity. To address this complexity, we draw on the perspectives of a multi-disciplinary team, utilising two in depth exemplary case studies in New Zealand and within the Myanmar Delta Landscape, to showcase barriers, pathways and actions that facilitate a move from Business as Usual (BAU) to a future aligned with the Sustainable Development Goals (SDGs) and the UN International Decade of Ocean Science for Sustainable Development 2021-2030. We provide key recommendations to guide interest groups, and nations globally, towards sustainable utilisation, conservation and preservation of their marine environments in a fair and equitable way, and in collaboration with those who directly rely upon coastal ecosystems. We envision a sustainable future driven by conflict mitigation and resolution, where: Change is motivated and facilitated Coastal ecosystems are co-managed by multiple reliant groups Networks that maintain and enhance biodiversity are implemented Decision-making is equitable and based on ecosystem services Knowledge of the marine realm is strengthened-'mapping the ocean of life' The interests of diverse user groups are balanced with a fair distribution of benefits</t>
  </si>
  <si>
    <t>[Bax, Narissa; Novaglio, Camilla; Jennings, Sarah; Frusher, Stewart; Layton, Cayne; Alexander, Karen A.; Rousseau, Yannick; Carter, Chris G.] Univ Tasmania, Inst Marine &amp; Antarctic Studies, Hobart, Tas, Australia; [Bax, Narissa; Novaglio, Camilla; Jennings, Sarah; Frusher, Stewart; Fulton, Elizabeth A.; Fischer, Mibu; Layton, Cayne; Alexander, Karen A.; Rousseau, Yannick] Ctr Marine Socioecol, Hobart, Tas, Australia; [Novaglio, Camilla; Fulton, Elizabeth A.; Fischer, Mibu] CSIRO, Oceans &amp; Atmosphere, Hobart, Tas, Australia; [Maxwell, Kimberley H.] Univ Waikato, Environm Res Inst, Tauranga, New Zealand; [Meyers, Koen] AP Univ Appl Sci &amp; Arts Antwerp, Antwerp, Belgium; [McCann, Joy] Australian Natl Univ, Canberra, ACT, Australia; [Nursey-Bray, Melissa] Univ Adelaide, Populat, Environm, Geog, Adelaide, SA, Australia; [Fischer, Mibu] CSIRO, Oceans &amp; Atmosphere, St Lucia, Qld, Australia; [Anderson, Kelli] Univ Tasmania, Inst Marine &amp; Antarctic Studies, Newnham Campus, Launceston, Tas, Australia; [Emad, Gholam Reza] Univ Tasmania, Australian Maritime Coll, Launceston, Tas, Australia; [Lunn, Zau] Fauna &amp; Flora Int, Yangon, Myanmar; [Carter, Chris G.] Australian Maritime Coll, Blue Econ CRC, Maritime Way, Launceston, Tas, Australia</t>
  </si>
  <si>
    <t>University of Tasmania; Commonwealth Scientific &amp; Industrial Research Organisation (CSIRO); University of Waikato; Australian National University; University of Adelaide; Commonwealth Scientific &amp; Industrial Research Organisation (CSIRO); University of Tasmania; University of Tasmania; Australian Maritime College; University of Western Australia; University of Tasmania; Australian Maritime College</t>
  </si>
  <si>
    <t>Bax, N (corresponding author), Univ Tasmania, Inst Marine &amp; Antarctic Studies, Hobart, Tas, Australia.;Bax, N (corresponding author), Ctr Marine Socioecol, Hobart, Tas, Australia.</t>
  </si>
  <si>
    <t>baxn@utas.edu.au</t>
  </si>
  <si>
    <t>Fulton, Beth/A-2871-2008; Carter, Chris Guy/A-3438-2008; rousseau, yannick/GWU-9830-2022; Jennings, Sarah M/J-7888-2014; Emad, Gholam Reza/HKM-5586-2023; Layton, Cayne/J-8443-2013; Alexander, Karen/O-7042-2017</t>
  </si>
  <si>
    <t>Carter, Chris Guy/0000-0001-5210-1282; Emad, Gholam Reza/0000-0001-9784-5103; Layton, Cayne/0000-0002-3390-6437; Nursey-Bray, Melissa/0000-0002-4121-5177; Anderson, Kelli/0000-0001-7749-4641; Rousseau, Yannick/0000-0003-0765-7518; Novaglio, Camilla/0000-0003-3681-1377; Alexander, Karen/0000-0001-8801-413X</t>
  </si>
  <si>
    <t>Centre for Marine Socioecology, IMAS, MENZIES; College of Arts, Law and Education; College of Science and Engineering at UTAS; DVCR Office at UTAS; New Zealand Ministry of Business Innovation and Employment [METO1801]; ASEAN Centre of Biodiversity; Flora and Fauna International, Myanmar; Snowchange from Finland; New Zealand Ministry of Business, Innovation &amp; Employment (MBIE) [METO1801] Funding Source: New Zealand Ministry of Business, Innovation &amp; Employment (MBIE)</t>
  </si>
  <si>
    <t>Centre for Marine Socioecology, IMAS, MENZIES; College of Arts, Law and Education; College of Science and Engineering at UTAS; DVCR Office at UTAS; New Zealand Ministry of Business Innovation and Employment(New Zealand Ministry of Business, Innovation and Employment (MBIE)); ASEAN Centre of Biodiversity; Flora and Fauna International, Myanmar; Snowchange from Finland; New Zealand Ministry of Business, Innovation &amp; Employment (MBIE)(New Zealand Ministry of Business, Innovation and Employment (MBIE))</t>
  </si>
  <si>
    <t>This paper is part of the 'Future Seas' initiative (www.FutureSeas2030.org), hosted by the Centre for Marine Socioecology at the University of Tasmania. This initiative delivers a series of journal articles addressing key challenges for the UN International Decade of Ocean Science for Sustainable Development 2021-2030. The concepts and methods applied in many of these papers were developed in large collaborative workshops involving more participants than are listed as co-authors here, and we are grateful for their collective input and for Gretta Pecl's direction. Funding for Future Seas was provided by the Centre for Marine Socioecology, IMAS, MENZIES and the College of Arts, Law and Education, and the College of Science and Engineering at UTAS, and Snowchange from Finland. We acknowledge support from a Research Enhancement Program grant from the DVCR Office at UTAS. Thank you Jessica Melbourne Thomas for providing an internal project review of an earlier draft. Thanks to Flynn Slattery and Tullio Rossi from Animate your Science for the blue economy graphic. Kimberley Maxwell thanks the New Zealand Moana project (www.moanaproject.org), funded by the New Zealand Ministry of Business Innovation and Employment, contract number METO1801, for supporting her time. Zau Lunn, Koen Meyers and Narissa Bax would like to thank the numerous individuals in the 22 project villages surrounding Meinmahla Kyun and those in Bogale who contributed to development of a five year management plan for the Meinmahla kyun Wildlife Sanctuary in 2016, supported by the ASEAN Centre of Biodiversity and Flora and Fauna International, Myanmar; recognising the substantive work of U Khin Maung Soe, U Saw Han Shein, Daw Moe Moe Min, Thant Zin Tun, Ko Ko Win, Thein Gi, Soe Tint Aung, Gurveena Ghataure, Patrick Oswald and Robert Howard. This paper is dedicated to Timothy R Dykman from Ocean Revolution (www.oceanrevolution.org), an advocate for the human-ocean-ecosystem, who sadly passed away in 2019. We acknowledge the traditional owners of the land on which this paper was written, the muwinina people and acknowledge and pay respect to the traditional owners and custodians of sea country all around the world. We recognise their collective wisdom and knowledge of our oceans and coasts.</t>
  </si>
  <si>
    <t>10.1007/s11160-021-09636-0</t>
  </si>
  <si>
    <t>hybrid, Green Published, Green Accepted, Green Submitted</t>
  </si>
  <si>
    <t>WOS:000624371100001</t>
  </si>
  <si>
    <t>de Jong, MJ; Lovatt, F; Hoelzel, AR</t>
  </si>
  <si>
    <t>de Jong, Menno J.; Lovatt, Fiona; Hoelzel, A. Rus</t>
  </si>
  <si>
    <t>Detecting genetic signals of selection in heavily bottlenecked reindeer populations by comparing parallel founder events</t>
  </si>
  <si>
    <t>MOLECULAR ECOLOGY</t>
  </si>
  <si>
    <t>adaptation; bottlenecks; natural selection; reindeer; simulation</t>
  </si>
  <si>
    <t>R-PACKAGE; GENOME-WIDE; E-CADHERIN; CLIMATE-CHANGE; TOOL SET; ADAPTATION; EVOLUTION; SCANS; LOCI; DIFFERENTIATION</t>
  </si>
  <si>
    <t>Founder populations are of special interest to both evolutionary and conservation biologists, but the detection of genetic signals of selection in these populations is challenging due to their demographic history. Geographically separated founder populations likely to have been subjected to similar selection pressures provide an ideal but rare opportunity to overcome these challenges. Here we take advantage of such a situation generated when small, isolated founder populations of reindeer were established on the island of South Georgia, and using this system we look for empirical evidence of selection overcoming strong genetic drift. We generated a 70 k ddRADseq single nucleotide polymorphism database for the two parallel reindeer founder populations and screened for signatures of soft sweeps. We find evidence for a genomic region under selection shared among the two populations, and support our findings with Wright-Fisher model simulations to assess the power and specificity of interpopulation selection scans-namely Bayescan, OutFLANK, PCadapt and a newly developed scan called Genome Wide Differentiation Scan (GWDS)-in the context of pairwise source-founder comparisons. Our simulations indicate that loci under selection in small founder populations are most probably detected by GWDS, and strengthen the hypothesis that the outlier region represents a true locus under selection. We explore possible, relevant functional roles for genes in linkage with the detected outlier loci.</t>
  </si>
  <si>
    <t>[de Jong, Menno J.; Lovatt, Fiona; Hoelzel, A. Rus] Univ Durham, Dept Biosci, Durham, England</t>
  </si>
  <si>
    <t>Durham University</t>
  </si>
  <si>
    <t>Hoelzel, AR (corresponding author), Univ Durham, Dept Biosci, Durham, England.</t>
  </si>
  <si>
    <t>a.r.hoelzel@dur.ac.uk</t>
  </si>
  <si>
    <t>de Jong, Menno J./JGM-4648-2023</t>
  </si>
  <si>
    <t>de Jong, Menno J./0000-0003-2131-9048; Hoelzel, Alan/0000-0002-7265-4180</t>
  </si>
  <si>
    <t>Whitehead Trust; British Deer Society</t>
  </si>
  <si>
    <t>We thank the Whitehead Trust and the British Deer Society for funding, and Michelle Gaither and Kim Andrews for support with laboratory work and analyses. We thank Jennifer Lee, the Government of South Georgia &amp; South Sandwich Islands, members of BSES Expeditions and the British Antarctic Survey for assistance in obtaining samples from South Georgia. We thank Asgrim Opdal, Olaf Odegaard and Filefjell Reinlag for the provision of samples from Norway.</t>
  </si>
  <si>
    <t>0962-1083</t>
  </si>
  <si>
    <t>1365-294X</t>
  </si>
  <si>
    <t>MOL ECOL</t>
  </si>
  <si>
    <t>Mol. Ecol.</t>
  </si>
  <si>
    <t>10.1111/mec.15837</t>
  </si>
  <si>
    <t>RB2NT</t>
  </si>
  <si>
    <t>WOS:000623941400001</t>
  </si>
  <si>
    <t>Mekkes, L; Sepúlveda-Rodríguez, G; Bielkinaite, G; Wall-Palmer, D; Brummer, GJA; Dämmer, LK; Huisman, J; van Loon, E; Renema, W; Peijnenburg, KTCA</t>
  </si>
  <si>
    <t>Mekkes, Lisette; Sepulveda-Rodriguez, Guadalupe; Bielkinaite, Gintare; Wall-Palmer, Deborah; Brummer, Geert-Jan A.; Daemmer, Linda K.; Huisman, Jef; van Loon, Emiel; Renema, Willem; Peijnenburg, Katja T. C. A.</t>
  </si>
  <si>
    <t>Effects of Ocean Acidification on Calcification of the Sub-Antarctic Pteropod Limacina retroversa</t>
  </si>
  <si>
    <t>pteropods; ocean acidification; micro-CT; calcein; calcification; sub-Antarctic zone</t>
  </si>
  <si>
    <t>REDUCED CALCIFICATION; ANTHROPOGENIC CO2; SEDIMENT TRAP; ROSS SEA; CARBON; IMPACT; SENSITIVITIES; DISSOCIATION; SEAWATER; BIOMASS</t>
  </si>
  <si>
    <t>Ocean acidification is expected to impact the high latitude oceans first, as CO2 dissolves more easily in colder waters. At the current rate of anthropogenic CO2 emissions, the sub-Antarctic Zone will start to experience undersaturated conditions with respect to aragonite within the next few decades, which will affect marine calcifying organisms. Shelled pteropods, a group of calcifying zooplankton, are considered to be especially sensitive to changes in carbonate chemistry because of their thin aragonite shells. Limacina retroversa is the most abundant pteropod in sub-Antarctic waters, and plays an important role in the carbonate pump. However, not much is known about its response to ocean acidification. In this study, we investigated differences in calcification between L. retroversa individuals exposed to ocean carbonate chemistry conditions of the past (pH 8.19; mid-1880s), present (pH 8.06), and near-future (pH 7.93; predicted for 2050) in the sub-Antarctic. After 3 days of exposure, calcification responses were quantified by calcein staining, shell weighing, and Micro-CT scanning. In pteropods exposed to past conditions, calcification occurred over the entire shell and the leading edge of the last whorl, whilst individuals incubated under present and near-future conditions mostly invested in extending their shells, rather than calcifying over their entire shell. Moreover, individuals exposed to past conditions formed larger shell volumes compared to present and future conditions, suggesting that calcification is already decreased in today's sub-Antarctic waters. Shells of individuals incubated under near-future conditions did not increase in shell weight during the incubation, and had a lower density compared to past and present conditions, suggesting that calcification will be further compromised in the future. This demonstrates the high sensitivity of L. retroversa to relatively small and short-term changes in carbonate chemistry. A reduction in calcification of L. retroversa in the rapidly acidifying waters of the sub-Antarctic will have a major impact on aragonite-CaCO3 export from oceanic surface waters to the deep sea.</t>
  </si>
  <si>
    <t>[Mekkes, Lisette; Sepulveda-Rodriguez, Guadalupe; Bielkinaite, Gintare; Wall-Palmer, Deborah; Renema, Willem; Peijnenburg, Katja T. C. A.] Naturalis Biodivers Ctr, Leiden, Netherlands; [Mekkes, Lisette; Sepulveda-Rodriguez, Guadalupe; Bielkinaite, Gintare; Huisman, Jef; van Loon, Emiel; Renema, Willem; Peijnenburg, Katja T. C. A.] Univ Amsterdam, Inst Biodivers &amp; Ecosyst Dynam IBED, Amsterdam, Netherlands; [Brummer, Geert-Jan A.; Daemmer, Linda K.] Royal Netherlands Inst Sea Res, Dept Ocean Syst, NIOZ, Texel, Netherlands; [Daemmer, Linda K.] Univ Bonn, Inst Geosci, Dept Geol, Environm Geol, Bonn, Germany</t>
  </si>
  <si>
    <t>Naturalis Biodiversity Center; University of Amsterdam; Utrecht University; Royal Netherlands Institute for Sea Research (NIOZ); University of Bonn</t>
  </si>
  <si>
    <t>Mekkes, L; Peijnenburg, KTCA (corresponding author), Naturalis Biodivers Ctr, Leiden, Netherlands.;Mekkes, L; Peijnenburg, KTCA (corresponding author), Univ Amsterdam, Inst Biodivers &amp; Ecosyst Dynam IBED, Amsterdam, Netherlands.</t>
  </si>
  <si>
    <t>lisettemekkes@gmail.com; k.t.c.a.peijnenburg@uva.nl</t>
  </si>
  <si>
    <t>Mekkes, Lisette/HHC-0709-2022; Renema, Willem/E-2851-2016; Brummer, Gerard J/I-1187-2014; Huisman, Jef/A-1089-2013</t>
  </si>
  <si>
    <t>Huisman, Jef/0000-0001-9598-3211; van Loon, E. Emiel/0000-0002-8895-0427; Dammer, Linda Karoline/0000-0003-0891-9663; Sepulveda-Rodriguez, Guadalupe/0009-0002-0770-9701</t>
  </si>
  <si>
    <t>United Kingdom Natural Environment Research Council through its National Capability Long-term Single Centre Science Program, Climate Linked Atlantic Sector Science [NE/R015953/1]; Vidi grant from the Dutch Research Council (NWO) [016.161351]; European Union's Horizon 2020 Research and Innovation Program under theMarie Sklodowska-Curie grant [746186]; Netherlands Earth System Science Centre (NESSC) from the Dutch Ministry of Education, Culture and Science (OCW) [024.002.001]; NERC [NE/R015953/1] Funding Source: UKRI; Marie Curie Actions (MSCA) [746186] Funding Source: Marie Curie Actions (MSCA)</t>
  </si>
  <si>
    <t>United Kingdom Natural Environment Research Council through its National Capability Long-term Single Centre Science Program, Climate Linked Atlantic Sector Science; Vidi grant from the Dutch Research Council (NWO); European Union's Horizon 2020 Research and Innovation Program under theMarie Sklodowska-Curie grant; Netherlands Earth System Science Centre (NESSC) from the Dutch Ministry of Education, Culture and Science (OCW); NERC(UK Research &amp; Innovation (UKRI)Natural Environment Research Council (NERC)); Marie Curie Actions (MSCA)(Marie Curie Actions)</t>
  </si>
  <si>
    <t>The Atlantic Meridional Transect is funded by the United Kingdom Natural Environment Research Council through its National Capability Long-term Single Centre Science Program, Climate Linked Atlantic Sector Science (grant number NE/R015953/1). This study contributes to the international IMBeR project and is contribution number 336 of the AMT program. This research was funded by a Vidi grant (016.161351) from the Dutch Research Council (NWO) awarded to KP. This project has received funding from the European Union's Horizon 2020 Research and Innovation Program under theMarie Sklodowska-Curie grant agreement no 746186 (POSEIDoN, DW-P). LD was supported by the Netherlands Earth System Science Centre (NESSC), grant number: 024.002.001 from the Dutch Ministry of Education, Culture and Science (OCW).</t>
  </si>
  <si>
    <t>MAR 2</t>
  </si>
  <si>
    <t>10.3389/fmars.2021.581432</t>
  </si>
  <si>
    <t>QR9VX</t>
  </si>
  <si>
    <t>WOS:000625560200001</t>
  </si>
  <si>
    <t>Nyamgerel, Y; Hong, SB; Han, Y; Kim, S; Lee, J; Hur, SD</t>
  </si>
  <si>
    <t>Nyamgerel, Yalalt; Hong, Sang-Bum; Han, Yeongcheol; Kim, Songyi; Lee, Jeonghoon; Hur, Soon Do</t>
  </si>
  <si>
    <t>Snow-Pit Record from a Coastal Antarctic Site and Its Preservation of Meteorological Features</t>
  </si>
  <si>
    <t>EARTH INTERACTIONS</t>
  </si>
  <si>
    <t>Antarctica; Sea ice; Snow</t>
  </si>
  <si>
    <t>NORTHERN VICTORIA-LAND; SEA-ICE VARIABILITY; SHALLOW FIRN CORES; DRONNING MAUD LAND; SURFACE SNOW; ROSS SEA; ISOTOPIC COMPOSITION; HIGH-RESOLUTION; STYX GLACIER; CLIMATIC INTERPRETATION</t>
  </si>
  <si>
    <t>Polar snow pits or ice cores preserve valuable information derived from the atmosphere on past climate and environment changes. A 1.57-m snow-pit record from the coastal site (Styx Glacier) in eastern Antarctica covering the period from January 2011 to January 2015 was discussed and compared with meteorological variables. The dominant contribution of the deposition of sea-salt aerosols due to the proximity of the site to the ocean and processes of sea ice formation was revealed in the ionic concentrations. Consistent seasonal peaks in delta O-18, dD, MSA, nssSO(4)(2-), and NO3- indicate the strong enhancement of their source during warm periods, whereas the sea-salt ions (Na+, K+, Mg2+, Ca2+, Cl-, and totSO(4)(2-)) exhibit a distinct distribution. Monthly mean delta O-18 positively correlates with the air temperature record from an automatic weather station (AWS) located in the main wind direction. Despite the shortness of the record, we suspect that the slight depletion of the isotopic composition and lowering of the snow accumulation could be related to the cooler air temperature with the decrease of open sea area. Consistency with previous studies and the positive correlation of sea-salt ions in the snow pit indicate the relatively good preservation of snow layers with noticeable climate and environmental signals [e.g., changes in sea ice extent (SIE) or sea surface temperature]. We report a new snow-pit record, which would be comparative and supportive to understand similar signals preserved in deeper ice cores in this location.</t>
  </si>
  <si>
    <t>[Nyamgerel, Yalalt; Kim, Songyi; Lee, Jeonghoon] Ewha Womans Univ, Dept Sci Educ, Seoul, South Korea; [Nyamgerel, Yalalt; Hong, Sang-Bum; Han, Yeongcheol; Kim, Songyi; Hur, Soon Do] Korea Polar Res Inst, Div Glacial Environm Res, Incheon, South Korea</t>
  </si>
  <si>
    <t>Ewha Womans University; Korea Polar Research Institute (KOPRI)</t>
  </si>
  <si>
    <t>Lee, J (corresponding author), Ewha Womans Univ, Dept Sci Educ, Seoul, South Korea.</t>
  </si>
  <si>
    <t>jeonghoon.d.lee@gmail.com</t>
  </si>
  <si>
    <t>Lee, Jeonghoon/AAQ-4780-2021</t>
  </si>
  <si>
    <t>Lee, Jeonghoon/0000-0002-1256-4431; Nyamgerel, Yalalt/0000-0002-5755-160X</t>
  </si>
  <si>
    <t>Korea Polar Research Institute (KOPRI) research grant [PE21100]</t>
  </si>
  <si>
    <t>Korea Polar Research Institute (KOPRI) research grant</t>
  </si>
  <si>
    <t>This study was supported by a Korea Polar Research Institute (KOPRI) research grant (PE21100). We are thankful to Dr. Heejin Hwang for providing data from the ICP-MS analysis. Also, we express our gratitude to Dr. Kei Yoshimura for providing the results from the IsoGSM2 model. We are also grateful to the Italian PNRA (Programma Nazionale di Ricerche in Antartide) project for providing meteorological data from Lola AWS (http://www.climantartide.it) and the ERA-Interim dataset from the ECMWF.</t>
  </si>
  <si>
    <t>1087-3562</t>
  </si>
  <si>
    <t>EARTH INTERACT</t>
  </si>
  <si>
    <t>Earth Interact.</t>
  </si>
  <si>
    <t>10.1175/EI-D-20-0018.1</t>
  </si>
  <si>
    <t>YJ4BB</t>
  </si>
  <si>
    <t>WOS:000744477400008</t>
  </si>
  <si>
    <t>Hines, M</t>
  </si>
  <si>
    <t>Hines, Megan</t>
  </si>
  <si>
    <t>A Journey That Wasn't Pierre Huyghe's Graphic Film</t>
  </si>
  <si>
    <t>EDGAR ALLAN POE REVIEW</t>
  </si>
  <si>
    <t>graphically; representation; art; science; film</t>
  </si>
  <si>
    <t>OBJECTIVITY; HISTORY; SCIENCE</t>
  </si>
  <si>
    <t>This article considers the influence of Edgar Allan Poe's 1838 novel The Narrative of Arthur Gordon Pym of Nantucket on contemporary artist Pierre Huyghe's 2005 video installation A Journey That Wasn't, a documentation of the artist's journey to the Antarctic and its subsequent reenactment as a performance in New York City's Central Park. Whereas cinema has been attracted to the graphicality of Poe's writing, his ability to create compelling images in words, A Journey distinguishes itself from that tradition. This article employs a close reading of Poe's definition of graphicality in order to expand the critical interpretation of Poe's neologism and relate it to contemporary debates about the nature of representation in art's documentary turn and artistic research, both genres that emerged in the mid-1990s and to which Huyghe's project relates. It argues that graphicality is a theory of representation specifically positioned against objectivity as the sole means of producing shared knowledge. It demonstrates graphicality's relevance for A Journey, which is concerned with contemporary debates surrounding art and film's relationship to science and knowledge production.</t>
  </si>
  <si>
    <t>[Hines, Megan] SUNY Stony Brook, Dept Art, Stony Brook, NY 11794 USA</t>
  </si>
  <si>
    <t>State University of New York (SUNY) System; State University of New York (SUNY) Stony Brook</t>
  </si>
  <si>
    <t>Hines, M (corresponding author), SUNY Stony Brook, Dept Art, Stony Brook, NY 11794 USA.</t>
  </si>
  <si>
    <t>PENN STATE UNIV PRESS</t>
  </si>
  <si>
    <t>UNIVERSITY PK</t>
  </si>
  <si>
    <t>820 NORTH UNIV DRIVE, U S B 1, STE C, UNIVERSITY PK, PA 16802 USA</t>
  </si>
  <si>
    <t>2150-0428</t>
  </si>
  <si>
    <t>2166-2932</t>
  </si>
  <si>
    <t>EDGAR ALLAN POE REV</t>
  </si>
  <si>
    <t>Edgar Allan Poe Rev.</t>
  </si>
  <si>
    <t>SPR</t>
  </si>
  <si>
    <t>10.5325/edgallpoerev.22.1.0167</t>
  </si>
  <si>
    <t>Literature, American</t>
  </si>
  <si>
    <t>Literature</t>
  </si>
  <si>
    <t>XN3BF</t>
  </si>
  <si>
    <t>WOS:000729383000009</t>
  </si>
  <si>
    <t>Jennings, S; Dugger, KM; Ballard, G; Ainley, DG</t>
  </si>
  <si>
    <t>Jennings, Scott; Dugger, Katie M.; Ballard, Grant; Ainley, David G.</t>
  </si>
  <si>
    <t>Effects of Diet and Provisioning Behavior on Chick Growth in Adelie Penguins (Pygoscelis Adeliae)</t>
  </si>
  <si>
    <t>WATERBIRDS</t>
  </si>
  <si>
    <t>Adelie Penguin; chick growth; chick provisioning; diet; stable isotopes; parental investment</t>
  </si>
  <si>
    <t>PARENTAL INVESTMENT; BREEDING SUCCESS; PELAGIC SEABIRD; SEX-DIFFERENCES; SURVIVAL; VARIABILITY; CLIMATE; QUALITY; ABILITY; LONG</t>
  </si>
  <si>
    <t>When provisioning chicks, parents trade-off their time, energy, and other resources to maximize reproductive success. As parents adjust investment to maximize their fitness, impacts on offspring growth can occur. We investigated provisioning and chick growth of Adelie Penguins (Pygoscelis adeliae) at one of the largest colonies (similar to 175,000 pairs), during one year of normal chick growth and survival and in a year which, by chance, was characterized by low chick growth and survival (difficult year). We measured daily average amount and quality of food delivered, as well as foraging-trip duration, and compared them to chick mass and skeletal growth during two years of contrasting conditions. We used mixed-effects models to test the prediction that increased parental investment would lead to increased growth rates, while accounting for confounding effects. There was no evidence of an effect of parent age. All provisioning measures predicted growth of at least one morphological character but, especially during the year of normal reproductive success, no provisioning measure strongly predicted growth across most morphological characters. However, during the difficult year parental investment positively affected growth rates, especially for males that were fed relatively more fish. The observed variation in growth rates between males and females, and between years of contrasting apparent resource availability, was large enough to lead to size differences that may subsequently affect post-fledging survival and ultimately population processes.</t>
  </si>
  <si>
    <t>[Jennings, Scott] Oregon State Univ, Dept Fisheries &amp; Wildlife, Oregon Cooperat Fish &amp; Wildlife Res Unit, Corvallis, OR 97331 USA; [Jennings, Scott] Audubon Canyon Ranch, Cypress Grove Res Ctr, Marshall, CA 94940 USA; [Dugger, Katie M.] Oregon State Univ, US Geol Survey, Oregon Cooperat Fish &amp; Wildlife Res Unit, Dept Fisheries &amp; Wildlife, Corvallis, OR 97331 USA; [Ballard, Grant] Point Blue Conservat Sci, Petaluma, CA 94954 USA; [Ainley, David G.] HT Harvey &amp; Associates Ecol Consultants, Los Gatos, CA 95032 USA</t>
  </si>
  <si>
    <t>Oregon State University; Oregon State University; United States Department of the Interior; United States Geological Survey</t>
  </si>
  <si>
    <t>Ainley, DG (corresponding author), HT Harvey &amp; Associates Ecol Consultants, Los Gatos, CA 95032 USA.</t>
  </si>
  <si>
    <t>dainley@harveyecology.com</t>
  </si>
  <si>
    <t>National Science Foundation [ANT-0944511, ANT-0944694, ANT-0944747, 1543498]</t>
  </si>
  <si>
    <t>Funding was provided by National Science Foundation grants ANT-0944511, -0944694 and -0944747 and 1543498. In-kind support, i.e., logistics, was provided by the U.S. Antarctic Program through Antarctic Support Associates; field assistance was provided by Libby Porzig, Annie Schmidt, Annie Pollard, Amelie Lescroel, Melanie Massaro, Megan Elrod and Jean Pennycook, and additionally Melanie Massaro contributed funds for a portion of the molecular sexing.</t>
  </si>
  <si>
    <t>WATERBIRD SOC</t>
  </si>
  <si>
    <t>NATL MUSEUM NATURAL HISTORY SMITHSONIAN INST, WASHINGTON, DC 20560 USA</t>
  </si>
  <si>
    <t>1524-4695</t>
  </si>
  <si>
    <t>1938-5390</t>
  </si>
  <si>
    <t>Waterbirds</t>
  </si>
  <si>
    <t>10.1675/063.044.0105</t>
  </si>
  <si>
    <t>XV9MH</t>
  </si>
  <si>
    <t>WOS:000735256200005</t>
  </si>
  <si>
    <t>Yick, JL; Wisniewski, C; Diggle, J; Patil, JG</t>
  </si>
  <si>
    <t>Yick, Jonah L.; Wisniewski, Chris; Diggle, John; Patil, Jawahar G.</t>
  </si>
  <si>
    <t>Eradication of the Invasive Common Carp, Cyprinus carpio from a Large Lake: Lessons and Insights from the Tasmanian Experience</t>
  </si>
  <si>
    <t>FISHES</t>
  </si>
  <si>
    <t>common carp; invasive; incursion; alien fish; fyke net; pest fish; Lake Sorell; Lake Crescent; biotelemetry</t>
  </si>
  <si>
    <t>VEGETATION; SYSTEM</t>
  </si>
  <si>
    <t>Common carp (Cyprinus carpio, L. 1758) are the most abundant pest fish species in Australia, detrimental to ecosystem integrity and values, and in need of suitable management solutions. In January 1995, this destructive pest was discovered in two large, connected Tasmanian lakes-Lakes Crescent (23 km(2)) and Sorell (54 km(2)). After an initial assessment, carp were immediately contained to these waters using screens to prevent their escape down-stream, followed by swift legislation to enforce closure of the lakes to the public. Assessment and evaluation of carp numbers occurred throughout the eradication program, with effort focused on Lake Crescent. Beginning with undirected removal, techniques progressively evolved to more sophisticated targeted removal with assistance from biotelemetry, in conjunction with gill netting and electro-fishing. Real-time population estimates and in situ observations resulted in a detailed cumulative understanding of carp population dynamics, behaviour and seasonal habitat choice. This allowed strategic deployment of fences to block access to marshes, and the installation of steel traps within the fences. These gears specifically prevented spawning opportunities, while concurrently capturing mature fish. Following 12 years of adaptive and integrated effort, 7797 carp (fry, juvenile and adult) were captured from Lake Crescent, with the last carp being caught in December 2007. The subsequent 14 years of monitoring has not resulted in the capture of any carp, confirming the successful eradication of carp from Lake Crescent. These management practices have been successfully replicated in the larger Lake Sorell, where 41,499 carp (fry, juvenile and adult) have been removed. It is now estimated that there are few, if any carp remaining. Collectively, the techniques and strategies described here were reliable, and can be applied as a model to control or eradicate pest populations of carp in freshwater lakes elsewhere.</t>
  </si>
  <si>
    <t>[Yick, Jonah L.; Wisniewski, Chris; Diggle, John] Inland Fisheries Serv, 17 Back River Rd, New Norfolk, Tas 7140, Australia; [Patil, Jawahar G.] Univ Tasmania, Inst Marine &amp; Antarctic Studies, Fisheries &amp; Aquaculture Ctr, Taroona, Tas 7053, Australia</t>
  </si>
  <si>
    <t>Yick, JL (corresponding author), Inland Fisheries Serv, 17 Back River Rd, New Norfolk, Tas 7140, Australia.</t>
  </si>
  <si>
    <t>jonah.yick@ifs.tas.gov.au; chris.wisniewski@ifs.tas.gov.au; john.diggle@ifs.tas.gov.au; Jawahar.patil@utas.edu.au</t>
  </si>
  <si>
    <t>Patil, Jawahar G/0000-0002-2154-4627; Yick, Jonah/0000-0001-5464-0458</t>
  </si>
  <si>
    <t>Tasmanian State Government; Federal Government; Fisheries Research and Development Corporation (FRDC) grant [2000/182]</t>
  </si>
  <si>
    <t>Tasmanian State Government; Federal Government; Fisheries Research and Development Corporation (FRDC) grant</t>
  </si>
  <si>
    <t>The Carp Management Program was primarily funded by the Tasmanian State Government, with support from the Federal Government. It was also assisted by a Fisheries Research and Development Corporation (FRDC) grant (Project No. 2000/182).</t>
  </si>
  <si>
    <t>2410-3888</t>
  </si>
  <si>
    <t>FISHES-BASEL</t>
  </si>
  <si>
    <t>Fishes</t>
  </si>
  <si>
    <t>10.3390/fishes6010006</t>
  </si>
  <si>
    <t>RG6NO</t>
  </si>
  <si>
    <t>WOS:000635653000001</t>
  </si>
  <si>
    <t>Nonaka, A; Milisen, JW; Mundy, BC; Johnson, GD</t>
  </si>
  <si>
    <t>Nonaka, Ai; Milisen, Jeffrey W.; Mundy, Bruce C.; Johnson, G. David</t>
  </si>
  <si>
    <t>Blackwater Diving: An Exciting Window into the Planktonic Arena and Its Potential to Enhance the Quality of Larval Fish Collections</t>
  </si>
  <si>
    <t>ICHTHYOLOGY AND HERPETOLOGY</t>
  </si>
  <si>
    <t>IN-SITU; SYSTEMATICS; PACIFIC; KONA; WATER</t>
  </si>
  <si>
    <t>Blackwater diving,'' or nighttime SCUBA diving in epipelagic environments, has become highly popular in recent years because lay participants encounter animals that are difficult and expensive to observe through other methods. These same observations can be priceless for researchers working with these species, so an interface between the scientific communities and recreational divers would be mutually beneficial. In this paper, we describe one such interface through the photography, collection, and DNA barcoding of larval fishes from the island of Hawaii. The images and videos from this activity provide an exciting window into the epipelagic environment and the way larval fishes appear and swim within it. Blackwater diving allows us to see the often-elaborate appendages and other specializations of these larvae as they appear in situ, prior to extensive net and fixation damage. However, blackwater diving remains an almost exclusively recreational pursuit, particularly popular among underwater photographers, who have little interest in (or object to) collecting specimens for scientists. Nonetheless, a logical next step is careful hand collection of specimens for scientific study. Growing numbers of recreational divers around the world have access to an otherwise expensive-to-research habitat. Here we present, for the first time, in situ and post-fixation photos of larval fishes that were hand collected and fixed in 95% ethanol by blackwater divers operating out of Kona, Hawaii, with DNA barcode identifications congruent with morphology and pigmentation where possible. With the right motivation, blackwater diving could augment research in the pelagic ocean and significantly enhance natural history collections and our knowledge of the larvae of marine fishes.</t>
  </si>
  <si>
    <t>[Nonaka, Ai; Johnson, G. David] Smithsonian Inst, Div Fishes, Natl Museum Nat Hist, POB 37012 MRC 159, Washington, DC 20013 USA; [Milisen, Jeffrey W.] Kona Honu Divers, 74-5583 Luhia St, Kailua Kona, HI 96740 USA; [Mundy, Bruce C.] Ocean Res Explorat, POB 235926, Honolulu, HI 96823 USA</t>
  </si>
  <si>
    <t>Smithsonian Institution; Smithsonian National Museum of Natural History</t>
  </si>
  <si>
    <t>Nonaka, A (corresponding author), Smithsonian Inst, Div Fishes, Natl Museum Nat Hist, POB 37012 MRC 159, Washington, DC 20013 USA.</t>
  </si>
  <si>
    <t>nonakaa@si.edu; johnsond@si.edu</t>
  </si>
  <si>
    <t>Mundy, Bruce/0000-0003-2091-9228; Johnson, G D/0000-0003-4339-6589</t>
  </si>
  <si>
    <t>NOAA NMFS Pacific Islands Fisheries Science Center; Herbert R. and Evelyn Axelrod Chair for Systematic Ichthyology at NMNH</t>
  </si>
  <si>
    <t>NOAA NMFS Pacific Islands Fisheries Science Center(National Oceanic Atmospheric Admin (NOAA) - USA); Herbert R. and Evelyn Axelrod Chair for Systematic Ichthyology at NMNH</t>
  </si>
  <si>
    <t>We thank Sarah Mayte, PADI Scuba Instructor in Hawaii, for her assistance in the pioneering collection of blackwater specimens. The following NMNH staff provided various technical assistance or advice: Faridah Dahlan, Carole Baldwin, Sandra Raredon, Jeff Clayton, Vic Springer, Kevin Mulder, Thomas Devine, and Daniel Lumbantobing. Special thanks go to Dan Mulcahy (NMNH) for generously sharing his molecular analysis expertise. Ed Brothers, EFS Consultants, validated the adequate preservations of otoliths. Ralf Britz, Senckenberg Naturhistorische Sammlungen Dresden, provided the German to English translation. John Paxton provided his insight on cetomimids, Bruce Mundy's participation in the preparation of this paper was supported by the NOAA NMFS Pacific Islands Fisheries Science Center. The contents of this paper are not intended as statements of NOAA policies. This is Ocean Research Explorations Hawaiian Islands Biodiversity Project publication 04. The costs of this study were funded in part by The Herbert R. and Evelyn Axelrod Chair for Systematic Ichthyology at NMNH. We also thank Geoff Moser (NMFS, retired), Jeffery M. Leis (Institute for Marine and Antarctic Studies University of Tasmania), and Nalani K. Schnell (Mus ' eum national d'Histoire naturelle) for valuable comments and suggestions for our manuscript. This study conformed to the Guidelines for the Use of Fishes in Research put forth by the American Fisheries Society.</t>
  </si>
  <si>
    <t>AMER SOC ICHTHYOLOGISTS &amp; HERPETOLOGISTS</t>
  </si>
  <si>
    <t>MIAMI</t>
  </si>
  <si>
    <t>MAUREEN DONNELLY, SECRETARY FLORIDA INT UNIV BIOLOGICAL SCIENCES, 11200 SW 8TH STREET, MIAMI, FL 33199 USA</t>
  </si>
  <si>
    <t>2766-1512</t>
  </si>
  <si>
    <t>2766-1520</t>
  </si>
  <si>
    <t>ICHTHYOL HERPETOL</t>
  </si>
  <si>
    <t>Ichthyol. Herpetol.</t>
  </si>
  <si>
    <t>10.1643/i2019318</t>
  </si>
  <si>
    <t>SL8KF</t>
  </si>
  <si>
    <t>WOS:000657161700015</t>
  </si>
  <si>
    <t>Mckay, CP</t>
  </si>
  <si>
    <t>Mckay, Christopher P.</t>
  </si>
  <si>
    <t>PRESERVATION OF STATIC LIFELESS LANDSCAPES IN THE ANTARCTIC DRY VALLEYS AND THE AT ACAMA DESERT AND APPLICATIONS TO THE MOON AND MARS</t>
  </si>
  <si>
    <t>ETHICS AND THE ENVIRONMENT</t>
  </si>
  <si>
    <t>MICROBIAL LIFE; ATACAMA DESERT; HERITAGE; HE-3</t>
  </si>
  <si>
    <t>Environmental ethics and policy have been largely developed around the concept of nature as a dynamic collection of living beings in direct interaction with humans. However, when we consider the Moon, Mars, and other worlds we encounter profoundly static and lifeless nature with essentially no history of human interaction. On what basis do we make decisions on the preservation or utilization of such lifeless landscapes? Here I suggest that static lifeless landscapes on other worlds have some parallels on Earth in the upper elevations of the Antarctic Dry Valleys and the central depression of the Atacama Desert in Chile and Peru. In the soil of both locations life is absent or cannot grow and the timescales of landscape evolution vastly exceed human timescales. For all intents and purposes, these are static and lifeless landscapes. Today, human activities in Antarctica are carefully regulated with a view toward preservation while in the Atacama Desert resource mining has extensively altered the landscape. Thus, these two sites provide alternate possible futures for the Moon and Mars. Preservation of static lifeless landscapes could be based on two attributes. First, they provide a way to further define and understand the Earth and the limits of life-which is the current scientific motivation for biological and geological research activities there. Second, both on Earth and particularly on other worlds, lifeless landscapes may express states that are new to human experience akin to new forms of art or new branches of science. We don't understand these environments, their nature, or their relationship to us. In the case of Mars there may come to be a tension between preserving a lifeless landscape and introducing or enhancing life on that planet.</t>
  </si>
  <si>
    <t>[Mckay, Christopher P.] NASA, Ames Res Ctr, Moffett Field, CA 94035 USA</t>
  </si>
  <si>
    <t>National Aeronautics &amp; Space Administration (NASA); NASA Ames Research Center</t>
  </si>
  <si>
    <t>Mckay, CP (corresponding author), NASA, Ames Res Ctr, Moffett Field, CA 94035 USA.</t>
  </si>
  <si>
    <t>Chris.McKay@nasa.gov</t>
  </si>
  <si>
    <t>McKay, Christopher/0000-0002-6243-1362</t>
  </si>
  <si>
    <t>NASA Astrobiology Program; NSF Antarctic Research Program</t>
  </si>
  <si>
    <t>NASA Astrobiology Program(National Aeronautics &amp; Space Administration (NASA)); NSF Antarctic Research Program</t>
  </si>
  <si>
    <t>This work was supported by the NASA Astrobiology Program and the NSF Antarctic Research Program. We thank the reviewers for constructive comments. The author declares no known competing financial interests or personal relationships that could have appeared to influence the work reported in this paper.</t>
  </si>
  <si>
    <t>INDIANA UNIV PRESS</t>
  </si>
  <si>
    <t>BLOOMINGTON</t>
  </si>
  <si>
    <t>601 N MORTON STREET, BLOOMINGTON, IN 47404-3797 USA</t>
  </si>
  <si>
    <t>1085-6633</t>
  </si>
  <si>
    <t>1535-5306</t>
  </si>
  <si>
    <t>ETHICS ENVIRON</t>
  </si>
  <si>
    <t>Ethics Environ.</t>
  </si>
  <si>
    <t>10.2979/ethicsenviro.26.1.05</t>
  </si>
  <si>
    <t>Philosophy</t>
  </si>
  <si>
    <t>SN5YJ</t>
  </si>
  <si>
    <t>WOS:000658364500005</t>
  </si>
  <si>
    <t>Voermans, JJ; Babanin, AV; Kirezci, C; Carvalho, JT; Santini, MF; Pavani, BF; Pezzi, LP</t>
  </si>
  <si>
    <t>Voermans, Joey J.; Babanin, Alexander, V; Kirezci, Cagil; Carvalho, Jonas T.; Santini, Marcelo F.; Pavani, Bruna F.; Pezzi, Luciano P.</t>
  </si>
  <si>
    <t>Wave Anomaly Detection in Wave Measurements</t>
  </si>
  <si>
    <t>Buoy observations; Data quality control; Filtering techniques; Quality assurance; control</t>
  </si>
  <si>
    <t>Quality control measures for ocean waves observations are necessary to give confidence of their accuracy. It is common practice to detect anomalies or outliers in surface displacement observations by applying a standard deviation threshold. Besides being a purely statistical method, this quality control procedure is likely to flag extreme wave events erroneously, thereby impacting higher-order descriptions of the wave field. In this paper we extend the use of the statistical phase-space threshold, an established outlier detection method in the field of turbulence, to detect anomalies in a wave record. We show that a wave record in phase space (here defined as a diagram of displacement against acceleration) can be enclosed by a predictable ellipse where the major and minor axes are defined by the spectral properties of the wave field. By using the parameterized ellipse in phase space as a threshold to identify wave anomalies, this is a semiphysical filtering method. Wave buoy data obtained from a mooring deployed near King George Island, Antarctica [as part of the Antarctic Modeling Observation System (ATMOS)], and laser altimeter data obtained at the Northwest Shelf of Australia were used to demonstrate the functioning of the filtering methodology in identifying wave anomalies. Synthetic data obtained using a high-order spectral model are used to identify how extreme waves are positioned in phase space.</t>
  </si>
  <si>
    <t>[Voermans, Joey J.; Babanin, Alexander, V; Kirezci, Cagil] Univ Melbourne, Dept Infrastruct Engn, Melbourne, Vic, Australia; [Babanin, Alexander, V] Qingdao Natl Lab Marine Sci &amp; Technol, Lab Reg Oceanog &amp; Numer Modeling, Qingdao, Peoples R China; [Carvalho, Jonas T.; Santini, Marcelo F.; Pezzi, Luciano P.] Natl Inst Space Res OBT INPE, Earth Observat &amp; Geoinformat Div, Lab Ocean &amp; Atmosphere Studies, Sao Jose Dos Campos, SP, Brazil; [Pavani, Bruna F.] Univ Sao Paulo, Inst Energy &amp; Environm, Sao Paulo, Brazil</t>
  </si>
  <si>
    <t>Melbourne Genomics Health Alliance; University of Melbourne; Laoshan Laboratory; Universidade de Sao Paulo</t>
  </si>
  <si>
    <t>Voermans, JJ (corresponding author), Univ Melbourne, Dept Infrastruct Engn, Melbourne, Vic, Australia.</t>
  </si>
  <si>
    <t>jvoermans@unimelb.edu.au</t>
  </si>
  <si>
    <t>Pezzi, Luciano Ponzi/N-7271-2017</t>
  </si>
  <si>
    <t>Pezzi, Luciano Ponzi/0000-0001-6016-4320; Voermans, Joey/0000-0002-2963-3763; Pavani, Bruna Fatiche/0000-0003-1648-8226; Santini, Marcelo/0000-0002-6760-2247; Carvalho, Jonas Takeo/0000-0002-1225-3457</t>
  </si>
  <si>
    <t>CNPq/CAPES/MCTIC [443013/2018-7]; CNPq [CNPq 304858/2019-6]; DISI Australia-China Centre [AC SRF48199]; Australian Antarctic Science Program [AAS4593]; U.S. Office of Naval Research [N00014-17-1-3021]</t>
  </si>
  <si>
    <t>CNPq/CAPES/MCTIC; CNPq(Conselho Nacional de Desenvolvimento Cientifico e Tecnologico (CNPQ)); DISI Australia-China Centre; Australian Antarctic Science Program; U.S. Office of Naval Research(Office of Naval Research)</t>
  </si>
  <si>
    <t>The authors acknowledge the funding support provided by the Brazilian agencies, for funding this study. Antarctic Modeling Observation System (ATMOS) project is funded by CNPq/CAPES/MCTIC (443013/2018-7). L. P. Pezzi is supported by a CNPq fellowship for scientific productivity (CNPq 304858/2019-6). We thank the captain and crew from Po/V Almirante Maximiano (H-41). The BrazilianMinistry of Science, Technology, Innovations and Communications (MCTIC), as well as the Brazilian Antarctic Program (PROANTAR) and the Brazilian Navy are acknowledged for making both the cruise under Antarctic Operation 38 (OP38) possible. Special thanks for Eliana Rosa, Ueslei Sutil, Fabiane Furlan, RegianeMoura, Gabriel Munchow, Claudia Parise, and Denni de Morais for their assistance in the build and deployment of the wave buoy mooring. AVB was supported by the DISI Australia-China Centre through Grant AC SRF48199. JJV and AVB were supported by the Australian Antarctic Science Program under Project AAS4593. AVB acknowledges support from the U.S. Office of Naval Research Grant N00014-17-1-3021. JJV and AVB would also like to thank Paul Tinkler and Daniel Ierodiaconou for sharing their experience in building a mooring system for the Sofar Spotter wave buoy. The authors thank the three anonymous reviewers for their constructive comments and suggestions.</t>
  </si>
  <si>
    <t>10.1175/JTECH-D-20-0090.1</t>
  </si>
  <si>
    <t>RW2QL</t>
  </si>
  <si>
    <t>WOS:000646372600008</t>
  </si>
  <si>
    <t>Uzunova, ER; Kenderov, LA; Stefanov, TR</t>
  </si>
  <si>
    <t>Uzunova, Eliza R.; Kenderov, Lyubomir A.; Stefanov, Tihomir R.</t>
  </si>
  <si>
    <t>Fish Species Recorded in the Coastal Area of the South Bay, Livingston Island, South Shetlands</t>
  </si>
  <si>
    <t>ACTA ZOOLOGICA BULGARICA</t>
  </si>
  <si>
    <t>Antarctica; Channichthyidae; Nototheniidae; Notothenioidei; Perciformes</t>
  </si>
  <si>
    <t>NOTOTHENIA-ROSSII</t>
  </si>
  <si>
    <t>The survey on the fish fauna of the coastal area of South Bay, Livingston Island, was conducted in November 2018 - January 2019. Fish were caught by bottom trawl net and fishing rod. Five fish species have been identified: Notothenia coriiceps Richardson, 1844, N. rossii Richardson, 1844, Trematomus tokarevi Andriashev, 1978 and T. nicolai (Boulenger, 1902) of the family Nototheniidae, and Chaenocephalus aceratus (Lonnberg, 1906) of the family Channichthyidae. Data about the habitat characteristics as well as length and age of the sampled specimens are presented.</t>
  </si>
  <si>
    <t>[Uzunova, Eliza R.; Kenderov, Lyubomir A.] Sofia Univ St Kliment Ohridski, Fac Biol, 8 Dragan Tsankov Blvd, Sofia 1164, Bulgaria; [Stefanov, Tihomir R.] Bulgarian Acad Sci, Natl Museum Nat Hist, 1 Tsar Osvoboditel Blvd, Sofia 1000, Bulgaria</t>
  </si>
  <si>
    <t>University of Sofia; Bulgarian Academy of Sciences</t>
  </si>
  <si>
    <t>Uzunova, ER (corresponding author), Sofia Univ St Kliment Ohridski, Fac Biol, 8 Dragan Tsankov Blvd, Sofia 1164, Bulgaria.</t>
  </si>
  <si>
    <t>e_uzunova@abv.bg; lubominkenderov@gmail.com; tishos@gmail.com</t>
  </si>
  <si>
    <t>Uzunova, Eliza/AFJ-9372-2022</t>
  </si>
  <si>
    <t>Polar Research Fund [80-10-244/31.08.2018]</t>
  </si>
  <si>
    <t>Polar Research Fund</t>
  </si>
  <si>
    <t>This study was supported by Project 80-10-244/31.08.2018, funded by the Polar Research Fund and managed by Sofia University St. Kliment Ohridski. The authors would like to thank to all members of the XXVII Bulgarian Antarctic Expedition and personally to the leader of Bulgarian Antarctic program Prof. Ch. Pimpirev. We are also very grateful to the people that helped us with the collecting and preserving of fishes: Eng. Y. Yordanov, Base Commander Y. Todorov and Mr. N. Nikolov. We acknowledge the identification of the brown algae performed by Dr D. Berov. We also want to thank the reviewers for their helpful remarks.</t>
  </si>
  <si>
    <t>INST ZOOLOGY, BAS</t>
  </si>
  <si>
    <t>1000 SOFIA, 1, TSAR OSVOBODITEL BLVD, SOFIA, 00000, BULGARIA</t>
  </si>
  <si>
    <t>0324-0770</t>
  </si>
  <si>
    <t>ACTA ZOOL BULGAR</t>
  </si>
  <si>
    <t>Acta Zool. Bulg.</t>
  </si>
  <si>
    <t>RX5TO</t>
  </si>
  <si>
    <t>WOS:000647286300009</t>
  </si>
  <si>
    <t>Haine, TWN</t>
  </si>
  <si>
    <t>Haine, Thomas W. N.</t>
  </si>
  <si>
    <t>A Conceptual Model of Polar Overturning Circulations</t>
  </si>
  <si>
    <t>Meridional overturning circulation; Ocean circulation; Laboratory; physical models</t>
  </si>
  <si>
    <t>ANTARCTIC BOTTOM WATER; SEA-ICE; HEAT-TRANSPORT; TURBULENT ENTRAINMENT; MASS TRANSFORMATION; WEDDELL SEA; DEEP-WATER; CONSTRAINTS; VARIABILITY; MECHANISMS</t>
  </si>
  <si>
    <t>The global ocean overturning circulation carries warm, salty water to high latitudes, both in the Arctic and Antarctic. Interaction with the atmosphere transforms this inflow into three distinct products: sea ice, surface Polar Water, and deep Overflow Water. The Polar Water and Overflow Water form estuarine and thermal overturning cells, stratified by salinity and temperature, respectively. A conceptual model specifies the characteristics of these water masses and cells given the inflow and air-sea-land fluxes of heat and freshwater. The model includes budgets of mass, salt, and heat, and parameterizations of Polar Water and Overflow Water formation, which include exchange with continental shelves. Model solutions are mainly controlled by a linear combination of air-sea-ice heat and freshwater fluxes and inflow heat flux that approximates the meteoric freshwater flux plus the sea ice export flux. The model shows that for the Arctic, the thermal overturning is likely robust, but the estuarine cell appears vulnerable to collapse via a so-called heat crisis that violates the budget equations. The system is pushed toward this crisis by increasing Atlantic Water inflow heat flux, increasing meteoric freshwater flux, and/or decreasing heat loss to the atmosphere. The Antarctic appears close to a so-called Overflow Water emergency with weak constraints on the strengths of the estuarine and thermal cells, uncertain sensitivity to parameters, and possibility of collapse of the thermal cell.</t>
  </si>
  <si>
    <t>[Haine, Thomas W. N.] Johns Hopkins Univ, Earth &amp; Planetary Sci, Baltimore, MD 21218 USA</t>
  </si>
  <si>
    <t>Johns Hopkins University</t>
  </si>
  <si>
    <t>Haine, TWN (corresponding author), Johns Hopkins Univ, Earth &amp; Planetary Sci, Baltimore, MD 21218 USA.</t>
  </si>
  <si>
    <t>thomas.haine@jhu.edu</t>
  </si>
  <si>
    <t>Haine, Thomas/0000-0001-8231-2419</t>
  </si>
  <si>
    <t>National Aeronautics and Space Administration [19-PO19-0025]</t>
  </si>
  <si>
    <t>National Aeronautics and Space Administration(National Aeronautics &amp; Space Administration (NASA))</t>
  </si>
  <si>
    <t>This work was supported by Grant 19-PO19-0025 from the National Aeronautics and Space Administration. Discussions with Ali Siddiqui, Miguel Jimenez-Urias, and Renske Gelderloos helped clarify the work and Bert Rudels inspired it.</t>
  </si>
  <si>
    <t>10.1175/JPO-D-20-0139.1</t>
  </si>
  <si>
    <t>RW2TI</t>
  </si>
  <si>
    <t>WOS:000646380100005</t>
  </si>
  <si>
    <t>Ruan, XZ; Ferrari, R</t>
  </si>
  <si>
    <t>Ruan, Xiaozhou; Ferrari, Raffaele</t>
  </si>
  <si>
    <t>Diagnosing Diapycnal Mixing from Passive Tracers</t>
  </si>
  <si>
    <t>Diapycnal mixing; Diffusion; Turbulence; Mixing; In situ oceanic observations; Tracers</t>
  </si>
  <si>
    <t>ANTARCTIC BOTTOM WATER; OVERTURNING CIRCULATION; OCEAN; TRANSPORT; CLOSURE; VOLUME; RATES</t>
  </si>
  <si>
    <t>Turbulent mixing across density surfaces transforms abyssal ocean waters into lighter waters and is vital to close the deepest branches of the global overturning circulation. Over the last 20 years, mixing rates inferred from in situ microstructure profilers and tracer release experiments (TREs) have provided valuable insights in the connection between small-scale mixing and large-scale ocean circulation. Problematically, estimates based on TREs consistently exceed those from collocated in situ microstructure measurements. These differences have been attributed to a low bias in the microstructure estimates that can miss strong, but rare, mixing events. Here we demonstrate that TRE estimates can suffer from a high bias, because of the approximations generally made to interpret the data. We first derive formulas to estimate mixing from the temporal growth of the second moment of a tracer patch by extending Taylor's celebrated formula to account for both density stratification and variations in mixing rates. The formulas are validated with tracers released in numerical simulations of turbulent flows and then used to discuss biases in the interpretation of TREs based estimates and how to possibly overcome them.</t>
  </si>
  <si>
    <t>[Ruan, Xiaozhou; Ferrari, Raffaele] MIT, Dept Earth Atmospher &amp; Planetary Sci, Cambridge, MA 02139 USA</t>
  </si>
  <si>
    <t>Massachusetts Institute of Technology (MIT)</t>
  </si>
  <si>
    <t>Ruan, XZ (corresponding author), MIT, Dept Earth Atmospher &amp; Planetary Sci, Cambridge, MA 02139 USA.</t>
  </si>
  <si>
    <t>xruan@mit.edu</t>
  </si>
  <si>
    <t>Ruan, Xiaozhou/0000-0003-1240-1584</t>
  </si>
  <si>
    <t>NSF [OCE-1736109, OCE-1756324]</t>
  </si>
  <si>
    <t>We thank Jim Ledwell, Jorn Callies, Kurt Polzin, Kelly Ogden, and Henri Drake for helpful discussions. Support through NSF Awards OCE-1736109 and OCE-1756324 is gratefully acknowledged.</t>
  </si>
  <si>
    <t>10.1175/JPO-D-20-0194.1</t>
  </si>
  <si>
    <t>WOS:000646380100007</t>
  </si>
  <si>
    <t>Li, HJ; Xu, YS</t>
  </si>
  <si>
    <t>Li, Hongjie; Xu, Yongsheng</t>
  </si>
  <si>
    <t>Barotropic and Baroclinic Inverse Kinetic Energy Cascade in the Antarctic Circumpolar Current</t>
  </si>
  <si>
    <t>Baroclinic flows; Barotropic flows; Antarctica; Energy transport; Fluxes; Jets</t>
  </si>
  <si>
    <t>CALIFORNIA CURRENT SYSTEM; GEOSTROPHIC TURBULENCE; HORIZONTAL RESOLUTION; SUBMESOSCALE TRANSITION; PRIMITIVE EQUATION; MIDOCEAN EDDIES; SOUTHERN-OCEAN; NORTH PACIFIC; FORM STRESS; EDDY</t>
  </si>
  <si>
    <t>Stratified geostrophic turbulence theory predicts an inverse energy cascade for the barotropic (BT) mode. Satellite altimetry has revealed a net inverse cascade in the baroclinic (BC) mode. Here the spatial variabilities of BT and BC kinetic energy fluxes in the Antarctic Circumpolar Current (ACC) were investigated using ECCO2 data, which synthesize satellite data and in situ measurements with an eddy-permitting general circulation model containing realistic bathymetry and wind forcing. The BT and BC inverse kinetic energy cascades both reveal complex spatial variations that could not be explained fully by classical arguments. For example, the BC injection scales match better with most unstable scales than with the first-mode deformation scales, but the opposite is true for the BT mode. In addition, the BT and BC arrest scales do not follow the Rhines scale well in terms of spatial variation, but show better consistency with their own energy-containing scales. The reverse cascade of the BT and BC modes was found related to their EKE, and better correlation was found between the BT inverse cascade and barotropization. Speculations of the findings were proposed; however, further observations and modeling experiments are needed to test these interpretations. Spectral flux anisotropy exhibits a feature associated with oceanic jets that is consistent with classical expectations. Specifically, the spectral flux along the along-stream direction remains negative at scales up to that of the studied domain (similar to 2000 km), while that in the perpendicular direction becomes positive close to the scale of the width of a typical jet.</t>
  </si>
  <si>
    <t>[Li, Hongjie; Xu, Yongsheng] Chinese Acad Sci, Inst Oceanol, Key Lab Ocean Circulat &amp; Waves, Qingdao, Peoples R China; [Xu, Yongsheng] Qingdao Pilot Natl Lab Marine Sci &amp; Technol, Lab Ocean Dynam &amp; Climate, Qingdao, Peoples R China; [Li, Hongjie] Ludong Univ, Dept Math &amp; Stat, Yantai, Peoples R China; [Xu, Yongsheng] Chinese Acad Sci, Ctr Ocean Mega Sci, Qingdao, Peoples R China</t>
  </si>
  <si>
    <t>Chinese Academy of Sciences; Institute of Oceanology, CAS; Laoshan Laboratory; Ludong University; Chinese Academy of Sciences</t>
  </si>
  <si>
    <t>Xu, YS (corresponding author), Chinese Acad Sci, Inst Oceanol, Key Lab Ocean Circulat &amp; Waves, Qingdao, Peoples R China.;Xu, YS (corresponding author), Qingdao Pilot Natl Lab Marine Sci &amp; Technol, Lab Ocean Dynam &amp; Climate, Qingdao, Peoples R China.;Xu, YS (corresponding author), Chinese Acad Sci, Ctr Ocean Mega Sci, Qingdao, Peoples R China.</t>
  </si>
  <si>
    <t>yongsheng.xu@alumni.caltech.edu</t>
  </si>
  <si>
    <t>Xu, Yongsheng/GZA-6022-2022</t>
  </si>
  <si>
    <t>Xu, Yongsheng/0000-0002-5064-9284</t>
  </si>
  <si>
    <t>National Key Research andDevelopment Program [2016YFC1401004, 2019YFC1509102]; National Natural Science Foundation of China [41421005, 41676168, 41376028]; Marine S&amp;T Fund of Shandong Province for Pilot National Laboratory for Marine Science and Technology (Qingdao) [2018SDKJ0102-7]; Open Fund of Key Laboratory ofOcean Circulation and Waves, Institute of Oceanology, Chinese Academy of Sciences [2018HX020]; NSFC-Shandong Joint Fund for Marine Science Research Centers [U1406401]</t>
  </si>
  <si>
    <t>National Key Research andDevelopment Program; National Natural Science Foundation of China(National Natural Science Foundation of China (NSFC)); Marine S&amp;T Fund of Shandong Province for Pilot National Laboratory for Marine Science and Technology (Qingdao); Open Fund of Key Laboratory ofOcean Circulation and Waves, Institute of Oceanology, Chinese Academy of Sciences; NSFC-Shandong Joint Fund for Marine Science Research Centers</t>
  </si>
  <si>
    <t>We thank Rob Scott for his help with the spectral flux calculation. We thank Rei Chemke and Boris Galperin for their constructive discussions. This work was supported by the National Key Research andDevelopment Program (2016YFC1401004, 2019YFC1509102), the National Natural Science Foundation of China (41421005,41676168, 41376028), the Marine S&amp;T Fund of Shandong Province for Pilot National Laboratory for Marine Science and Technology (Qingdao) (2018SDKJ0102-7), the Open Fund of Key Laboratory ofOcean Circulation and Waves, Institute of Oceanology, Chinese Academy of Sciences (2018HX020), the NSFC-Shandong Joint Fund for Marine Science Research Centers (U1406401). The altimeter products have been produced by theDataUnification and Altimeter Combination System (DUCAS) as part of the CNES multi-mission ground segment (SSALTO). Data were made available by the AVISO and can be downloaded from ftp.aviso (ftp.aviso.oceanobs.com). The ECOO2 sea surface height data were obtained and downloaded from the NASA, http://ecco2.jpl.nasa.gov/products/dataSelectionSimple.html.The WOA13 climatological data were obtained and downloaded from the NODC, https://www.nodc.noaa.gov/OC5/woa13/.</t>
  </si>
  <si>
    <t>10.1175/JPO-D-20-0053.1</t>
  </si>
  <si>
    <t>WOS:000646380100010</t>
  </si>
  <si>
    <t>Kong, HL; Jansen, MF</t>
  </si>
  <si>
    <t>Kong, Hailu; Jansen, Malte F.</t>
  </si>
  <si>
    <t>The Impact of Topography and Eddy Parameterization on the Simulated Southern Ocean Circulation Response to Changes in Surface Wind Stress</t>
  </si>
  <si>
    <t>Southern Ocean; Eddies; Meridional overturning circulation; Ocean models; Parameterization</t>
  </si>
  <si>
    <t>ANTARCTIC CIRCUMPOLAR CURRENT; MERIDIONAL OVERTURNING CIRCULATION; EDDIES; ACC</t>
  </si>
  <si>
    <t>It remains uncertain how the Southern Ocean circulation responds to changes in surface wind stress, and whether coarse-resolution simulations, where mesoscale eddy fluxes are parameterized, can adequately capture the response. We address this problem using two idealized model setups mimicking the Southern Ocean: a flat-bottom channel and a channel with moderately complex topography. Under each topographic configuration and varying wind stress, we compare several coarse-resolution simulations, configured with different eddy parameterizations, against an eddy-resolving simulation. We find that 1) without topography, sensitivity of the Antarctic Circumpolar Current (ACC) to wind stress is overestimated by coarse-resolution simulations, due to an underestimate of the sensitivity of the eddy diffusivity; 2) in the presence of topography, stationary eddies dominate over transient eddies in counteracting the direct response of the ACC and overturning circulation to wind stress changes; and 3) coarse-resolution simulations with parameterized eddies capture this counteracting effect reasonably well, largely due to their ability to resolve stationary eddies. Our results highlight the importance of topography in modulating the response of the Southern Ocean circulation to changes in surface wind stress. The interaction between mesoscale eddies and stationary meanders induced by topography requires more attention in future development and testing of eddy parameterizations.</t>
  </si>
  <si>
    <t>[Kong, Hailu; Jansen, Malte F.] Univ Chicago, Dept Geophys Sci, 5734 S Ellis Ave, Chicago, IL 60637 USA</t>
  </si>
  <si>
    <t>University of Chicago</t>
  </si>
  <si>
    <t>Kong, HL (corresponding author), Univ Chicago, Dept Geophys Sci, 5734 S Ellis Ave, Chicago, IL 60637 USA.</t>
  </si>
  <si>
    <t>hlkong@uchicago.edu</t>
  </si>
  <si>
    <t>Jansen, Malte/ABB-4451-2020</t>
  </si>
  <si>
    <t>Jansen, Malte/0000-0003-3894-1124; Kong, Hailu/0000-0001-7636-735X</t>
  </si>
  <si>
    <t>National Science Foundation (NSF) [OCE-1536450, OCE-1846821]</t>
  </si>
  <si>
    <t>National Science Foundation (NSF)(National Science Foundation (NSF))</t>
  </si>
  <si>
    <t>We thank Dave Munday and an anonymous reviewer for their insightful comments, which helped to improve this manuscript. We also thank Robert Hallberg, Alistair Adcroft, and Zhihong Tan for their help with the configuration of our idealized models, and Noboru Nakamura and Tiffany Shaw for helpful conversations. Computational resources for this project were generously provided by the University of Chicago Research Computing Center. We acknowledge support from the National Science Foundation (NSF) through Awards OCE-1536450 and OCE-1846821.</t>
  </si>
  <si>
    <t>10.1175/JPO-D-20-0142.1</t>
  </si>
  <si>
    <t>WOS:000646380100011</t>
  </si>
  <si>
    <t>Chavtur, VG; Bashmanov, AG</t>
  </si>
  <si>
    <t>Chavtur, V. G.; Bashmanov, A. G.</t>
  </si>
  <si>
    <t>The Composition, Structure, and Distribution of Benthic Ostracod Fauna (Ostracoda: Myodocopida) in Subantarctic Waters</t>
  </si>
  <si>
    <t>RUSSIAN JOURNAL OF MARINE BIOLOGY</t>
  </si>
  <si>
    <t>Myodocopida; Cypridinidae; Philomedidae; Cylindroleberididae; Sarsiellidae; Rutidermatidae; Subantarctic; structure of fauna; latitudinal distribution; vertical distribution</t>
  </si>
  <si>
    <t>This paper presents an analysis of the literature data on the Subantarctic fauna of the benthic Myodocopida, including 97 species. The studied fauna is characterized by a high degree but a low level of endemism. The fauna is based on the species of common genera. Ostracods of the families Cylindroleberididae and Cypridinidae lead in the number of species and genera. With depth increase, species richness of ostracods, and the number of their genera decrease; taxonomic and bathymetric characteristics markedly change. Similarities between the Antarctic and Subantarctic faunas of Myodocopida are evident in the low diversity of species, in the high degree and low rank of endemism, and in the proportion of the number of species and genera in families. Differences between the faunas are defined by significant isolation, by the pattern of vertical distribution, and by the taxonomic structure of myodocopids. The Subantarctic fauna of Myodocopida is completely isolated from the boreal fauna and exceeds it in the number of species and genera but is comparable to the boreal fauna in the number of endemic species. Both faunas are characterized by a high degree but a low level of endemism. Species richness of these faunas depends on different families. With a depth increase the number of myodocopid species decreases in both faunas; myodocopids do not penetrate deeper than 5500 m.</t>
  </si>
  <si>
    <t>[Chavtur, V. G.; Bashmanov, A. G.] Russian Acad Sci, Zhirmunsky Natl Sci Ctr Marine Biol, Far Eastern Branch, Vladivostok 690041, Russia</t>
  </si>
  <si>
    <t>Russian Academy of Sciences; National Scientific Center of Marine Biology, Far East Branch of the Russian Academy of Sciences</t>
  </si>
  <si>
    <t>Bashmanov, AG (corresponding author), Russian Acad Sci, Zhirmunsky Natl Sci Ctr Marine Biol, Far Eastern Branch, Vladivostok 690041, Russia.</t>
  </si>
  <si>
    <t>b0000@list.ru</t>
  </si>
  <si>
    <t>MAIK NAUKA/INTERPERIODICA/SPRINGER</t>
  </si>
  <si>
    <t>233 SPRING ST, NEW YORK, NY 10013-1578 USA</t>
  </si>
  <si>
    <t>1063-0740</t>
  </si>
  <si>
    <t>1608-3377</t>
  </si>
  <si>
    <t>RUSS J MAR BIOL+</t>
  </si>
  <si>
    <t>Russ. J. Mar. Biol.</t>
  </si>
  <si>
    <t>10.1134/S1063074021020036</t>
  </si>
  <si>
    <t>SC4DX</t>
  </si>
  <si>
    <t>WOS:000650625100003</t>
  </si>
  <si>
    <t>Angelier, F</t>
  </si>
  <si>
    <t>Angelier, F.</t>
  </si>
  <si>
    <t>What happens when the stressor ends? A study of corticosterone in wild Antarctic seabirds</t>
  </si>
  <si>
    <t>Annual Meeting of the Society-for-Integrative-and-Comparative-Biology (SICB)</t>
  </si>
  <si>
    <t>JAN 31-FEB 28, 2021</t>
  </si>
  <si>
    <t>[Angelier, F.] CNRS, Ctr Etud Biol Chize, Paris, France</t>
  </si>
  <si>
    <t>Centre National de la Recherche Scientifique (CNRS)</t>
  </si>
  <si>
    <t>frederic.angelier06@gmail.com</t>
  </si>
  <si>
    <t>43-7</t>
  </si>
  <si>
    <t>E20</t>
  </si>
  <si>
    <t>E21</t>
  </si>
  <si>
    <t>SE1DI</t>
  </si>
  <si>
    <t>WOS:000651814700027</t>
  </si>
  <si>
    <t>Gusmao, LC; Rodríguez, E</t>
  </si>
  <si>
    <t>Gusmao, L. C.; Rodriguez, E.</t>
  </si>
  <si>
    <t>Evidence of a deep-sea, Antarctic lineage of burrowing sea anemones (Cnidaria: Actiniaria): an evaluation using mitogenomics</t>
  </si>
  <si>
    <t>[Gusmao, L. C.; Rodriguez, E.] Amer Museum Nat Hist, New York, NY 10024 USA</t>
  </si>
  <si>
    <t>American Museum of Natural History (AMNH)</t>
  </si>
  <si>
    <t>Gusmaolc@gmail.com</t>
  </si>
  <si>
    <t>28-8</t>
  </si>
  <si>
    <t>E343</t>
  </si>
  <si>
    <t>E344</t>
  </si>
  <si>
    <t>WOS:000651814700437</t>
  </si>
  <si>
    <t>Lobert, GT; Toh, MWA; Moran, AL</t>
  </si>
  <si>
    <t>Lobert, G. T.; Toh, M. W. A.; Moran, A. L.</t>
  </si>
  <si>
    <t>Large effect of small temperature changes on embryonic development of Antarctic invertebrates</t>
  </si>
  <si>
    <t>[Lobert, G. T.; Toh, M. W. A.; Moran, A. L.] Univ Hawaii Manoa, Honolulu, HI 96822 USA</t>
  </si>
  <si>
    <t>gtlobert@hawaii.edu</t>
  </si>
  <si>
    <t>BSP-7-7</t>
  </si>
  <si>
    <t>E538</t>
  </si>
  <si>
    <t>WOS:000651814701179</t>
  </si>
  <si>
    <t>Murphy, D; Garayev, K; Mee, T</t>
  </si>
  <si>
    <t>Murphy, D.; Garayev, K.; Mee, T.</t>
  </si>
  <si>
    <t>The collective response of antarctic krill schools to various laboratory flow conditions</t>
  </si>
  <si>
    <t>[Murphy, D.; Garayev, K.; Mee, T.] Univ S Florida, Tampa, FL 33620 USA</t>
  </si>
  <si>
    <t>State University System of Florida; University of South Florida</t>
  </si>
  <si>
    <t>davidmurphy@usf.edu</t>
  </si>
  <si>
    <t>100-7</t>
  </si>
  <si>
    <t>E638</t>
  </si>
  <si>
    <t>E639</t>
  </si>
  <si>
    <t>WOS:000651814702068</t>
  </si>
  <si>
    <t>Seleb, BR; Bhamla, MS</t>
  </si>
  <si>
    <t>Seleb, B. R.; Bhamla, M. S.</t>
  </si>
  <si>
    <t>Temperature effects on metabolic enzymes from Antarctic and subtropical marine bryozoans</t>
  </si>
  <si>
    <t>[Seleb, B. R.; Bhamla, M. S.] Georgia Inst Technol, Atlanta, GA 30332 USA</t>
  </si>
  <si>
    <t>University System of Georgia; Georgia Institute of Technology</t>
  </si>
  <si>
    <t>bseleb3@gatech.edu</t>
  </si>
  <si>
    <t>Bhamla, M. Saad/L-3174-2013</t>
  </si>
  <si>
    <t>P9-10</t>
  </si>
  <si>
    <t>E1249</t>
  </si>
  <si>
    <t>E1250</t>
  </si>
  <si>
    <t>WOS:000651814704150</t>
  </si>
  <si>
    <t>Seman, B; Ryan, JF; Santagata, S</t>
  </si>
  <si>
    <t>Seman, B.; Ryan, J. F.; Santagata, S.</t>
  </si>
  <si>
    <t>Temperature effects on metabolic enzymes from Antarctic and sub-tropical marine bryozoans</t>
  </si>
  <si>
    <t>Long Isl Univ, Brookville, NY USA; Univ Florida, Gainesville, FL USA</t>
  </si>
  <si>
    <t>Long Island University Post; State University System of Florida; University of Florida</t>
  </si>
  <si>
    <t>brooke.seman@my.liu.edu</t>
  </si>
  <si>
    <t>E1251</t>
  </si>
  <si>
    <t>WOS:000651814704151</t>
  </si>
  <si>
    <t>Teets, NM; Spacht, DE; Potts, LJ; Gantz, JD; Lee, RE; Denlinger, DL</t>
  </si>
  <si>
    <t>Teets, N. M.; Spacht, D. E.; Potts, L. J.; Gantz, J. D.; Lee, R. E.; Denlinger, D. L.</t>
  </si>
  <si>
    <t>Microhabitat diversity influences physiology and phenology in an Antarctic insect</t>
  </si>
  <si>
    <t>Univ Kentucky, Lexington, KY 40506 USA; Ohio State Univ, Columbus, OH 43210 USA; Hendrix Coll, Conway, AR USA; Miami Univ, Oxford, OH 45056 USA</t>
  </si>
  <si>
    <t>University of Kentucky; University System of Ohio; Ohio State University; University System of Ohio; Miami University</t>
  </si>
  <si>
    <t>n.teets@uky.edu</t>
  </si>
  <si>
    <t>Teets, Nicholas/IQT-5328-2023</t>
  </si>
  <si>
    <t>46-3</t>
  </si>
  <si>
    <t>E888</t>
  </si>
  <si>
    <t>E889</t>
  </si>
  <si>
    <t>WOS:000651814703111</t>
  </si>
  <si>
    <t>Toh, MWA; Lobert, GT; Moran, AL</t>
  </si>
  <si>
    <t>Toh, M. W. A.; Lobert, G. T.; Moran, A. L.</t>
  </si>
  <si>
    <t>Energy use during the development of two species of Antarctic sea spider</t>
  </si>
  <si>
    <t>[Toh, M. W. A.; Lobert, G. T.; Moran, A. L.] Univ Hawaii Manoa, Honolulu, HI 96822 USA</t>
  </si>
  <si>
    <t>tohmw@hawaii.edu</t>
  </si>
  <si>
    <t>[NSF-OPP-1745130]</t>
  </si>
  <si>
    <t>Funded by NSF-OPP-1745130 to ALM.</t>
  </si>
  <si>
    <t>P5-6</t>
  </si>
  <si>
    <t>E1280</t>
  </si>
  <si>
    <t>E1281</t>
  </si>
  <si>
    <t>WOS:000651814704191</t>
  </si>
  <si>
    <t>Verheye, ML; Herrel, A; Frédérich, B; Castrec, C; Michel, L; Lepoint, G</t>
  </si>
  <si>
    <t>Verheye, M. L.; Herrel, A.; Frederich, B.; Castrec, C.; Michel, L.; Lepoint, G.</t>
  </si>
  <si>
    <t>How mandible morphology relates to trophic ecology in Antarctic amphipods : the case of Iphimediidae revealed by 3D-Geometric Morphometrics and Stable Isotopes.</t>
  </si>
  <si>
    <t>MNHN, Paris, France; ULiege, Liege, Belgium; Univ Bretagne Occidentale, Brest, France; IFREMER, Brest, France</t>
  </si>
  <si>
    <t>Museum National d'Histoire Naturelle (MNHN); Universite de Bretagne Occidentale; Ifremer</t>
  </si>
  <si>
    <t>mverheye@uliege.be</t>
  </si>
  <si>
    <t>Herrel, Anthony/C-3712-2013</t>
  </si>
  <si>
    <t>Herrel, Anthony/0000-0003-0991-4434</t>
  </si>
  <si>
    <t>P19-10</t>
  </si>
  <si>
    <t>E1290</t>
  </si>
  <si>
    <t>E1291</t>
  </si>
  <si>
    <t>WOS:000651814704203</t>
  </si>
  <si>
    <t>Henríquez-Castillo, C; Franco-Cisterna, B; Murillo, AA; Ulloa, O; Riquelme-Bugueño, R</t>
  </si>
  <si>
    <t>Henriquez-Castillo, Carlos; Franco-Cisterna, Belen; Murillo, Alejandro A.; Ulloa, Osvaldo; Riquelme-Bugueno, Ramiro</t>
  </si>
  <si>
    <t>Flow cytometry with cell sorting and sequencing as a tool for the study of the stomach microbiota of the Humboldt Current krill (Euphausiacea)</t>
  </si>
  <si>
    <t>JOURNAL OF CRUSTACEAN BIOLOGY</t>
  </si>
  <si>
    <t>Bacteroidetes; Balneolaeota; Euphausia mucronata; pelagic food webs; zooplankton; microbial communities</t>
  </si>
  <si>
    <t>ANTARCTIC KRILL; SUPERBA DANA; BACTERIA; GUT; CONCEPCION; DIVERSITY; CRUSTACEA; NOV.</t>
  </si>
  <si>
    <t>Euphausiids (krill) are important contributors to marine biomass and key players in marine pelagic trophic webs. Euphausiid stomachs represent a specific niche for microbes that participate in the digestion of the host's dietary components. Methods for the study of the diversity and function of these microorganisms remain complex. Bacterial ribosomal sequences obtained from lysates of stomachs are often overrepresented by organisms from the surrounding environment. Flow cytometry with cell sorting ( FC-CS) have become a powerful technique to study microbial community structure but also for the study of population genomics of gut-associated bacteria. We compared the performance of the FC-CS-sequencing and total DNA extraction-sequencing to study the stomach microbiota of the Humboldt Current krill. Non-specific amplification was not retrieved in the polymerase chain reaction (PCR) from cells sorted, opposite to the observed using the DNA from the whole lysate. Sequences obtained from the whole stomach DNA were enriched in picocyanobacteria, whereas sequences retrieved from cells sorted belonged almost exclusively to Balneola sp. of the new phylum Balneolaeota. Our results suggest that the stomach-associated microbiota can be successfully characterized by FC-CS and sequencing by manual scraping of the stomach. The implementation of this technique might complement future studies on host-microbes interaction and their implications on the marine pelagic food web.</t>
  </si>
  <si>
    <t>[Henriquez-Castillo, Carlos; Ulloa, Osvaldo] Univ Concepcion, Fac Ciencias Nat &amp; Oceanog, Dept Oceanog, POB 160 C, Concepcion, Chile; [Henriquez-Castillo, Carlos; Ulloa, Osvaldo; Riquelme-Bugueno, Ramiro] Univ Concepcion, Inst Milenio Oceanog IMO, POB 1313, Concepcion 3, Chile; [Henriquez-Castillo, Carlos] Ctr Estudios Avanzados Zonas Aridas CEAZA, Lab Fisiol &amp; Genet Marina FIGEMA, Coquimbo, Chile; [Henriquez-Castillo, Carlos] Univ Catolica Norte, Fac Ciencias Mar, Coquimbo, Chile; [Franco-Cisterna, Belen] Univ Concepcion, Fac Ciencias Nat &amp; Oceanog, Programa Magister Ciencias Menc Oceanog, POB 160 C, Concepcion, Chile; [Franco-Cisterna, Belen] Univ Southern Denmark, Dept Biol, HADAL, Odense, Denmark; [Franco-Cisterna, Belen] Univ Southern Denmark, Dept Biol, Nordcee, Odense, Denmark; [Murillo, Alejandro A.] European Mol Biol Lab EMBL, Struct &amp; Computat Biol Unit, Heidelberg, Germany; [Riquelme-Bugueno, Ramiro] Univ Concepcion, Fac Ciencias Nat &amp; Oceanog, Dept Zool, POB 160 C, Concepcion, Chile</t>
  </si>
  <si>
    <t>Universidad de Concepcion; Universidad de Concepcion; Universidad Catolica del Norte; Universidad de Concepcion; University of Southern Denmark; University of Southern Denmark; European Molecular Biology Laboratory (EMBL); Universidad de Concepcion</t>
  </si>
  <si>
    <t>Riquelme-Bugueño, R (corresponding author), Univ Concepcion, Inst Milenio Oceanog IMO, POB 1313, Concepcion 3, Chile.;Riquelme-Bugueño, R (corresponding author), Univ Concepcion, Fac Ciencias Nat &amp; Oceanog, Dept Zool, POB 160 C, Concepcion, Chile.</t>
  </si>
  <si>
    <t>rriquelm@udec.cl</t>
  </si>
  <si>
    <t>Ulloa, Osvaldo/E-1821-2011; Murillo, Alejandro Andrés/AAY-5276-2020; Riquelme, Ramiro/L-4706-2016; Franco-Cisterna, Belén/AAD-2579-2022; Franco-Cisterna, Belén/ISA-1305-2023; Henríquez, Carlos/IRZ-0582-2023</t>
  </si>
  <si>
    <t>Murillo, Alejandro Andrés/0000-0003-3553-1330; Riquelme, Ramiro/0000-0002-2245-6485; Franco-Cisterna, Belén/0000-0002-9114-2818; Franco-Cisterna, Belén/0000-0002-9114-2818;</t>
  </si>
  <si>
    <t>ANID-Programa Iniciativa Cientifica Milenio [ICN12_019]; ANID FONDECYT/POSTDOCTORADO [3180724]</t>
  </si>
  <si>
    <t>ANID-Programa Iniciativa Cientifica Milenio; ANID FONDECYT/POSTDOCTORADO</t>
  </si>
  <si>
    <t>This work was funded by the ANID-Programa Iniciativa Cientifica Milenio, ICN12_019. We thank the captain and crew of R/V Kay-Kay II (Departamento de Oceanografia, Universidad de Concepcion, Chile) for ongoing support at sea. We thank the anonymous reviewer and the Editor-in-Chief for their time and very valuable comments to our manuscript. C.H.-C. acknowledges support by ANID FONDECYT/POSTDOCTORADO 3180724. The authors declare that there was no conflict of interest in the writing of the manuscript.</t>
  </si>
  <si>
    <t>0278-0372</t>
  </si>
  <si>
    <t>1937-240X</t>
  </si>
  <si>
    <t>J CRUSTACEAN BIOL</t>
  </si>
  <si>
    <t>J. Crustac. Biol.</t>
  </si>
  <si>
    <t>ruab006</t>
  </si>
  <si>
    <t>10.1093/jcbiol/ruab006</t>
  </si>
  <si>
    <t>SA6CN</t>
  </si>
  <si>
    <t>Bronze, Green Submitted</t>
  </si>
  <si>
    <t>WOS:000649390100022</t>
  </si>
  <si>
    <t>Llaveria, D; Munoz-Martin, JF; Herbert, C; Pablos, M; Park, H; Camps, A</t>
  </si>
  <si>
    <t>Llaveria, David; Munoz-Martin, Juan Francesc; Herbert, Christoph; Pablos, Miriam; Park, Hyuk; Camps, Adriano</t>
  </si>
  <si>
    <t>Sea Ice Concentration and Sea Ice Extent Mapping with L-Band Microwave Radiometry and GNSS-R Data from the FFSCat Mission Using Neural Networks</t>
  </si>
  <si>
    <t>sea ice; microwave radiometry; GNSS-R; nanosatellite; earth observation; neural networks</t>
  </si>
  <si>
    <t>RETRIEVAL</t>
  </si>
  <si>
    <t>CubeSat-based Earth Observation missions have emerged in recent times, achieving scientifically valuable data at a moderate cost. FSSCat is a two 6U CubeSats mission, winner of the ESA S-3 challenge and overall winner of the 2017 Copernicus Masters Competition, that was launched in September 2020. The first satellite, (3)Cat-5/A, carries the FMPL-2 instrument, an L-band microwave radiometer and a GNSS-Reflectometer. This work presents a neural network approach for retrieving sea ice concentration and sea ice extent maps on the Arctic and the Antarctic oceans using FMPL-2 data. The results from the first months of operations are presented and analyzed, and the quality of the retrieved maps is assessed by comparing them with other existing sea ice concentration maps. As compared to OSI SAF products, the overall accuracy for the sea ice extent maps is greater than 97% using MWR data, and up to 99% when using combined GNSS-R and MWR data. In the case of Sea ice concentration, the absolute errors are lower than 5%, with MWR and lower than 3% combining it with the GNSS-R. The total extent area computed using this methodology is close, with 2.5% difference, to those computed by other well consolidated algorithms, such as OSI SAF or NSIDC. The approach presented for estimating sea ice extent and concentration maps is a cost-effective alternative, and using a constellation of CubeSats, it can be further improved.</t>
  </si>
  <si>
    <t>[Llaveria, David; Munoz-Martin, Juan Francesc; Herbert, Christoph; Park, Hyuk; Camps, Adriano] Univ Politecn Cataluna, Dept Signal Theory &amp; Communicat, CommSensLab, Unidad Maria Maeztu, Barcelona 08034, Spain; [Llaveria, David; Munoz-Martin, Juan Francesc; Herbert, Christoph; Park, Hyuk; Camps, Adriano] UPC, CTE, IEEC, Barcelona 08034, Spain; [Pablos, Miriam] CSIC, Inst Ciencies Mar, Phys &amp; Technol Oceanog Grp, ICM, Barcelona 08003, Spain</t>
  </si>
  <si>
    <t>Universitat Politecnica de Catalunya; University of Barcelona; Universitat Politecnica de Catalunya; Institut d'Estudis Espacials de Catalunya (IEEC); Consejo Superior de Investigaciones Cientificas (CSIC); CSIC - Centro Mediterraneo de Investigaciones Marinas y Ambientales (CMIMA); CSIC - Instituto de Ciencias del Mar (ICM)</t>
  </si>
  <si>
    <t>Llaveria, D (corresponding author), Univ Politecn Cataluna, Dept Signal Theory &amp; Communicat, CommSensLab, Unidad Maria Maeztu, Barcelona 08034, Spain.;Llaveria, D (corresponding author), UPC, CTE, IEEC, Barcelona 08034, Spain.</t>
  </si>
  <si>
    <t>david.llaveria@upc.edu; joan.francesc@tsc.upc.edu; christoph.josef.herbert@upc.edu; mpablos@icm.csic.es; park.hyuk@tsc.upc.edu; camps@tsc.upc.edu</t>
  </si>
  <si>
    <t>Munoz-Martin, Joan F./AAA-2214-2019; Pablos Hernández, Miriam/G-2845-2013; Camps, Adriano/D-2592-2011; Park, Hyuk/A-5652-2014</t>
  </si>
  <si>
    <t>Munoz-Martin, Joan F./0000-0002-6441-6676; Pablos Hernández, Miriam/0000-0003-2694-7107; Camps, Adriano/0000-0002-9514-4992; Herbert, Christoph/0000-0002-2578-8522; Llaveria, David/0000-0002-4917-5798; Park, Hyuk/0000-0003-0031-0802</t>
  </si>
  <si>
    <t>2017 ESA S3 challenge and Copernicus Masters overall winner award (FSSCat project); project SPOT: Sensing with Pioneering Opportunistic Techniques [RTI2018-099008-B-C21/AEI/10.13039/501100011033]; Unidad de Excelencia Maria de Maeztu [MDM-2016-0600]; Spanish Ministry of Science and Innovation [ESP2017-89463-C3]; Centro de Excelencia Severo Ochoa [CEX2019-000928-S]; CSIC Plataforma Tematica Interdisciplinar de Teledeteccion (PTI-Teledetect); Spanish Ministry of Education [FPU18/06107]; AGAUR-Generalitat de Catalunya (FEDER), Spain; la Caixa Foundation [100010434, LCF/BQ/DI18/11660050]; European Union [713673]</t>
  </si>
  <si>
    <t>2017 ESA S3 challenge and Copernicus Masters overall winner award (FSSCat project); project SPOT: Sensing with Pioneering Opportunistic Techniques; Unidad de Excelencia Maria de Maeztu(Spanish Government); Spanish Ministry of Science and Innovation(Spanish Government); Centro de Excelencia Severo Ochoa; CSIC Plataforma Tematica Interdisciplinar de Teledeteccion (PTI-Teledetect); Spanish Ministry of Education(Spanish Government); AGAUR-Generalitat de Catalunya (FEDER), Spain; la Caixa Foundation(La Caixa Foundation); European Union(European Union (EU))</t>
  </si>
  <si>
    <t>This work was supported by 2017 ESA S3 challenge and Copernicus Masters overall winner award (FSSCat project). this work has been (partially) sponsored by project SPOT: Sensing with Pioneering Opportunistic Techniques grant RTI2018-099008-B-C21/AEI/10.13039/501100011033, and by the Unidad de Excelencia Maria de Maeztu MDM-2016-0600. This work has also been (partially) sponsored by the Spanish Ministry of Science and Innovation through the project ESP2017-89463-C3, and by the Centro de Excelencia Severo Ochoa (CEX2019-000928-S), and by the CSIC Plataforma Tematica Interdisciplinar de Teledeteccion (PTI-Teledetect). David Llaveria receives support from a FPU fellowship from the Spanish Ministry of Education FPU18/06107.; Joan Francesc Munoz-Martin receives support from the grant for recruitment of early stage research staff FI-DGR 2018 of the AGAUR-Generalitat de Catalunya (FEDER), Spain; C.H. receives support of a fellowship from la Caixa Foundation (ID 100010434) with the fellowship code LCF/BQ/DI18/11660050, and funding from the European Union's Horizon 2020 research and innovation programme under the Marie Sklodowska-Curie grant agreement No. 713673.</t>
  </si>
  <si>
    <t>10.3390/rs13061139</t>
  </si>
  <si>
    <t>SE3AV</t>
  </si>
  <si>
    <t>WOS:000651944600001</t>
  </si>
  <si>
    <t>Santamaría-del-Angel, E; Cañon-Páez, ML; Sebastiá-Frasquet, MT; González-Silvera, A; Gutierrez, AL; Aguilar-Maldonado, JA; López-Calderón, J; Camacho-Ibar, V; Franco-Herrera, A; Castillo-Ramírez, A</t>
  </si>
  <si>
    <t>Santamaria-del-Angel, Eduardo; Canon-Paez, Mary-Luz; Sebastia-Frasquet, Maria-Teresa; Gonzalez-Silvera, Adriana; Gutierrez, Angelica-L.; Aguilar-Maldonado, Jesus-A.; Lopez-Calderon, Jorge; Camacho-Ibar, Victor; Franco-Herrera, Andres; Castillo-Ramirez, Alejandra</t>
  </si>
  <si>
    <t>Interannual Climate Variability in the West Antarctic Peninsula under Austral Summer Conditions</t>
  </si>
  <si>
    <t>climate variability; West Antarctic Peninsula (WAP); SST; multi-sensor LAC imagery; five-year warm cycle; Southern Annular Mode (SAM); Antarctic Oscillation (AAO); Southern Oscillation Index (SOI); WAP marine ecoregions; Group on Earth Observations (GEO)</t>
  </si>
  <si>
    <t>SEA-SURFACE TEMPERATURE; SOUTHERN ANNULAR MODE; CIRCUMPOLAR CURRENT; DRAKE PASSAGE; ENSO; OZONE; CHLOROPHYLL; CALIFORNIA; COASTAL; FRONTS</t>
  </si>
  <si>
    <t>This study aimed to describe the interannual climate variability in the West Antarctic Peninsula (WAP) under austral summer conditions. Time series of January sea-surface temperature (SST) at 1 km spatial resolution from satellite-based multi-sensor data from Moderate Resolution Imaging Spectrometer (MODIS) Terra, MODIS Aqua, and Visible Infrared Imager Radiometer Suite (VIIRS) were compiled between 2001 and 2020 at localities near the Gerlache Strait and the Carlini, Palmer, and Rothera research stations. The results revealed a well-marked spatial-temporal variability in SST at the WAP, with a one-year warm episode followed by a five-year cold episode. Warm waters (SST &gt; 0 degrees C) reach the coast during warm episodes but remain far from the shore during cold episodes. This behavior of warm waters may be related to the regional variability of the Antarctic Circumpolar Current, particularly when the South Polar Front (carrying warm waters) reaches the WAP coast. The WAP can be divided into two zones representing two distinct ecoregions: the northern zone (including the Carlini and Gerlache stations) corresponds to the South Shetland Islands ecoregion, and the southern zone (including the Palmer and Rothera stations) corresponds to the Antarctic Peninsula ecoregion. The Gerlache Strait is likely situated on the border between the two ecoregions but under a greater influence of the northern zone. Our data showed that the Southern Annular Mode (SAM) is the primary driver of SST variability, while the El Nino Southern Oscillation (ENSO) plays a secondary role. However, further studies are needed to better understand regional climate variability in the WAP and its relation with SAM and ENSO; such studies should use an index that adequately describes the ENSO in these latitudes and addresses the limitations of the databases used for this purpose. Multi-sensor data are useful in describing the complex climate variability resulting from the combination of local and regional processes that elicit different responses across the WAP. It is also essential to continue improving SST approximations at high latitudes.</t>
  </si>
  <si>
    <t>[Santamaria-del-Angel, Eduardo; Canon-Paez, Mary-Luz; Gonzalez-Silvera, Adriana; Lopez-Calderon, Jorge; Castillo-Ramirez, Alejandra] Univ Autonoma Baja California, Fac Ciencias Marinas, Ensenada 22860, Baja California, Mexico; [Canon-Paez, Mary-Luz; Castillo-Ramirez, Alejandra] Univ Autonoma Baja California, Fac Ciencias Marinas, Programa Doctorado Oceanog Costera, Ensenada 22860, Baja California, Mexico; [Canon-Paez, Mary-Luz] Ctr Invest Oceanog &amp; Hidrograf, Direcc Gen Maritima, Cartagena 13001, Colombia; [Sebastia-Frasquet, Maria-Teresa; Aguilar-Maldonado, Jesus-A.] Univ Politecn Valencia, Inst Invest Gest Integrada Zonas Costeras, Gandia 46730, Spain; [Gutierrez, Angelica-L.] Natl Ocean &amp; Atmospher Adm NOAA, Off Water Predict, Silver Spring, MD 20910 USA; [Camacho-Ibar, Victor] Univ Autonoma Baja California, Inst Invest Oceanol, Ensenada 22860, Baja California, Mexico; [Franco-Herrera, Andres] Univ Jorge Tadeo Lozano, Area Acad Ciencias Biol &amp; Ambient, Bogota 110311, Colombia</t>
  </si>
  <si>
    <t>Universidad Autonoma de Baja California; Universidad Autonoma de Baja California; Universitat Politecnica de Valencia; National Oceanic Atmospheric Admin (NOAA) - USA; Universidad Autonoma de Baja California</t>
  </si>
  <si>
    <t>Santamaría-del-Angel, E (corresponding author), Univ Autonoma Baja California, Fac Ciencias Marinas, Ensenada 22860, Baja California, Mexico.</t>
  </si>
  <si>
    <t>santamaria@uabc.edu.mx; mary.canon@uabc.edu.mx; mtsebastia@hma.upv.es; adriana.gonzalez@uabc.edu.mx; angelica.gutierrez@noaa.gov; jeagmal@upv.es; jorge.lopez67@uabc.edu.mx; vcamacho@uabc.edu.mx; andres.franco@utadeo.edu.co; alejandra.castillo@uabc.edu.mx</t>
  </si>
  <si>
    <t>Gonzalez-Silvera, Adriana/F-7923-2018; Santamaria-del-Ángel, Eduardo/S-1630-2017; Calderon, Jorge Manuel Lopez/X-4289-2019; Sebastiá, Maite/IVH-2876-2023; Franco Herrera, Andrés/HJB-3375-2022; Aguilar Maldonado, Jesus Antonio/E-9248-2019; SEBASTIA-FRASQUET, MARIA-TERESA/B-7829-2014</t>
  </si>
  <si>
    <t>Gonzalez-Silvera, Adriana/0000-0001-7817-5343; Santamaria-del-Ángel, Eduardo/0000-0002-1882-7714; Calderon, Jorge Manuel Lopez/0000-0002-2517-7086; Franco Herrera, Andrés/0000-0002-9809-8151; Aguilar Maldonado, Jesus Antonio/0000-0001-9312-5336; Castillo Ramirez, Alejandra de Jesus/0000-0001-9592-035X; Camacho-Ibar, Victor/0000-0003-2424-1979; SEBASTIA-FRASQUET, MARIA-TERESA/0000-0002-8042-5628; Canon Paez, Mary Luz/0000-0002-8144-8987</t>
  </si>
  <si>
    <t>Universidad Autonoma de Baja California; AmeriGEOSS; CONACYT [CB-2012-01/179753]</t>
  </si>
  <si>
    <t>Universidad Autonoma de Baja California; AmeriGEOSS; CONACYT(Consejo Nacional de Ciencia y Tecnologia (CONACyT))</t>
  </si>
  <si>
    <t>This work was supported by the Universidad Autonoma de Baja California, AmeriGEOSS, and the CONACYT's project number CB-2012-01/179753.</t>
  </si>
  <si>
    <t>10.3390/rs13061122</t>
  </si>
  <si>
    <t>SE2ZG</t>
  </si>
  <si>
    <t>WOS:000651940500001</t>
  </si>
  <si>
    <t>Wang, J; Nie, GG; Gao, SJ; Wu, SG; Li, HY; Ren, XB</t>
  </si>
  <si>
    <t>Wang, Jing; Nie, Guigen; Gao, Shengjun; Wu, Shuguang; Li, Haiyang; Ren, Xiaobing</t>
  </si>
  <si>
    <t>Landslide Deformation Prediction Based on a GNSS Time Series Analysis and Recurrent Neural Network Model</t>
  </si>
  <si>
    <t>GNSS time series analysis; landslide displacement prediction; attention mechanism; deep learning</t>
  </si>
  <si>
    <t>STEP-LIKE LANDSLIDE; DISPLACEMENT PREDICTION; ALGORITHMS</t>
  </si>
  <si>
    <t>The prediction of landslide displacement is a challenging and essential task. It is thus very important to choose a suitable displacement prediction model. This paper develops a novel Attention Mechanism with Long Short Time Memory Neural Network (AMLSTM NN) model based on Complete Ensemble Empirical Mode Decomposition with Adaptive Noise (CEEMDAN) landslide displacement prediction. The CEEMDAN method is implemented to ingest landslide Global Navigation Satellite System (GNSS) time series. The AMLSTM algorithm is then used to realize prediction work, jointly with multiple impact factors. The Baishuihe landslide is adopted to illustrate the capabilities of the model. The results show that the CEEMDAN-AMLSTM model achieves competitive accuracy and has significant potential for landslide displacement prediction.</t>
  </si>
  <si>
    <t>[Wang, Jing; Nie, Guigen; Wu, Shuguang; Li, Haiyang; Ren, Xiaobing] Wuhan Univ, GNSS Res Ctr, Wuhan 430079, Peoples R China; [Nie, Guigen] Collaborat Innovat Ctr Geospatial Informat Techno, Wuhan 430072, Peoples R China; [Gao, Shengjun] Chinese Antarctic Ctr Surveying &amp; Mapping, Wuhan 430079, Peoples R China</t>
  </si>
  <si>
    <t>Nie, GG (corresponding author), Wuhan Univ, GNSS Res Ctr, Wuhan 430079, Peoples R China.;Nie, GG (corresponding author), Collaborat Innovat Ctr Geospatial Informat Techno, Wuhan 430072, Peoples R China.</t>
  </si>
  <si>
    <t>jingwangwhu@whu.edu.cn; ggnie@whu.edu.cn; sjgao@whu.edu.cn; shgwu@whu.edu.cn; haiyangli@whu.edu.cn; xiaobinren@whu.edu.cn</t>
  </si>
  <si>
    <t>ren, xiaobing/KGL-2266-2024; liu, qi/KFA-4047-2024; lin, yuan/JXL-9592-2024</t>
  </si>
  <si>
    <t>Wu, Shuguang/0000-0001-8099-6669; Nie, Guigen/0000-0003-1271-7968</t>
  </si>
  <si>
    <t>National Key Research and Development Scheme Strategic International Cooperation in Science and Technology Innovation Program [2018YFE0206500]; National Program on Key Basic Research Project (973 Program) [2013CB733205]</t>
  </si>
  <si>
    <t>National Key Research and Development Scheme Strategic International Cooperation in Science and Technology Innovation Program; National Program on Key Basic Research Project (973 Program)(National Basic Research Program of China)</t>
  </si>
  <si>
    <t>This study was financially supported by the National Key Research and Development Scheme Strategic International Cooperation in Science and Technology Innovation Program, grant number: 2018YFE0206500. National Program on Key Basic Research Project (973 Program), grant number: 2013CB733205.</t>
  </si>
  <si>
    <t>10.3390/rs13061055</t>
  </si>
  <si>
    <t>SE3WA</t>
  </si>
  <si>
    <t>WOS:000651999700001</t>
  </si>
  <si>
    <t>Krasheninnikova, SB; Demidov, AN; Ivanov, AA</t>
  </si>
  <si>
    <t>Krasheninnikova, S. B.; Demidov, A. N.; Ivanov, A. A.</t>
  </si>
  <si>
    <t>Variability of the Characteristics of the Antarctic Bottom Water in the Subtropical North Atlantic</t>
  </si>
  <si>
    <t>mass transport; intra-annual variability; interannual variability; long-term trends; oceanic reanalyses; RAPID; sections; water mass; Antarctic Bottom Water</t>
  </si>
  <si>
    <t>INTERMEDIATE; OCEAN</t>
  </si>
  <si>
    <t>In this study, we estimated the transport and potential temperature of the Antarctic Bottom Water (AABW) and its variability on intra-annual, interannual, and decadal scales based on eight reanalyses and direct measurements at 26 degrees N in the subtropical North Atlantic. The GLORYS2v4 and GLORYS12v1 reanalyses were selected, which give the closest results of the estimates for average AABW transport, calculated below 5000 m, and their variability with RAPID. It was revealed that the seasonal cycle of AABW transport for 2004-2015 is described by superposition of the annual and semiannual harmonics of similar to 80% with an amplitude of similar to 0.4 Sv, with maxima in April and October, and minima in February and July. The intra-annual temperature cycle is described by the annual harmonic, the contribution of which is more than 70% of the total variability, with a maximum in spring and minimum in autumn, and an amplitude of similar to 0.003 degrees C. The study highlights the characteristic periods of variability in the transport and potential temperature of AABW of 12 and 6 years, with maxima in 2009 and 2014 and minima in 2006 and 2011 based on the ORAS5 and GLORYS2v4 reanalyses and RAPID estimates. The amplitude of interannual fluctuations in the transport and potential temperature of AABW according to the ORAS5, GLORYS2v4, and GLORYS12v1 reanalyses is similar to 0.6 Sv and similar to 0.01 degrees C, respectively. Analysis of the long-term trends in average annual AABW transport showed an increase of 0.2 Sv based on the reanalyses and RAPID data with a slight decrease in temperature (-0.04 degrees C) for 2004-2015.</t>
  </si>
  <si>
    <t>[Krasheninnikova, S. B.] Russian Acad Sci IBSS RAS, Kovalevsky Inst Biol Southern Seas, Sevastopol, Russia; [Demidov, A. N.; Ivanov, A. A.] Moscow State Univ MSU, Fac Geog, Moscow, Russia</t>
  </si>
  <si>
    <t>Russian Academy of Sciences; AO Kovalevsky Institute of Biology of the Southern Seas of RAS (IBSS)</t>
  </si>
  <si>
    <t>Krasheninnikova, SB (corresponding author), Russian Acad Sci IBSS RAS, Kovalevsky Inst Biol Southern Seas, Sevastopol, Russia.</t>
  </si>
  <si>
    <t>svetlanabk@mail.ru</t>
  </si>
  <si>
    <t>Krasheninnikova, Svetlana/AAR-8724-2020; Ivanov, Aleksandr A/S-3116-2017</t>
  </si>
  <si>
    <t>Krasheninnikova, Svetlana/0000-0003-0777-233X</t>
  </si>
  <si>
    <t>Russian Science Foundation [19-17-00110]; state task of IBSS RAS (topic Functional, Metabolic, and Toxicological Aspects of the Existence of Hydrobionts and Their Populations in Biotopes with Different Physicochemical Regimes [AAAA-A18-118021490093-4]; Moscow State University [AAAA-A16-116032810091-8]; Russian Science Foundation [19-17-00110] Funding Source: Russian Science Foundation</t>
  </si>
  <si>
    <t>Russian Science Foundation(Russian Science Foundation (RSF)); state task of IBSS RAS (topic Functional, Metabolic, and Toxicological Aspects of the Existence of Hydrobionts and Their Populations in Biotopes with Different Physicochemical Regimes; Moscow State University; Russian Science Foundation(Russian Science Foundation (RSF))</t>
  </si>
  <si>
    <t>The study was carried out under the state task of IBSS RAS (topic Functional, Metabolic, and Toxicological Aspects of the Existence of Hydrobionts and Their Populations in Biotopes with Different Physicochemical Regimes (AAAA-A18-118021490093-4)) and Moscow State University (topic Changes of the Dynamics and Structure of Ocean and Seas of Russia (AAAA-A16-116032810091-8)), as well as with the financial support of the Russian Science Foundation (project nos. 19-17-00110).</t>
  </si>
  <si>
    <t>10.1134/S0001437021020090</t>
  </si>
  <si>
    <t>RX0XA</t>
  </si>
  <si>
    <t>WOS:000646943500001</t>
  </si>
  <si>
    <t>Pinat, E; Defraigne, P; Bergeot, N; Chevalier, JM; Bertrand, B</t>
  </si>
  <si>
    <t>Pinat, Elisa; Defraigne, Pascale; Bergeot, Nicolas; Chevalier, Jean-Marie; Bertrand, Bruno</t>
  </si>
  <si>
    <t>Long-Term Snow Height Variations in Antarctica from GNSS Interferometric Reflectometry</t>
  </si>
  <si>
    <t>GNSS-IR; Antarctica; snow accumulation</t>
  </si>
  <si>
    <t>ACCUMULATION; SURFACE; GLACIER</t>
  </si>
  <si>
    <t>Acquiring reliable estimates of the Antarctic Ice Sheet surface mass balance is essential for trustworthy predictions of its evolution and future contribution to sea level rise. Snow height variations, i.e., the net change of the surface elevation resulting from a combination of surface processes such as snowfall, ablation, and wind redistribution, can provide a unique tool to constrain the uncertainty on mass budget estimations. In this study, GNSS Interferometric Reflectometry (GNSS-IR) is exploited to assess the long-term variations of snow accumulation and ablation processes. Eight antennas belonging to the Polar Earth Observing Network (POLENET) network are considered, together with the ROB1 antenna, deployed in the east part of Antarctica by the Royal Observatory of Belgium. For ROB1, which is located on an ice rise, we highlight an annual variation of snow accumulation in April-May (similar to 30-50 cm) and ablation during spring/summer period. A snow surface elevation velocity of +0.08 +/- 0.01 ma(-1) is observed in the 2013-2016 period, statistically rejecting the no trend null hypothesis. As the POLENET stations are all located on moving glaciers, their associated downhill motion must be corrected for using an elevation model. This induces an increased uncertainty on the snow surface elevation change determined from GNSS-IR. Among the eight stations analyzed, only three of them show a long-term snow height variation larger than the uncertainties. One is located on the Flask Galcier in the Antarctic Peninsula, with a decrease of more than 4 m between 2012 and 2014, with an uncertainty of 2.5 m. The second one is located on the Lower Thwaites Glacier where we observe, between 2010 and 2020, a snow surface drop of 10 m, with a conservative uncertainty of 1 m. The third station, located on the West Antarctic Ice Sheet (WAIS) divide, shows on the opposite an upward motion from 2005 to 2019, of 1.2 m with an uncertainty of 0.4 m. The snow surface change of the other POLENET stations analyzed is smaller than the uncertainty associated with the glacier slope.</t>
  </si>
  <si>
    <t>[Pinat, Elisa; Defraigne, Pascale; Bergeot, Nicolas; Chevalier, Jean-Marie; Bertrand, Bruno] Royal Observ Belgium, B-1180 Brussels, Belgium; [Bergeot, Nicolas; Chevalier, Jean-Marie] Solar Terr Ctr Excellence, B-1180 Brussels, Belgium</t>
  </si>
  <si>
    <t>Pinat, E (corresponding author), Royal Observ Belgium, B-1180 Brussels, Belgium.</t>
  </si>
  <si>
    <t>elisa.pinat@oma.be; pascale.defraigne@oma.be; nicolas.bergeot@oma.be; jean-marie.chevalier@oma.be; bruno.bertrand@oma.be</t>
  </si>
  <si>
    <t>Defraigne, Pascale/AAA-7642-2021</t>
  </si>
  <si>
    <t>Defraigne, Pascale/0000-0001-7780-8540; Chevalier, Jean-Marie/0000-0002-1760-0358</t>
  </si>
  <si>
    <t>Polar Geospatial Center under NSF-OPP [1043681, 1559691, 1542736]; POLENET Consortium; Belgian Science Policy Office project ICECON</t>
  </si>
  <si>
    <t>Polar Geospatial Center under NSF-OPP; POLENET Consortium; Belgian Science Policy Office project ICECON</t>
  </si>
  <si>
    <t>Authors would like to acknowledge the geospatial support and DEMs for this work provided by the Polar Geospatial Center under NSF-OPP awards 1043681, 1559691, and 1542736; the POLENET Consortium and the Belgian Science Policy Office project ICECON.</t>
  </si>
  <si>
    <t>10.3390/rs13061164</t>
  </si>
  <si>
    <t>SE2VF</t>
  </si>
  <si>
    <t>WOS:000651930000001</t>
  </si>
  <si>
    <t>Gu, MY; Wang, ZM; Wei, JF; Yu, XY</t>
  </si>
  <si>
    <t>Gu, Mingyi; Wang, Zhaomin; Wei, Jianfen; Yu, Xiaoyong</t>
  </si>
  <si>
    <t>An assessment of Arctic cloud water paths in atmospheric reanalyses</t>
  </si>
  <si>
    <t>ACTA OCEANOLOGICA SINICA</t>
  </si>
  <si>
    <t>Arctic; clouds; cloud water paths (CWPs); reanalysis evaluation</t>
  </si>
  <si>
    <t>GENERAL-CIRCULATION MODEL; RADIATIVE PROPERTIES; OPTICAL-PROPERTIES; PARAMETERIZATION; ICE; CONVECTION; EVOLUTION; FRACTION; FLUXES; SEA</t>
  </si>
  <si>
    <t>The role of Arctic clouds in the recent rapid Arctic warming has attracted much attention. However, Arctic cloud water paths (CWPs) from reanalysis datasets have not been well evaluated. This study evaluated the CWPs as well as LWPs (cloud liquid water paths) and IWPs (cloud ice water paths) from five reanalysis datasets (MERRA-2, MERRA, ERA-Interim, JRA-55, and ERA5) against the COSP (Cloud Feedback Model Intercomparison Project Observations Simulator Package) output for MODIS from the MERRA-2 CSP (COSP satellite simulator) collection (defined as M2Modis in short). Averaged over 1980-2015 and over the Arctic region (north of 60 degrees N), the mean CWPs of these five datasets range from 49.5 g/m(2) (MERRA) to 82.7 g/m(2) (ERA-Interim), much smaller than that from M2Modis (140.0 g/m(2)). However, the spatial distributions of CWPs, show similar patterns among these reanalyses, with relatively small values over Greenland and large values over the North Atlantic. Consistent with M2Modis, these reanalyses show larger LWPs than IWPs, except for ERA-Interim. However, MERRA-2 and MERRA underestimate the ratio of IWPs to CWPs over the entire Arctic, while ERA-Interim and JRA-55 overestimate this ratio. ERA5 shows the best performance in terms of the ratio of IWPs to CWPs. All datasets exhibit larger CWPs and LWPs in summer than in winter. For M2Modis, IWPs hold seasonal variation similar with LWPs over the land but opposite over the ocean. Following the Arctic warming, the trends in LWPs and IWPs during 1980-2015 show that LWPs increase and IWPs decrease across all datasets, although not statistically significant. Correlation analysis suggests that all datasets have similar interannual variability. The study further found that the inclusion of re-evaporation processes increases the humidity in the atmosphere over the land and that a more realistic liquid/ice phase can be obtained by independently treating the liquid and ice water contents.</t>
  </si>
  <si>
    <t>[Gu, Mingyi] Nanjing Univ Informat Sci &amp; Technol, Sch Atmospher Sci, Nanjing 210044, Peoples R China; [Wang, Zhaomin] Hohai Univ, Coll Oceanog, Nanjing 210098, Peoples R China; [Wei, Jianfen] Nanjing Univ Informat Sci &amp; Technol, Sch Environm Sci &amp; Engn, Nanjing 210044, Peoples R China; [Wei, Jianfen] Nanjing Univ Informat Sci &amp; Technol, Inst Climate &amp; Applicat Res ICAR, Nanjing 210044, Peoples R China; [Yu, Xiaoyong] Nanjing Univ Informat Sci &amp; Technol, Sch Marine Sci, Nanjing 210044, Peoples R China; [Wang, Zhaomin; Yu, Xiaoyong] Southern Marine Sci &amp; Engn Guangdong Lab Zhuhai, Zhuhai 519082, Peoples R China</t>
  </si>
  <si>
    <t>Nanjing University of Information Science &amp; Technology; Hohai University; Nanjing University of Information Science &amp; Technology; Nanjing University of Information Science &amp; Technology; Nanjing University of Information Science &amp; Technology; Southern Marine Science &amp; Engineering Guangdong Laboratory; Southern Marine Science &amp; Engineering Guangdong Laboratory (Zhuhai)</t>
  </si>
  <si>
    <t>Wang, ZM (corresponding author), Hohai Univ, Coll Oceanog, Nanjing 210098, Peoples R China.;Wang, ZM (corresponding author), Southern Marine Sci &amp; Engn Guangdong Lab Zhuhai, Zhuhai 519082, Peoples R China.</t>
  </si>
  <si>
    <t>zhaomin.wang@hhu.edu.cn</t>
  </si>
  <si>
    <t>Wei, Jianfen/0000-0001-8655-2970</t>
  </si>
  <si>
    <t>National Key R&amp;D Program of China [2018YFA0605904]; Global Change Research Program of China [2015CB953900]; Innovative Platform Program of Chinese Arctic and Antarctic Administration [CXPT2020009]; Program of China Scholarships Council [201908320511]</t>
  </si>
  <si>
    <t>National Key R&amp;D Program of China; Global Change Research Program of China; Innovative Platform Program of Chinese Arctic and Antarctic Administration; Program of China Scholarships Council</t>
  </si>
  <si>
    <t>The National Key R&amp;D Program of China under contract No. 2018YFA0605904; the Global Change Research Program of China under contract No. 2015CB953900; the Innovative Platform Program of Chinese Arctic and Antarctic Administration under contract No. CXPT2020009; the Program of China Scholarships Council under contract No. 201908320511.</t>
  </si>
  <si>
    <t>0253-505X</t>
  </si>
  <si>
    <t>1869-1099</t>
  </si>
  <si>
    <t>ACTA OCEANOL SIN</t>
  </si>
  <si>
    <t>Acta Oceanol. Sin.</t>
  </si>
  <si>
    <t>10.1007/s13131-021-1706-5</t>
  </si>
  <si>
    <t>RZ0LF</t>
  </si>
  <si>
    <t>WOS:000648291300005</t>
  </si>
  <si>
    <t>Sui, WY; Guo, JR; Song, J; Liu, ZL; Wang, M; Li, XB; Fu, YZ; Li, YQ; Cai, Y; Wang, LH; Li, LL; Guo, XF; Zuo, WT</t>
  </si>
  <si>
    <t>Sui, Wenyan; Guo, Junru; Song, Jun; Liu, Zhiliang; Wang, Meng; Li, Xibin; Fu, Yanzhao; Li, Yongquan; Cai, Yu; Wang, Linhui; Li, Lingli; Guo, Xiaofang; Zuo, Wenting</t>
  </si>
  <si>
    <t>The construction of high precision geostrophic currents based on new gravity models of GOCE and satellite altimetry data</t>
  </si>
  <si>
    <t>GOCE; gravity field model; mean dynamic topography; geostrophic current</t>
  </si>
  <si>
    <t>MEAN DYNAMIC TOPOGRAPHY; GLOBAL OCEAN; FIELD MODEL; SEA-SURFACE</t>
  </si>
  <si>
    <t>The new gravity field models of gravity field and steady-state ocean circulation explorer (GOCE), TIM_R6 and DIR_R6, were released by the European Space Agency (ESA) in June 2019. The sixth generation of gravity models have the highest possible signal and lowest error levels compared with other GOCE-only gravity models, and the accuracy is significantly improved. This is an opportunity to build high precision geostrophic currents. The mean dynamic topography and geostrophic currents have been calculated by the 5th (TIM_R5 and DIR_R5), 6th (TIM_R6 and DIR_R6) release of GOCE gravity field models and ITSG-Grace2018 of GRACE gravity field model in this study. By comparison with the drifter results, the optimal filtering lengths of them have been obtained (for DIR_R5, DIR_R6, TIM_R5 and TIM_R6 models are 1 degrees and for ITSG-Grace2018 model is 1.1 degrees). The filtered results show that the geostrophic currents obtained by the GOCE gravity field models can better reflect detailed characteristics of ocean currents. The total geostrophic speed based on the TIM_R6 model is similar to the result of the DIR_R6 model with standard deviation (STD) of 0.320 m/s and 0.321 m/s, respectively. The STD of the total velocities are 0.333 m/s and 0.325 m/s for DIR_R5 and TIM_R5. When compared with ITSG-Grace2018 results, the STD (0.344 m/s) of total geostrophic speeds is larger than GOCE results, and the accuracy of geostrophic currents obtained by ITSG-Grace2018 is lower. And the absolute errors are mainly distributed in the areas with faster speeds, such as the Antarctic circumpolar circulation, equatorial region, Kuroshio and Gulf Stream areas. After the remove-restore technique was applied to TIM_R6 MDT, the STD of total geostrophic speeds dropped to 0.162 m/s.</t>
  </si>
  <si>
    <t>[Sui, Wenyan; Guo, Junru; Song, Jun; Wang, Meng; Fu, Yanzhao; Li, Yongquan; Cai, Yu; Wang, Linhui; Li, Lingli; Guo, Xiaofang; Zuo, Wenting] Dalian Ocean Univ, Sch Marine Sci &amp; Environm Engn, Dalian 116023, Peoples R China; [Sui, Wenyan; Guo, Junru; Song, Jun; Wang, Meng; Fu, Yanzhao; Li, Yongquan; Cai, Yu; Wang, Linhui; Li, Lingli; Guo, Xiaofang; Zuo, Wenting] Dalian Ocean Univ, Operat Oceanog Inst, Dalian 116023, Peoples R China; [Song, Jun] Southern Marine Sci &amp; Engn Guangdong Lab Guangzho, Guangzhou 511458, Peoples R China; [Liu, Zhiliang] Hebei Normal Univ Sci &amp; Technol, Inst Marine Sci, Qinhuangdao 066600, Hebei, Peoples R China; [Li, Xibin] Minist Nat Resources, Tianjin Marine Environm Monitoring Cent Stn, Tianjin 300457, Peoples R China</t>
  </si>
  <si>
    <t>Dalian Ocean University; Dalian Ocean University; Hong Kong Branch of the Southern Marine Science &amp; Engineering Guangdong Laboratory (Guangzhou); Hebei Normal University of Science &amp; Technology; Ministry of Natural Resources of the People's Republic of China</t>
  </si>
  <si>
    <t>Song, J (corresponding author), Dalian Ocean Univ, Sch Marine Sci &amp; Environm Engn, Dalian 116023, Peoples R China.;Song, J (corresponding author), Dalian Ocean Univ, Operat Oceanog Inst, Dalian 116023, Peoples R China.;Song, J (corresponding author), Southern Marine Sci &amp; Engn Guangdong Lab Guangzho, Guangzhou 511458, Peoples R China.</t>
  </si>
  <si>
    <t>songjun2017@dlou.edu.cn</t>
  </si>
  <si>
    <t>wang, lili/HDL-7210-2022; wang, lin/HZK-4145-2023; Li, Lingli/HIR-7951-2022; Li, Lingli/IST-7827-2023; wang, lili/HZJ-5080-2023; LIN, WANG/JWA-3182-2024</t>
  </si>
  <si>
    <t>Open Fund of Key Laboratory of Marine Environmental Information Technology; Open Foundation of Technology Innovation Center for Marine Information, Ministry of Natural Resources; Liao Ning Revitalization Talents Program [XLYC1807161]; Dalian High-level Talents Innovation Support Plan [2017RQ063]; National Natural Science Foundation of China [41206013, 41430963]; Scientific Research Project of Liaoning Province Department of Education [QL201905]; Projects of Institute of Marine Industry Technology of Liaoning Universities; Key R&amp;D Program of Liaoning Province [2019JH2/10200015]; Key Special Project for Introduced Talents Team of Southern Marine Science and Engineering Guangdong Laboratory (Guangzhou) [GML2019ZD0402]; Shandong Provincial Key Research and Development Program (SPKRDP) [2019JZZY020713]</t>
  </si>
  <si>
    <t>Open Fund of Key Laboratory of Marine Environmental Information Technology; Open Foundation of Technology Innovation Center for Marine Information, Ministry of Natural Resources; Liao Ning Revitalization Talents Program; Dalian High-level Talents Innovation Support Plan; National Natural Science Foundation of China(National Natural Science Foundation of China (NSFC)); Scientific Research Project of Liaoning Province Department of Education; Projects of Institute of Marine Industry Technology of Liaoning Universities; Key R&amp;D Program of Liaoning Province; Key Special Project for Introduced Talents Team of Southern Marine Science and Engineering Guangdong Laboratory (Guangzhou); Shandong Provincial Key Research and Development Program (SPKRDP)</t>
  </si>
  <si>
    <t>The Open Fund of Key Laboratory of Marine Environmental Information Technology; the Open Foundation of Technology Innovation Center for Marine Information, Ministry of Natural Resources; the Liao Ning Revitalization Talents Program under contract No. XLYC1807161; the Dalian High-level Talents Innovation Support Plan under contract No. 2017RQ063; the National Natural Science Foundation of China under contract Nos 41206013 and 41430963; the Scientific Research Project of Liaoning Province Department of Education under contract No. QL201905; the Projects of Institute of Marine Industry Technology of Liaoning Universities; the grant from Key R&amp;D Program of Liaoning Province under contract No. 2019JH2/10200015; the Key Special Project for Introduced Talents Team of Southern Marine Science and Engineering Guangdong Laboratory (Guangzhou) under contract No. GML2019ZD0402; the Shandong Provincial Key Research and Development Program (SPKR&amp;DP) under contract No. 2019JZZY020713.</t>
  </si>
  <si>
    <t>10.1007/s13131-021-1707-4</t>
  </si>
  <si>
    <t>WOS:000648291300013</t>
  </si>
  <si>
    <t>Jia, BW; Hou, SG; Wang, YT</t>
  </si>
  <si>
    <t>Jia, Bowen; Hou, Shugui; Wang, Yetang</t>
  </si>
  <si>
    <t>A Surging Glacier Recognized by Remote Sensing on the Zangser Kangri Ice Field, Central Tibetan Plateau</t>
  </si>
  <si>
    <t>glacier surge; Tibetan Plateau; remote sensing; mass balance</t>
  </si>
  <si>
    <t>MASS-BALANCE; TANDEM-X; VOLUME CHANGE; AREA CHANGES; KUNLUN SHAN; SRTM DEM; KARAKORAM; MOUNTAIN; FLOW; SVALBARD</t>
  </si>
  <si>
    <t>A glacier surge, which is quasi-periodic and involves rapid flow, is an abnormal glacier motion. Although some glaciers have been found to be surging, little is known about surging glaciers on the Tibetan Plateau (TP), especially the Central and Northern TP. Here, we found a surging glacier (GLIMS ID: G085885E34389N) on the Zangser Kangri ice field (ZK), Central TP, by means of the digital elevation models (DEMs) from the Shuttle Radar Topography Mission (SRTM), TanDEM-X 90 m, Advanced Spaceborne Thermal Emission and Reflection Radiometer (ASTER) DEMs, and High Mountain Asia 8-m DEM (HMA), combined with Landsat images and the Global Land Ice Velocity Extraction from Landsat 8 (GoLIVE) dataset. This surge event was confirmed by the crevasses, shear margin, and visible advancing snout shown in the Landsat images produced since 2014 and the HMA. The inter-comparison of these DEMs and the surface velocity changes showed that the surge event started between October 2012 and January 2014. The glacier may have also surged in the 1970s, based on a comparison between the topographical map and Landsat images. The glacier mass balance here has been slightly positive from 1999 onward (+0.03 +/- 0.06 m w.e.a(-1) from 1999 to 2015, +0.02 +/- 0.07 m w.e.a(-1) from 1999 to December 2011), which may indicate that the ZK is located on the southern edge of the mass balance anomaly on the TP. Combining with other surging glaciers on the Central and Northern TP, the relatively balanced mass condition, large size, and shallow slope can be associated with glacier surges on the Central and Northern TP.</t>
  </si>
  <si>
    <t>[Jia, Bowen; Hou, Shugui] Nanjing Univ, Minist Educ, Key Lab Coastal &amp; Isl Dev, Sch Geog &amp; Ocean Sci, Nanjing 210023, Peoples R China; [Hou, Shugui] Shanghai Jiao Tong Univ, Sch Oceanog, Shanghai 200240, Peoples R China; [Wang, Yetang] Shandong Normal Univ, Coll Geog &amp; Environm, Jinan 250014, Peoples R China</t>
  </si>
  <si>
    <t>Nanjing University; Shanghai Jiao Tong University; Shandong Normal University</t>
  </si>
  <si>
    <t>Hou, SG (corresponding author), Nanjing Univ, Minist Educ, Key Lab Coastal &amp; Isl Dev, Sch Geog &amp; Ocean Sci, Nanjing 210023, Peoples R China.;Hou, SG (corresponding author), Shanghai Jiao Tong Univ, Sch Oceanog, Shanghai 200240, Peoples R China.</t>
  </si>
  <si>
    <t>jiabowen@smail.nju.edu.cn; shugui@nju.edu.cn; yetangwang@sdnu.edu.cn</t>
  </si>
  <si>
    <t>shuqian, liu/CAF-5267-2022</t>
  </si>
  <si>
    <t>Hou, Shugui/0000-0002-0905-3542</t>
  </si>
  <si>
    <t>Natural Science Foundation of China [41830644, 91837102]; 333 Project of Jiangsu Province [BRA2020030]; Chinese Arctic and Antarctic Administration [CXPT2020012]</t>
  </si>
  <si>
    <t>Natural Science Foundation of China(National Natural Science Foundation of China (NSFC)); 333 Project of Jiangsu Province(Natural Science Foundation of Jiangsu Province); Chinese Arctic and Antarctic Administration</t>
  </si>
  <si>
    <t>This research was funded by the Natural Science Foundation of China (grant number 41830644 and 91837102), the 333 Project of Jiangsu Province (grant number BRA2020030), and the Chinese Arctic and Antarctic Administration (grant number CXPT2020012).</t>
  </si>
  <si>
    <t>10.3390/rs13061220</t>
  </si>
  <si>
    <t>SE3QL</t>
  </si>
  <si>
    <t>WOS:000651985200001</t>
  </si>
  <si>
    <t>Wang, YK; Milinevsky, G; Evtushevsky, O; Klekociuk, A; Han, W; Grytsai, A; Antyufeyev, O; Shi, Y; Ivaniha, O; Shulga, V</t>
  </si>
  <si>
    <t>Wang, Yuke; Milinevsky, Gennadi; Evtushevsky, Oleksandr; Klekociuk, Andrew; Han, Wei; Grytsai, Asen; Antyufeyev, Oleksandr; Shi, Yu; Ivaniha, Oksana; Shulga, Valerii</t>
  </si>
  <si>
    <t>Planetary Wave Spectrum in the Stratosphere-Mesosphere during Sudden Stratospheric Warming 2018</t>
  </si>
  <si>
    <t>planetary wave; mesosphere; stratosphere; major sudden stratospheric warming; microwave radiometer; carbon monoxide; wavelet power spectra</t>
  </si>
  <si>
    <t>MIDLATITUDE MESOSPHERE; LOWER THERMOSPHERE; EVENTS; PROPAGATION; MIDDLE</t>
  </si>
  <si>
    <t>The planetary wave activity in the stratosphere-mesosphere during the Arctic major Sudden Stratospheric Warming (SSW) in February 2018 is discussed on the basis of microwave radiometer (MWR) measurements of carbon monoxide (CO) above Kharkiv, Ukraine (50.0 degrees N, 36.3 degrees E) and the Aura Microwave Limb Sounder (MLS) measurements of CO, temperature and geopotential heights. From the MLS data, eastward and westward migrations of wave 1/wave 2 spectral components were differentiated, to which less attention was paid in previous studies. Abrupt changes in zonal wave spectra occurred with the zonal wind reversal near 10 February 2018. Eastward wave 1 and wave 2 were observed before the SSW onset and disappeared during the SSW event, when westward wave 1 became dominant. Wavelet power spectra of mesospheric CO variations showed statistically significant periods of 20-30 days using both MWR and MLS data. Although westward wave 1 in the mesosphere dominated with the onset of the SSW 2018, it developed independently of stratospheric dynamics. Since the propagation of upward planetary waves was limited in the easterly zonal flow in the stratosphere during SSW, forced planetary waves in the mid-latitude mesosphere may exist due to the instability of the zonal flow.</t>
  </si>
  <si>
    <t>[Wang, Yuke; Milinevsky, Gennadi; Han, Wei; Shi, Yu; Shulga, Valerii] Jilin Univ, Coll Phys, Int Ctr Future Sci, Changchun 130012, Peoples R China; [Milinevsky, Gennadi; Evtushevsky, Oleksandr; Grytsai, Asen; Ivaniha, Oksana] Taras Shevchenko Natl Univ Kyiv, Fac Phys, UA-01601 Kiev, Ukraine; [Milinevsky, Gennadi; Ivaniha, Oksana] Natl Antarct Sci Ctr, Dept Atmosphere Phys &amp; Geospace, UA-01601 Kiev, Ukraine; [Klekociuk, Andrew] Australian Antarct Div, Antarct Climate Program, Kingston 7050, Australia; [Klekociuk, Andrew] Univ Adelaide, Dept Phys, Adelaide, SA 5005, Australia; [Antyufeyev, Oleksandr; Shulga, Valerii] Natl Acad Sci Ukraine, Inst Radio Astron, Dept Millimeter Radio Astron, UA-61002 Kharkiv, Ukraine</t>
  </si>
  <si>
    <t>Jilin University; Ministry of Education &amp; Science of Ukraine; Taras Shevchenko National University of Kyiv; Ministry of Education &amp; Science of Ukraine; State Institution National Antarctic Scientific Center; Australian Antarctic Division; University of Adelaide; National Academy of Sciences Ukraine; Institute of Radio Astronomy of the National Academy of Sciences of Ukraine</t>
  </si>
  <si>
    <t>Milinevsky, G (corresponding author), Jilin Univ, Coll Phys, Int Ctr Future Sci, Changchun 130012, Peoples R China.;Milinevsky, G (corresponding author), Taras Shevchenko Natl Univ Kyiv, Fac Phys, UA-01601 Kiev, Ukraine.;Milinevsky, G (corresponding author), Natl Antarct Sci Ctr, Dept Atmosphere Phys &amp; Geospace, UA-01601 Kiev, Ukraine.</t>
  </si>
  <si>
    <t>wangyk16@mails.jlu.edu.cn; gmilin@univ.kiev.ua; evtush@univ.kiev.ua; Andrew.Klekociuk@awe.gov.au; whan@jlu.edu.cn; antyuf@rian.kharkov.ua; assen@univ.kiev.ua; shiyu18@mails.jlu.edu.cn; OksanaIvaniha@univ.net.ua; shulga@rian.kharkov.ua</t>
  </si>
  <si>
    <t>Milinevsky, Gennadi/AAD-8801-2019; Evtushevsky, Oleksandr O.M./F-2065-2017; Grytsai, Asen/AAS-7114-2020; Han, Wei/N-7151-2018; Klekociuk, Andrew/A-4498-2015</t>
  </si>
  <si>
    <t>Milinevsky, Gennadi/0000-0002-2342-2615; Evtushevsky, Oleksandr O.M./0000-0003-0582-559X; Han, Wei/0000-0002-4830-3487; Shi, Yu/0000-0001-6972-2122; Shulga, Valery/0000-0001-6529-5610; Grytsai, Asen/0000-0002-2545-9833; Ivaniha, Oksana/0000-0003-2897-2736; Klekociuk, Andrew/0000-0003-3335-0034</t>
  </si>
  <si>
    <t>Institute of Radio Astronomy of the National Academy of Sciences of Ukraine; Taras Shevchenko National University of Kyiv [19BF051-08, 20BF051-02]; College of Physics, International Center of Future Science, Jilin University, China</t>
  </si>
  <si>
    <t>Institute of Radio Astronomy of the National Academy of Sciences of Ukraine; Taras Shevchenko National University of Kyiv; College of Physics, International Center of Future Science, Jilin University, China</t>
  </si>
  <si>
    <t>This work was supported in part by the Institute of Radio Astronomy of the National Academy of Sciences of Ukraine; by Taras Shevchenko National University of Kyiv, projects 19BF051-08 and 20BF051-02; by the College of Physics, International Center of Future Science, Jilin University, China. This work contributed to the National Antarctic Scientific Center of Ukraine research objectives, and contributed to Project 4293 of the Australian Antarctic Program. The microwave radiometer data were processed using the ARTS and Qpack software packages (http://www.radiativetransfer.org/(accessed on 15 January 2021)). The Aura Microwave Limb Sounder (MLS) measurements of zonal wind, geopotential height, air temperature and CO were obtained from https://mls.jpl.nasa.gov/data/readers.php (accessed on 15 January 2021).</t>
  </si>
  <si>
    <t>10.3390/rs13061190</t>
  </si>
  <si>
    <t>SE3QI</t>
  </si>
  <si>
    <t>WOS:000651984900001</t>
  </si>
  <si>
    <t>Liu, Y; Pang, XP; Zhao, X; Stein, A; Zhang, X; Ji, Q; Qu, M; Dong, J</t>
  </si>
  <si>
    <t>Liu, Yue; Pang, Xiaoping; Zhao, Xi; Stein, Alfred; Zhang, Xiang; Ji, Qing; Qu, Meng; Dong, Jiang</t>
  </si>
  <si>
    <t>PREDICTION OF THE ANTARCTIC MARGINAL ICE ZONE EXTENT BASED UPON ITS MULTIFRACTAL PROPERTY</t>
  </si>
  <si>
    <t>FRACTALS-COMPLEX GEOMETRY PATTERNS AND SCALING IN NATURE AND SOCIETY</t>
  </si>
  <si>
    <t>Marginal Ice Zone; Fractal Analysis; Long-Range Correlation; Prediction; Back-Propagation Algorithm</t>
  </si>
  <si>
    <t>SEA-ICE; VARIABILITY; ALGORITHMS; LONG</t>
  </si>
  <si>
    <t>The marginal ice zone (MIZ) around Antarctica is an important air-ice-ocean-wave interaction area and a crucial habitat for marine life. Given its dynamic nature, it is essential to understand and quantify both the short- and long-term changes of its extent. In this study, we investigated the MIZ extent time series using multifractal spectrum and R/S analysis, examining Antarctica as a whole and per sub-region. The MIZ extent was predicted using a back-propagation (BP) algorithm. The results show that the wide multifractal spectrum width of the MIZ extent time series has strong multifractal features for the entire Antarctic and for the five sub-regions. By comparing the spectrum width of the original time series with those of a shuffled series, we found that multifractality is related to long-range correlations in the time series. The Hurst exponent obtained using the R/S analysis indicates that the long-range correlation over six months is strongest for all time intervals. Compared to the autoregressive integrated moving average model, the mean absolute percentage error obtained using the BP algorithm was lower by 4-15%. We conclude that the BP algorithm combined with the multifractal property is well suited to predict the Antarctic MIZ extent.</t>
  </si>
  <si>
    <t>[Liu, Yue; Pang, Xiaoping; Zhao, Xi; Ji, Qing; Qu, Meng] Wuhan Univ, Chinese Antarctic Ctr Surveying &amp; Mapping, Wuhan 430079, Peoples R China; [Pang, Xiaoping; Zhao, Xi; Ji, Qing] Wuhan Univ, Key Lab Polar Surveying &amp; Mapping, Natl Adm Surveying Mapping &amp; Geoinformat, Wuhan 430079, Peoples R China; [Stein, Alfred] Univ Twente, Fac Geoinformat Sci &amp; Earth Observat ITC, Enschede, Netherlands; [Zhang, Xiang] Wuhan Univ, Sch Resource &amp; Environm Sci, Wuhan 430079, Peoples R China; [Dong, Jiang] Tianjin Hydrog Ctr, Nav Guarantee Ctr North China Sea, Tianjin 300222, Peoples R China</t>
  </si>
  <si>
    <t>Wuhan University; Wuhan University; University of Twente; Wuhan University</t>
  </si>
  <si>
    <t>Pang, XP; Zhao, X (corresponding author), Wuhan Univ, Chinese Antarctic Ctr Surveying &amp; Mapping, Wuhan 430079, Peoples R China.;Pang, XP; Zhao, X (corresponding author), Wuhan Univ, Key Lab Polar Surveying &amp; Mapping, Natl Adm Surveying Mapping &amp; Geoinformat, Wuhan 430079, Peoples R China.</t>
  </si>
  <si>
    <t>yue.liu@whu.edu.cn; pxp@whu.edu.cn; xi.zhao@whu.edu.cn; a.stein@utwente.nl; xiang.zhang@whu.edu.cn; jiqing@whu.edu.cn; mango@whu.edu.cn; d_river@sohu.com</t>
  </si>
  <si>
    <t>zhao, xi/HJY-6017-2023; Zhang, Xiangyu/ABC-2896-2021</t>
  </si>
  <si>
    <t>Zhang, Xiangyu/0000-0003-3716-4722; Zhao, Xi/0000-0003-2274-891X; Qu, Meng/0000-0002-0036-917X</t>
  </si>
  <si>
    <t>National Natural Science Foundation of China [41876223]; National Key Research and Development Program of China [2018YFC1407100]</t>
  </si>
  <si>
    <t>National Natural Science Foundation of China(National Natural Science Foundation of China (NSFC)); National Key Research and Development Program of China</t>
  </si>
  <si>
    <t>This research has been supported by the National Natural Science Foundation of China (Grant No. 41876223) and the National Key Research and Development Program of China (Grant No. 2018YFC1407100). We would like to acknowledge NASA National Snow and Ice Data Center and Goddard Space Flight Center for providing image products used in this study. We also express our sincere appreciation to editors and specialist reviewer for your instructions and helps to the study.</t>
  </si>
  <si>
    <t>WORLD SCIENTIFIC PUBL CO PTE LTD</t>
  </si>
  <si>
    <t>SINGAPORE</t>
  </si>
  <si>
    <t>5 TOH TUCK LINK, SINGAPORE 596224, SINGAPORE</t>
  </si>
  <si>
    <t>0218-348X</t>
  </si>
  <si>
    <t>1793-6543</t>
  </si>
  <si>
    <t>FRACTALS</t>
  </si>
  <si>
    <t>Fractals-Complex Geom. Patterns Scaling Nat. Soc.</t>
  </si>
  <si>
    <t>10.1142/S0218348X21500353</t>
  </si>
  <si>
    <t>Mathematics, Interdisciplinary Applications; Multidisciplinary Sciences</t>
  </si>
  <si>
    <t>Mathematics; Science &amp; Technology - Other Topics</t>
  </si>
  <si>
    <t>RP8SQ</t>
  </si>
  <si>
    <t>WOS:000641993400007</t>
  </si>
  <si>
    <t>Cheptsov, VS; Vorobyova, EA; Manucharova, NA; Gorlenko, MV; Pavlov, AK; Rozanova, MS; Lomasov, VN; Belov, AA; Chumikov, AE</t>
  </si>
  <si>
    <t>Cheptsov, V. S.; Vorobyova, E. A.; Manucharova, N. A.; Gorlenko, M., V; Pavlov, A. K.; Rozanova, M. S.; Lomasov, V. N.; Belov, A. A.; Chumikov, A. E.</t>
  </si>
  <si>
    <t>Prokaryotic Community of the Ancient Antarctic Permafrost after Irradiation with Gamma Rays under Simulated Martian Conditions</t>
  </si>
  <si>
    <t>ionizing radiation; microbial community; astrobiology; permafrost; cryoconservation; unculturable state</t>
  </si>
  <si>
    <t>IONIZING-RADIATION RESISTANCE; DRY VALLEYS; MICROORGANISMS; SOIL; MARS; POPULATIONS; BACTERIA; AGE</t>
  </si>
  <si>
    <t>Ionizing radiation is an important environmental factor affecting the dynamics of biospheric processes in the past and present, as well as limiting the spread of life outside the Earth. The effect of radiation on microorganisms has been studied for decades, but studies of the response of natural microbial ecosystems are still scarce. We have studied the effect of 100 kGy gamma irradiation under low pressure (1 Torr) and low temperature (-50 degrees C) on microbial community of the ancient Antarctic permafrost sedimentary rock. After irradiation, the total number of prokaryotic cells determined by epifluorescence microscopy, as well as the number of metabolically active bacterial and archaeal cells detected by fluorescence in situ hybridization remained at the control level, while the number of cultured heterotrophic bacteria decreased by an order of magnitude. Using the multisubstrate testing method, it has been found that the microbial complex retained a high potential metabolic activity and functional diversity after exposure to a combination of extreme physical factors. The resistance demonstrated by the microbial community significantly exceeded the generally accepted estimates of the prokaryotes' radioresistance and indicated an underestimation of the microorganisms' radioresistance in natural habitats and the important role of mineral heterophase environment and irradiation conditions (pressure, temperature). The study confirmed the potential for long-term cryopreservation of viable terrestrial-like microorganisms in the Martian regolith, as well as the possibility of transferring anabiotic life forms as a part of small bodies in the space environment.</t>
  </si>
  <si>
    <t>[Cheptsov, V. S.; Vorobyova, E. A.; Manucharova, N. A.; Gorlenko, M., V; Rozanova, M. S.; Belov, A. A.] Lomonosov Moscow State Univ, Leninskie Gory 1, Moscow 119991, Russia; [Cheptsov, V. S.; Chumikov, A. E.] Russian Acad Sci, Space Res Inst, Ul Profsoyuznaya 84-32, Moscow 117997, Russia; [Pavlov, A. K.] Russian Acad Sci, Ioffe Phys Tech Inst, Ul Polytekhnicheskaya 26, St Petersburg 194021, Russia; [Lomasov, V. N.] Peter Great St Petersburg Polytech Univ, Ul Polytekhnicheskaya 29, St Petersburg 195251, Russia</t>
  </si>
  <si>
    <t>Lomonosov Moscow State University; Russian Academy of Sciences; Space Research Institute of the Russian Academy of Sciences; Russian Academy of Sciences; St. Petersburg Scientific Centre of the Russian Academy of Sciences; Ioffe Physical Technical Institute; Peter the Great St. Petersburg Polytechnic University</t>
  </si>
  <si>
    <t>Cheptsov, VS (corresponding author), Lomonosov Moscow State Univ, Leninskie Gory 1, Moscow 119991, Russia.;Cheptsov, VS (corresponding author), Russian Acad Sci, Space Res Inst, Ul Profsoyuznaya 84-32, Moscow 117997, Russia.</t>
  </si>
  <si>
    <t>cheptcov.vladimir@gmail.com</t>
  </si>
  <si>
    <t>Belov, Andrey/V-2998-2019; Cheptsov, Vladimir/I-7843-2018</t>
  </si>
  <si>
    <t>Belov, Andrey/0000-0002-4617-7237; Cheptsov, Vladimir/0000-0002-2547-2931; Vorob'eva, Elena A./0000-0002-4636-9933</t>
  </si>
  <si>
    <t>Russian Science Foundation [17-12-01184]; Russian Foundation for Basic Research [20-02-00470]; Russian Science Foundation [17-12-01184] Funding Source: Russian Science Foundation</t>
  </si>
  <si>
    <t>Russian Science Foundation(Russian Science Foundation (RSF)); Russian Foundation for Basic Research(Russian Foundation for Basic Research (RFBR)Spanish Government); Russian Science Foundation(Russian Science Foundation (RSF))</t>
  </si>
  <si>
    <t>Financial support of the study was provided from Russian Science Foundation, project no. 17-12-01184, and in part from Russian Foundation for Basic Research, project no. 20-02-00470.</t>
  </si>
  <si>
    <t>10.1134/S1064229321030030</t>
  </si>
  <si>
    <t>RP6DX</t>
  </si>
  <si>
    <t>WOS:000641818500010</t>
  </si>
  <si>
    <t>Smith, C</t>
  </si>
  <si>
    <t>Smith, Carl</t>
  </si>
  <si>
    <t>A warming Southern Ocean may compromise Antarctic blue whale foetus growth</t>
  </si>
  <si>
    <t>JOURNAL OF VERTEBRATE BIOLOGY</t>
  </si>
  <si>
    <t>Antarctica; cetacean; density dependence; IWC; population dynamics; recovery</t>
  </si>
  <si>
    <t>ATLANTIC FIN WHALES; SEA-ICE EXTENT; EUPHAUSIA-SUPERBA; KRILL ABUNDANCE; BODY CONDITION; FETAL-GROWTH; PREDATORS; VARIABILITY; INCREASES; SURVIVAL</t>
  </si>
  <si>
    <t>After declining in abundance due to commercial whaling during the 20th century, populations of the Antarctic blue whale (Balaenoptera musculus intermedia) have failed to recover to pre-exploitation levels. Using historical whaling data from 1926-1954, in combination with temperature data for the Southern Ocean, a gamma GLM with temporal dependency was fitted to 20,144 records of B. m. intermedia foetus size using Bayesian inference. There was a negative relationship between antecedent winter sea surface temperature (SST) in the Southern Ocean on foetus size. This relationship is proposed as being mediated by a positive effect of the extent of winter sea ice on Antarctic krill (Euphasia superba) abundance on which B. m. intermedia feed. There was also a positive density-dependent effect of a krill surplus at low B. m. intermedia population sizes. However, the positive effect of a krill surplus at low B. m. intermedia population size on foetus growth was reversed at elevated winter SST due to a proposed negative impact on E. superba recruitment. Projected increases in temperature in the Southern Ocean are predicted to compromise the growth rates of B. m. intermedia foetuses, with implications for the capacity of the subspecies to recover from overexploitation.</t>
  </si>
  <si>
    <t>[Smith, Carl] Univ Lodz, Dept Ecol &amp; Vertebrate Zool, Lodz, Poland; [Smith, Carl] Czech Acad Sci, Inst Vertebrate Biol, Brno, Czech Republic</t>
  </si>
  <si>
    <t>University of Lodz; Czech Academy of Sciences; Institute of Vertebrate Biology of the Czech Academy of Sciences</t>
  </si>
  <si>
    <t>Smith, C (corresponding author), Univ Lodz, Dept Ecol &amp; Vertebrate Zool, Lodz, Poland.;Smith, C (corresponding author), Czech Acad Sci, Inst Vertebrate Biol, Brno, Czech Republic.</t>
  </si>
  <si>
    <t>carl.smith@biol.uni.lodz.pl</t>
  </si>
  <si>
    <t>Smith, Carl/HJP-3385-2023</t>
  </si>
  <si>
    <t>Smith, Carl/0000-0003-3285-0379</t>
  </si>
  <si>
    <t>POLONEZ Fellowship of National Science Centre, Poland from the European Union's Horizon 2020 research and innovation program under the Marie Sklodowska-Curie grant [2015/19/P/NZ8/03582, 665778]</t>
  </si>
  <si>
    <t>POLONEZ Fellowship of National Science Centre, Poland from the European Union's Horizon 2020 research and innovation program under the Marie Sklodowska-Curie grant</t>
  </si>
  <si>
    <t>am grateful to Trevor Branch,Andy Brierley and Rowena Spence for comments, and to John Smith for meticulous data compilation. Research ideas were formulated while supported by the POLONEZ Fellowship of National Science Centre, Poland (2015/19/P/NZ8/03582), which received funding from the European Union's Horizon 2020 research and innovation program under the Marie Sklodowska-Curie grant agreement No. 665778.</t>
  </si>
  <si>
    <t>INST VERTEBRATE BIOLOGY AS CR</t>
  </si>
  <si>
    <t>BRNO</t>
  </si>
  <si>
    <t>KVETNA 8, BRNO 603 65, CZECH REPUBLIC</t>
  </si>
  <si>
    <t>2694-7684</t>
  </si>
  <si>
    <t>J VERTEBR BIOL</t>
  </si>
  <si>
    <t>J. Vertebr. Biol.</t>
  </si>
  <si>
    <t>10.25225/jvb.20114</t>
  </si>
  <si>
    <t>RN9AW</t>
  </si>
  <si>
    <t>gold, Green Accepted, Green Submitted</t>
  </si>
  <si>
    <t>WOS:000640645200001</t>
  </si>
  <si>
    <t>Gu, SY; Teng, CKM; Li, N; Jia, MJ; Li, GZ; Xie, HY; Ding, ZH; Dou, XK</t>
  </si>
  <si>
    <t>Gu, Sheng-Yang; Teng, Chen-Ke-Min; Li, Na; Jia, Mingjiao; Li, Guozhu; Xie, Haiyong; Ding, Zonghua; Dou, Xiankang</t>
  </si>
  <si>
    <t>Multivariate Analysis on the Ionospheric Responses to Planetary Waves During the 2019 Antarctic SSW Event</t>
  </si>
  <si>
    <t>6‐ day wave; ionospheric variations; sudden stratospheric warming</t>
  </si>
  <si>
    <t>TOTAL ELECTRON-CONTENT; MIDDLE ATMOSPHERE; SUDDEN; VARIABILITY; REGION; STRATOSPHERE; OSCILLATIONS; CLIMATOLOGY; MESOSPHERE; WARMINGS</t>
  </si>
  <si>
    <t>A rare minor sudden stratospheric warming is observed in the Antarctic polar region during September 2019, which results in the enhancement of a westward wavenumber 1 quasi-6-day wave (Q6DW) in the mesopause region. The impacts of this Q6DW event to the ionosphere are then comparatively investigated with multiple data sets, including the ground-based total electron content (TEC) from geostationary BeiDou satellite receivers and F2 layer maximum frequency (foF2) from ionosondes ranging from 20 to 40 degrees N over eastern Asia. Besides, the global TEC maps from the International Global Navigation Satellite Systems Service (IGS) are also utilized to study the longitudinal variations. The ground-based TEC and foF2 observations clearly shows planetary wave (PW) signals with a similar period as those in the mesosphere, which are further verified to be westward with zonal wavenumber 1 by IGS TEC maps. The ground-based TEC and foF2 also show that the peak of the ionospheric response is at around 1,200-1,400 LT and 25 degrees N over eastern Asia with maximum amplitudes of similar to 9 TECU and similar to 1.5 MHz, respectively, which are also well captured by IGS TEC maps. Nevertheless, the wave amplitudes exhibited by ground-based TEC are 2-3 times larger than that in IGS TEC. Besides, the IGS TEC map shows that the ionospheric oscillations at different longitudes peak in the equatorial ionospheric anomaly crest region at similar solar local time, but with significant variabilities in their amplitude. Our analysis shows that the ground-based ionospheric observations and IGS TEC maps generally exhibit consistent latitudinal structures on the neutral-ion coupling through PWs.</t>
  </si>
  <si>
    <t>[Gu, Sheng-Yang; Teng, Chen-Ke-Min; Dou, Xiankang] Wuhan Univ, Elect Informat Sch, Wuhan, Peoples R China; [Gu, Sheng-Yang; Li, Na; Ding, Zonghua] China Res Inst Radio Wave Propagat, Natl Key Lab Electromagnet Environm, Qingdao, Peoples R China; [Jia, Mingjiao] Chinese Acad Sci, Univ Sci &amp; Technol China, Key Lab Geospace Environm, Hefei, Peoples R China; [Li, Guozhu; Xie, Haiyong] Chinese Acad Sci, Beijing Natl Observ Space Environm, Inst Geol &amp; Geophys, Beijing, Peoples R China</t>
  </si>
  <si>
    <t>Wuhan University; Chinese Academy of Sciences; University of Science &amp; Technology of China, CAS; Chinese Academy of Sciences; Institute of Geology &amp; Geophysics, CAS</t>
  </si>
  <si>
    <t>Gu, SY (corresponding author), Wuhan Univ, Elect Informat Sch, Wuhan, Peoples R China.;Gu, SY (corresponding author), China Res Inst Radio Wave Propagat, Natl Key Lab Electromagnet Environm, Qingdao, Peoples R China.</t>
  </si>
  <si>
    <t>gushengyang@whu.edu.cn</t>
  </si>
  <si>
    <t>Dou, xiankang/M-9106-2013; Li, Guozhu/D-4322-2009</t>
  </si>
  <si>
    <t>Li, Guozhu/0000-0002-7669-3590; Teng, Chen-Ke-Min/0000-0001-6277-3277; Jia, Mingjiao/0000-0003-4392-4900</t>
  </si>
  <si>
    <t>National Natural Science Foundation of China [41704153, 41874181, 41831071]; National Key Laboratory of Electromagnetic Environment</t>
  </si>
  <si>
    <t>National Natural Science Foundation of China(National Natural Science Foundation of China (NSFC)); National Key Laboratory of Electromagnetic Environment</t>
  </si>
  <si>
    <t>This work is funded by the National Natural Science Foundation of China (41704153, 41874181, and 41831071), and National Key Laboratory of Electromagnetic Environment.</t>
  </si>
  <si>
    <t>e2020JA028588</t>
  </si>
  <si>
    <t>10.1029/2020JA028588</t>
  </si>
  <si>
    <t>RH5WO</t>
  </si>
  <si>
    <t>WOS:000636288800049</t>
  </si>
  <si>
    <t>Hendry, AT; Seppälä, A; Rodger, CJ; Clilverd, MA</t>
  </si>
  <si>
    <t>Hendry, A. T.; Seppala, A.; Rodger, C. J.; Clilverd, M. A.</t>
  </si>
  <si>
    <t>Impact of EMIC-Wave Driven Electron Precipitation on the Radiation Belts and the Atmosphere</t>
  </si>
  <si>
    <t>atmospheric modeling; electron precipitation; EMIC waves; wave‐ particle interactions</t>
  </si>
  <si>
    <t>In recent years, there has been a growing body of direct experimental evidence demonstrating electromagnetic ion cyclotron (EMIC) waves driving energetic electron precipitation (EEP) at unexpectedly low, sub-MeV energies-as low as only a few hundred keV. EMIC-wave driven scattering at these energies has important ramifications for our understanding of not only radiation belt electron dynamics, but also the importance of EMIC-driven EEP to the chemical balance of the Earth's atmosphere. In this study, we use three experimentally derived EMIC-driven EEP flux spectra to investigate the impact of this precipitation on trapped radiation belt fluxes. In doing so, we resolve an apparent contradiction with earlier results derived from trapped electron flux populations that suggested EMIC waves only caused significant scattering at ultrarelativistic energies. We show that strong sub-MeV EEP measurements are not necessarily mutually exclusive with a strongly relativistic-only trapped flux response, as the sub-MEV peak precipitation is comparatively much smaller than the trapped population at those energies. Using a further six EEP spectra, we also demonstrate that EMIC-driven EEP can generate significant ionization of the Earth's atmosphere above 40 km, leading to the loss of mesospheric ozone. We find poor correlation between EMIC-driven EEP fluxes and geomagnetic activity proxies, such that EMIC-driven EEP is likely to be poorly specified in the forcing factors of modern coupled-climate models.</t>
  </si>
  <si>
    <t>[Hendry, A. T.; Seppala, A.; Rodger, C. J.] Univ Otago, Dept Phys, Dunedin, New Zealand; [Hendry, A. T.] Czech Acad Sci, Dept Space Phys, Inst Atmospher Phys, Prague, Czech Republic; [Clilverd, M. A.] British Antarctic Survey UKRI NERC, Cambridge, England</t>
  </si>
  <si>
    <t>University of Otago; Czech Academy of Sciences; Institute of Atmospheric Physics of the Czech Academy of Sciences; UK Research &amp; Innovation (UKRI); Natural Environment Research Council (NERC); NERC British Antarctic Survey</t>
  </si>
  <si>
    <t>Hendry, AT (corresponding author), Univ Otago, Dept Phys, Dunedin, New Zealand.;Hendry, AT (corresponding author), Czech Acad Sci, Dept Space Phys, Inst Atmospher Phys, Prague, Czech Republic.</t>
  </si>
  <si>
    <t>aaron.hendry@otago.ac.nz</t>
  </si>
  <si>
    <t>Seppälä, Annika/C-8031-2014; Rodger, Craig/A-1501-2011</t>
  </si>
  <si>
    <t>Seppälä, Annika/0000-0002-5028-8220; Rodger, Craig J./0000-0002-6770-2707</t>
  </si>
  <si>
    <t>Czech Academy of Sciences; Natural Environment Research Council, NERC Highlight Topic Grant [NE/P01738X/1]; NERC [bas0100031] Funding Source: UKRI</t>
  </si>
  <si>
    <t>Czech Academy of Sciences(Czech Academy of Sciences); Natural Environment Research Council, NERC Highlight Topic Grant(UK Research &amp; Innovation (UKRI)Natural Environment Research Council (NERC)); NERC(UK Research &amp; Innovation (UKRI)Natural Environment Research Council (NERC))</t>
  </si>
  <si>
    <t>The authors wish to thank the personnel who developed, maintain, and operate the NOAA/METOP/POES spacecraft. A. T. Hendry would like to acknowledge the support of the postdoctoral program of the Czech Academy of Sciences. M. A. Clilverd would like to acknowledge support for this work from the Natural Environment Research Council, NERC Highlight Topic Grant #NE/P01738X/1 (Rad-Sat).</t>
  </si>
  <si>
    <t>e2020JA028671</t>
  </si>
  <si>
    <t>10.1029/2020JA028671</t>
  </si>
  <si>
    <t>WOS:000636288800033</t>
  </si>
  <si>
    <t>Lozinski, AR; Horne, RB; Glauert, SA; Del Zanna, G; Albert, JM</t>
  </si>
  <si>
    <t>Lozinski, Alexander R.; Horne, Richard B.; Glauert, Sarah A.; Del Zanna, Giulio; Albert, Jay M.</t>
  </si>
  <si>
    <t>Optimization of Radial Diffusion Coefficients for the Proton Radiation Belt During the CRRES Era</t>
  </si>
  <si>
    <t>CRRES; diffusion coefficient; proton belt; radiation belt; steady state</t>
  </si>
  <si>
    <t>Proton flux measurements from the Proton Telescope instrument aboard the CRRES satellite are revisited, and used to drive a radial diffusion model of the inner proton belt at 1.1 &lt;= L &lt;= 1.65. Our model utilizes a physics-based evaluation of the cosmic ray albedo neutron decay (CRAND) source, and coulomb collisional loss is driven by a drift averaged density model combining results from the International Reference Ionosphere, NRLMSIS-00 atmosphere and Radio Plasma Imager plasmasphere models, parameterized by solar activity and season. We drive our model using time-averaged data at L = 1.65 to calculate steady state profiles of equatorial phase space density, and optimize our choice of radial diffusion coefficients based on four defining parameters to minimize the difference between model and data. This is first performed for a quiet period when the belt can be assumed to represent steady state. Additionally, we investigate fitting steady state solutions to time averages taken during active periods where the data exhibits limited deviation from steady state, demonstrated by CRRES measurements following the March 24, 1991 storm. We also discuss a way to make the optimization process more reliable by excluding periods of variability in plasmaspheric density from any time average. Lastly, we compare our resultant diffusion coefficients to those derived via a similar process in previous work, and diffusion coefficients derived for electrons from ground and in situ observations. We find that higher diffusion coefficients are derived compared with previous work, and suggest more work is required to derive proton diffusion coefficients for different geomagnetic activity levels.</t>
  </si>
  <si>
    <t>[Lozinski, Alexander R.; Horne, Richard B.; Glauert, Sarah A.] British Antarctic Survey, Cambridge, England; [Lozinski, Alexander R.; Del Zanna, Giulio] Univ Cambridge, Dept Appl Math &amp; Theoret Phys, Cambridge, England; [Albert, Jay M.] Air Force Res Lab, Space Vehicles Directorate, Albuquerque, NM USA</t>
  </si>
  <si>
    <t>UK Research &amp; Innovation (UKRI); Natural Environment Research Council (NERC); NERC British Antarctic Survey; University of Cambridge; United States Department of Defense; United States Air Force; US Air Force Research Laboratory</t>
  </si>
  <si>
    <t>Lozinski, AR (corresponding author), British Antarctic Survey, Cambridge, England.;Lozinski, AR (corresponding author), Univ Cambridge, Dept Appl Math &amp; Theoret Phys, Cambridge, England.</t>
  </si>
  <si>
    <t>alezin33@bas.ac.uk</t>
  </si>
  <si>
    <t>Horne, Richard B/U-3764-2019; Albert, Jay/AAV-6860-2020</t>
  </si>
  <si>
    <t>Horne, Richard B/0000-0002-0412-6407; Albert, Jay/0000-0001-9494-7630; Lozinski, Alexander/0000-0002-6508-487X</t>
  </si>
  <si>
    <t>Natural Environment Research Council (NERC) [NE/R009457/1]; NERC National Capability grants [NE/R016038/1, NE/R016445/1]; STFC (UK) [ST/P000665/1, ST/T000481/1]; Highlight Topic Grant [NE/P01738X/1]; NERC [NE/P01738X/1, NE/R009457/1, 1940244, bas0100031] Funding Source: UKRI</t>
  </si>
  <si>
    <t>Natural Environment Research Council (NERC)(UK Research &amp; Innovation (UKRI)Natural Environment Research Council (NERC)); NERC National Capability grants; STFC (UK)(UK Research &amp; Innovation (UKRI)Science &amp; Technology Facilities Council (STFC)); Highlight Topic Grant; NERC(UK Research &amp; Innovation (UKRI)Natural Environment Research Council (NERC))</t>
  </si>
  <si>
    <t>This work was funded by the Natural Environment Research Council (NERC) via Doctoral Training Program NE/R009457/1. Richard B. Horne and Sarah A. Glauert were supported by NERC National Capability grants NE/R016038/1 and NE/R016445/1 and by Highlight Topic Grant NE/P01738X/1 (Rad-Sat). Giulio Del Zanna acknowledges support from STFC (UK) via the consolidated grants to the atomic astrophysics group (AAG) at DAMTP, University of Cambridge (ST/P000665/1 and ST/T000481/1).</t>
  </si>
  <si>
    <t>e2020JA028486</t>
  </si>
  <si>
    <t>10.1029/2020JA028486</t>
  </si>
  <si>
    <t>WOS:000636288800038</t>
  </si>
  <si>
    <t>Reidy, JA; Horne, RB; Glauert, SA; Clilverd, MA; Meredith, NP; Woodfield, EE; Ross, JP; Allison, HJ; Rodger, CJ</t>
  </si>
  <si>
    <t>Reidy, J. A.; Horne, R. B.; Glauert, S. A.; Clilverd, M. A.; Meredith, N. P.; Woodfield, E. E.; Ross, J. P.; Allison, H. J.; Rodger, C. J.</t>
  </si>
  <si>
    <t>Comparing Electron Precipitation Fluxes Calculated From Pitch Angle Diffusion Coefficients to LEO Satellite Observations</t>
  </si>
  <si>
    <t>electron precipitation</t>
  </si>
  <si>
    <t>Particle precipitation is a loss mechanism from the radiation belts whereby particles trapped by the Earth's magnetic field are scattered into the loss cone due to wave-particle interactions. Energetic electron precipitation creates ozone destroying chemicals which can affect the temperatures of the polar regions, therefore it is crucial to accurately quantify this impact on the Earth's atmosphere. We use bounce-averaged pitch angle diffusion coefficients for whistler mode chorus waves, plasmaspheric hiss and atmospheric collisions to calculate magnetic local time (MLT) dependent electron precipitation inside the field of view of the Polar Orbiting Environmental Satellites (POES) T0 detector, between 26-30 March 2013. These diffusion coefficients are used in the BAS Radiation Belt Model (BAS-RBM) and this paper is a first step toward testing the loss in this model via comparison with real world data. We find the best agreement between the calculated and measured T0 precipitation at L* &gt; 5 on the dawnside for the &gt;30 keV electron channel, consistent with precipitation driven by lower band chorus. Additional diffusion is required to explain the flux at higher energies and on the dusk side. The POES T0 detector underestimates electron precipitation as its field of view does not measure the entire loss cone. We demonstrate the potential for utilizing diffusion coefficients to reconstruct precipitating flux over the entire loss cone. Our results show that the total precipitation can exceed that measured by the POES &gt;30 keV electron channel by a factor that typically varies from 1 to 10 for L* = 6, 6.5, and 7.</t>
  </si>
  <si>
    <t>[Reidy, J. A.; Horne, R. B.; Glauert, S. A.; Clilverd, M. A.; Meredith, N. P.; Woodfield, E. E.; Ross, J. P.] British Antarctic Survey, Nat Nnvironment Res Council, Cambridge, England; [Allison, H. J.] Helmholtz Ctr Potsdam, GFZ German Res Ctr Geosci, Potsdam, Germany; [Rodger, C. J.] Univ Otago, Dept Phys, Dunedin, New Zealand</t>
  </si>
  <si>
    <t>UK Research &amp; Innovation (UKRI); Natural Environment Research Council (NERC); NERC British Antarctic Survey; Helmholtz Association; Helmholtz-Center Potsdam GFZ German Research Center for Geosciences; University of Otago</t>
  </si>
  <si>
    <t>Reidy, JA (corresponding author), British Antarctic Survey, Nat Nnvironment Res Council, Cambridge, England.</t>
  </si>
  <si>
    <t>jadeid70@bas.ac.uk</t>
  </si>
  <si>
    <t>Ross, Johnathan/AAX-3204-2020; Horne, Richard B/U-3764-2019; Rodger, Craig/A-1501-2011; Woodfield, Emma/B-5313-2014</t>
  </si>
  <si>
    <t>Ross, Johnathan/0000-0001-5282-3293; Horne, Richard B/0000-0002-0412-6407; Rodger, Craig J./0000-0002-6770-2707; Woodfield, Emma/0000-0002-0531-8814; Meredith, Nigel/0000-0001-5032-3463; Allison, Hayley/0000-0002-6665-2023</t>
  </si>
  <si>
    <t>NERC Highlight Topic Grant [NE/P01738X/1]; NERC National Capability grants [NE/R016038/1, NE/R016445/1]; NERC [NE/P01738X/1, NE/R016038/1, bas0100031] Funding Source: UKRI; STFC [ST/S000496/1] Funding Source: UKRI</t>
  </si>
  <si>
    <t>NERC Highlight Topic Grant; NERC National Capability grants; NERC(UK Research &amp; Innovation (UKRI)Natural Environment Research Council (NERC)); STFC(UK Research &amp; Innovation (UKRI)Science &amp; Technology Facilities Council (STFC))</t>
  </si>
  <si>
    <t>This work was supported by NERC Highlight Topic Grant NE/P01738X/1 (Rad-Sat) and NERC National Capability grants NE/R016038/1 and NE/R016445/1.</t>
  </si>
  <si>
    <t>e2020JA028410</t>
  </si>
  <si>
    <t>10.1029/2020JA028410</t>
  </si>
  <si>
    <t>WOS:000636288800032</t>
  </si>
  <si>
    <t>Castelao, RM; Dinniman, MS; Amos, CM; Klinck, JM; Medeiros, PM</t>
  </si>
  <si>
    <t>Castelao, Renato M.; Dinniman, Michael S.; Amos, Caitlin M.; Klinck, John M.; Medeiros, Patricia M.</t>
  </si>
  <si>
    <t>Eddy-Driven Transport of Particulate Organic Carbon-Rich Coastal Water Off the West Antarctic Peninsula</t>
  </si>
  <si>
    <t>cross‐ shelf transport; mesoscale eddies; particulate organic carbon; West Antarctic Peninsula</t>
  </si>
  <si>
    <t>CIRCUMPOLAR DEEP-WATER; MESOSCALE EDDIES; SOUTHERN-OCEAN; CO2 FLUX; SURFACE; HEAT; VARIABILITY; MATTER; REGION; SHELF</t>
  </si>
  <si>
    <t>The Southern Ocean is characterized by high eddy activity and high particulate organic carbon (POC) content during summer, especially near Antarctica. Because it encircles the globe, it provides a pathway for inter-basin exchange. Here, we use satellite observations and a high-resolution ocean model to quantify offshore transport of coastal water rich in POC off the West Antarctic Peninsula. We show that nonlinear cyclonic eddies generated near the coast often trap coastal water rich in POC during formation before propagating offshore. As a result, cyclones found offshore that were generated near the coast have on average higher POC content in their interior than cyclones generated locally offshore. This results in a POC enrichment of 5.7 +/- 3.0 Gg C year(-1) in offshore waters off the Peninsula. Actual POC enrichment is likely substantially larger, since about half of the volume transport of coastal water is driven by small eddies that are missed by observations.</t>
  </si>
  <si>
    <t>[Castelao, Renato M.; Amos, Caitlin M.; Medeiros, Patricia M.] Univ Georgia, Dept Marine Sci, Athens, GA 30602 USA; [Dinniman, Michael S.; Klinck, John M.] Old Dominion Univ, Ctr Coastal Phys Oceanog, Norfolk, VA USA</t>
  </si>
  <si>
    <t>University System of Georgia; University of Georgia; Old Dominion University</t>
  </si>
  <si>
    <t>Castelao, RM (corresponding author), Univ Georgia, Dept Marine Sci, Athens, GA 30602 USA.</t>
  </si>
  <si>
    <t>castelao@uga.edu</t>
  </si>
  <si>
    <t>Klinck, John/0000-0003-4312-5201; Amos, Caitlin M./0000-0001-7313-776X; Medeiros, Patricia/0000-0001-6818-2603; Dinniman, Michael/0000-0001-7519-9278</t>
  </si>
  <si>
    <t>NSF [OPP-1643468, OPP-1643386]; NASA Physical Oceanography [80NSSC18K0766]</t>
  </si>
  <si>
    <t>NSF(National Science Foundation (NSF)); NASA Physical Oceanography</t>
  </si>
  <si>
    <t>The authors thank the three anonymous reviewers for their constructive comments and suggestions, which resulted in an improved manuscript. The authors gratefully acknowledge support by NSF (OPP-1643468 to UGA and OPP-1643386 to ODU) and NASA Physical Oceanography (80NSSC18K0766).</t>
  </si>
  <si>
    <t>e2020JC016791</t>
  </si>
  <si>
    <t>10.1029/2020JC016791</t>
  </si>
  <si>
    <t>RH5VF</t>
  </si>
  <si>
    <t>WOS:000636285300026</t>
  </si>
  <si>
    <t>Feng, L; Liu, CY; Köhl, A; Stammer, D; Wang, F</t>
  </si>
  <si>
    <t>Feng, Ling; Liu, Chuanyu; Koehl, Armin; Stammer, Detlef; Wang, Fan</t>
  </si>
  <si>
    <t>Four Types of Baroclinic Instability Waves in the Global Oceans and the Implications for the Vertical Structure of Mesoscale Eddies</t>
  </si>
  <si>
    <t>NORTHWESTERN PACIFIC-OCEAN; CRITICAL LAYER INSTABILITY; MEAN FLOW; DISPERSION-RELATION; PLANETARY-WAVES; PART I; EDDY; STABILITY; CIRCULATION; TOPOGRAPHY</t>
  </si>
  <si>
    <t>Linear stability analysis is re-conducted to fully understand the geostrophic distribution of the different types of baroclinic instability (BCI) in the global oceans, their correspondence to the different vertical structures of the observed mesoscale eddies, and the properties and formation mechanisms of the instability waves. Four principal vertical types of BCI are identified, which are found to exhibit large-scale patterns in the global ocean. The surface- and bottom-intensified type (called the Eady type hereafter) is mainly located in the Antarctic Circumpolar Current (ACC) region, locations of the bottom-intensified type (Charney_b type) are scattered around the Eady type, the surface-intensified type (Charney_s type) primarily occurs in the subtropics (10 degrees-35 degrees), and the interior-intensified type (Phillips type) occurs primarily between 5 degrees and 20 degrees in both hemispheres. More specifically, both geostrophic locations and the depths of the maximum perturbation velocities of the Phillips type BCIs match those of observed subsurface eddies. Moreover, the BCI waves show regions of uniform propagation properties: eastward in the ACC and the mid-latitudes (25 degrees-45 degrees), and westward in the low latitudes (30 degrees S-30 degrees N) of both hemispheres and in the high latitudes of the Northern Hemisphere (&gt;50 degrees N). These waves resemble normal mode Rossby waves in structure (i.e., first baroclinic, second baroclinic, and topographic Rossby waves), but their propagation speeds are found to be Doppler shifted by the mean flows relevant for the corresponding BCI type. Propagating signals with the same dispersion relationships as the BCI waves are captured with numerical ocean general circulation models. Plain Language Summary Mesoscale eddies are ubiquitous in the ocean, accounting for similar to 90% of the ocean's kinetic energy. Eddies can be classified, according to their depths of maximum rotation velocity, into surface eddies, subsurface eddies, and bottom eddies. They are generally believed to be generated by baroclinic instability (BCI), a mechanism that extracts the potential energy stored in horizontal density gradient. Therefore, BCIs can be considered as the first stage of eddy generation. In order to shed light on the generation of different vertical structure of eddies, we identify four main types of BCIs according to their vertical structure: The Eady type (simultaneously surface- and bottomintensified, and weakened in the middle), the Charney surface type (surface-intensified), the Charney bottom type (bottom-intensified), and the Phillips type (subsurface-intensified). Each type of BCI may evolve into a different type of eddy. The global distribution of the four BCI types exhibits a latitudedependence. However, if the BCIs do not eventually evolve into eddies, they may manifest as propagating instability waves. We show that, the perturbative waves that determine the vertical structure of the instability waves, and the mean ocean currents that determine the waves' propagation speed, are all BCI type-dependent.</t>
  </si>
  <si>
    <t>[Feng, Ling; Liu, Chuanyu; Wang, Fan] Chinese Acad Sci IOCAS, Inst Oceanol, CAS Key Lab Ocean Circulat &amp; Waves, Qingdao, Peoples R China; [Feng, Ling; Liu, Chuanyu; Wang, Fan] Univ Chinese Acad Sci UCAS, Coll Earth &amp; Planetary Sci, Beijing, Peoples R China; [Liu, Chuanyu; Wang, Fan] Pilot Natl Lab Marine Sci &amp; Technol Qingdao QNLM, Marine Dynam Proc &amp; Climate Funct Lab, Qingdao, Peoples R China; [Liu, Chuanyu; Wang, Fan] Chinese Acad Sci, Ctr Ocean Megasci, Qingdao, Peoples R China; [Koehl, Armin; Stammer, Detlef] Univ Hamburg, Ctr Earth Syst Res &amp; Sustainabil CEN, Inst Oceanog IfM, Hamburg, Germany</t>
  </si>
  <si>
    <t>Chinese Academy of Sciences; Institute of Oceanology, CAS; Laoshan Laboratory; Chinese Academy of Sciences; University of Hamburg</t>
  </si>
  <si>
    <t>Liu, CY; Wang, F (corresponding author), Chinese Acad Sci IOCAS, Inst Oceanol, CAS Key Lab Ocean Circulat &amp; Waves, Qingdao, Peoples R China.;Liu, CY; Wang, F (corresponding author), Univ Chinese Acad Sci UCAS, Coll Earth &amp; Planetary Sci, Beijing, Peoples R China.;Liu, CY; Wang, F (corresponding author), Pilot Natl Lab Marine Sci &amp; Technol Qingdao QNLM, Marine Dynam Proc &amp; Climate Funct Lab, Qingdao, Peoples R China.;Liu, CY; Wang, F (corresponding author), Chinese Acad Sci, Ctr Ocean Megasci, Qingdao, Peoples R China.</t>
  </si>
  <si>
    <t>chuanyu.liu@qdio.ac.cn; fwang@qdio.ac.cn</t>
  </si>
  <si>
    <t>Kohl, Armin/I-9378-2014; Wang, Fan/J-5119-2012</t>
  </si>
  <si>
    <t>Kohl, Armin/0000-0002-9777-674X; Wang, Fan/0000-0001-5932-7567</t>
  </si>
  <si>
    <t>Strategic Priority Research Program, CAS [XDA22050203, XDB42000000]; National Natural Science Foundation of China [41606026, 41976012, 41730534, Y72143101B]; Key Research Program of Frontier Sciences, CAS [QYZDB-SSW-DQC030]; Aoshan Talents Program of the QNML [2017ASTCP-ES03]; Youth Program of the CAS [Y82122101L]</t>
  </si>
  <si>
    <t>Strategic Priority Research Program, CAS; National Natural Science Foundation of China(National Natural Science Foundation of China (NSFC)); Key Research Program of Frontier Sciences, CAS; Aoshan Talents Program of the QNML; Youth Program of the CAS</t>
  </si>
  <si>
    <t>The critical comments from two anonymous reviewers are greatly appreciated. This study is supported by the Strategic Priority Research Program, CAS (XDA22050203, XDB42000000), the National Natural Science Foundation of China (41606026, 41976012, 41730534, Y72143101B), the Key Research Program of Frontier Sciences, CAS (QYZDB-SSW-DQC030), the Aoshan Talents Program of the QNML (2017ASTCP-ES03), and the Youth Program of the CAS (Y82122101L).</t>
  </si>
  <si>
    <t>e2020JC016966</t>
  </si>
  <si>
    <t>10.1029/2020JC016966</t>
  </si>
  <si>
    <t>WOS:000636285300023</t>
  </si>
  <si>
    <t>Kwon, YS; La, HS; Jung, J; Lee, SH; Kim, TW; Kang, HW; Lee, S</t>
  </si>
  <si>
    <t>Kwon, Young Shin; La, Hyoung Sul; Jung, Jinyoung; Lee, Sang Heon; Kim, Tae-Wan; Kang, Hyoun-Woo; Lee, SangHoon</t>
  </si>
  <si>
    <t>Exploring the Roles of Iron and Irradiance in Dynamics of Diatoms and Phaeocystis in the Amundsen Sea Continental Shelf Water</t>
  </si>
  <si>
    <t>The Amundsen Sea continental shelf (ACS) water ecosystem is expected to undergo changes since increasing melt rate of glacier and decreasing sea ice extent by global warming would lead to the mitigation of iron and light limitation. We investigated how diatoms and Phaeocystis, two dominant taxa, and primary production in the ACS water would respond to variations in iron and light availabilities by using a 1-D pelagic ecosystem model. In the model, we added sea ice effects that reduce light penetration and optimized model parameters for diatoms and Phaeocystis. The results from our model showed good agreement with 20-year observations of Chl-a as well as the biomass proportion of diatoms and Phaeocystis and nutrient distributions during the growing season. Our model experimental results suggest that the current moderate iron and high light conditions favor the growth of Phaeocystis over diatoms. Moreover, as iron increases, the organic carbon exudation by phytoplankton increases more rapidly than net primary production (NPP), leading to a decline in phytoplankton biomass. On the other hand, irradiance plays a role in controlling NPP in terms of photoinhibition which is reduced by increasing iron. Increases in both iron and irradiance lead to an advance in the timing of the bloom peak (surface Chl-a maximum) due to increases in phytoplankton carbon loss and photoinhibition. Our results imply that the dominance of Phaeocystis can continue and that the carbon uptake capacity of the ACS in the summer seasons might increase given that iron availability will increase with future climate change. Plain Language Summary We firmly believe that this research based on an optimum biogeochemical model developed for the Amundsen Sea continental shelf water is of sufficiently broad interest for the public as well as the scientific community, since it advances the study of phytoplankton ecology and carbon uptake in the Antarctic coastal area. A complex coupled ocean-ecosystem model was developed to investigate dynamics of the two dominant species (diatoms and Phaeocystis) in the ACS water, one of the most rapidly warming regions on Earth with extremely high primary productivity. These two groups are particularly important as they could significantly contribute to the carbon export into the deep ocean. The model is able to accurately address the temporal evolution of diatoms and Phaeocystis responding to the variations of nutrients, iron, and irradiance. We show these two groups of phytoplankton are controlled by the rate of irradiance and iron availability in terms of the net primary production (NPP), biomass contribution, and bloom period. This research presents new evidence that the short-term export production of Phaeocystis-derived carbon can become stronger in the future with increasing basal melt in the coastal waters around the Antarctic continent.</t>
  </si>
  <si>
    <t>[Kwon, Young Shin; La, Hyoung Sul; Jung, Jinyoung; Kim, Tae-Wan; Lee, SangHoon] Korea Polar Res Inst, Div Ocean Sci, Incheon, South Korea; [Kwon, Young Shin] Univ Sci &amp; Technol, Dept Polar Sci, Daejeon, South Korea; [Lee, Sang Heon] Pusan Natl Univ, Dept Oceanog, Busan, South Korea; [Kang, Hyoun-Woo] Korea Inst Ocean Sci &amp; Technol, Marine Environm &amp; Climate Res Div, Busan, South Korea</t>
  </si>
  <si>
    <t>Korea Polar Research Institute (KOPRI); University of Science &amp; Technology (UST); Pusan National University; Korea Institute of Ocean Science &amp; Technology (KIOST)</t>
  </si>
  <si>
    <t>La, HS (corresponding author), Korea Polar Res Inst, Div Ocean Sci, Incheon, South Korea.</t>
  </si>
  <si>
    <t>hsla@kopri.re.kr</t>
  </si>
  <si>
    <t>Kim, Tae-Wan/JGM-9981-2023</t>
  </si>
  <si>
    <t>Kim, Tae-Wan/0000-0001-5257-7256; Lee, Sang/0000-0003-2445-0690; La, Hyoung Sul/0000-0003-1285-580X; Kwon, Young Shin/0000-0002-3634-8397; Kang, Hyoun-Woo/0000-0003-4983-3217; Lee, SangHoon/0000-0002-0248-0066</t>
  </si>
  <si>
    <t>Korea Polar Research Institute program [PE21110]; National Research Foundation of Korea (NRF) - Korea government (MSIT) [NRF-2018H1A2A1060886]; Ministry of Oceans and Fisheries [20170336]</t>
  </si>
  <si>
    <t>Korea Polar Research Institute program(Korea Polar Research Institute of Marine Research Placement (KOPRI)); National Research Foundation of Korea (NRF) - Korea government (MSIT)(National Research Foundation of KoreaMinistry of Science, ICT &amp; Future Planning, Republic of KoreaMinistry of Science &amp; ICT (MSIT), Republic of Korea); Ministry of Oceans and Fisheries</t>
  </si>
  <si>
    <t>This work was supported by the Korea Polar Research Institute program (PE21110), the National Research Foundation of Korea (NRF) grant funded by the Korea government (MSIT) (No. NRF-2018H1A2A1060886), and the Ministry of Oceans and Fisheries (20170336). We would also like to thank Kevin R. Arrigo for sharing his remote sensing data.</t>
  </si>
  <si>
    <t>e2020JC016673</t>
  </si>
  <si>
    <t>10.1029/2020JC016673</t>
  </si>
  <si>
    <t>WOS:000636285300013</t>
  </si>
  <si>
    <t>Evans, D</t>
  </si>
  <si>
    <t>Evans, David</t>
  </si>
  <si>
    <t>Deep Heat: Proxies, Miocene Ice, and an End in Sight for Paleoclimate Paradoxes?</t>
  </si>
  <si>
    <t>ISOTOPE STRATIGRAPHY; SURFACE-TEMPERATURE; OCEAN TEMPERATURES; CLIMATE; SHEET; EVOLUTION; FORAMINIFERA; SENSITIVITY; PACIFIC; MG/CA</t>
  </si>
  <si>
    <t>The mid Miocene represents an important target for paleoclimatic study because the atmospheric CO2 concentration ranged from near modern values to similar to 800 ppm, while a large, dynamic Antarctic ice sheet was likely to have been present throughout much of this interval. In this special issue, Modestou et al. (2020) (doi.org/10.1029/2020PA003927) reconstruct deep ocean warmth based on the clumped isotopic composition of benthic foraminifera, a technique that allows the ice volume and thermal components of the benthic oxygen isotope stack to be separated. These data reveal a very warm deep ocean while simultaneously suggesting that continental ice volume may, at times, have been greater than today. Here, I review these results in the context of recent developments in geochemical proxies and ice sheet modeling, and explore how the presence of a large Miocene ice sheet could be reconciled with CO2 at least as high as present. More broadly, I argue that many of the 'paradoxes' that pepper the paleoclimate literature result as much from our imperfect understanding of the proxies, as from our understanding of the climate system. Robust proxies with a well-understood mechanistic basis, as employed by Modestou et al. (2020), as well as advances in model-data comparability usher in a new era of palaeoclimate research; an exciting future of untangling Earth's myriad past climate states awaits. Plain Language Summary Reconstructing climate variation in Earth's geologic past informs us of the broad features of warm climates, which is relevant to preparing for climate change over the coming centuries. Moreover, these data can be compared to state-of-the-art climate models, which provides a test of the degree to which our models can reproduce warm climate states. A paper recently published in this journal applies a new method in order to reconstruct the temperature of the deep ocean in the middle Miocene (between 17 and 12 million years ago), when the atmospheric CO2 concentration was naturally similar to or higher than it is today. Coupled with decades of previous study, these exciting results depict an unfamiliar world characterized by a warm deep ocean, and yet a large ice sheet was present on Antarctica. Both models and data agree that the Antarctic ice sheet in the Miocene was highly responsive to changes in the atmospheric CO2 concentration, a clear cause of concern in the context of ongoing anthropogenic climate change.</t>
  </si>
  <si>
    <t>[Evans, David] Goethe Univ Frankfurt, Inst Geosci, Frankfurt, Germany</t>
  </si>
  <si>
    <t>Goethe University Frankfurt</t>
  </si>
  <si>
    <t>Evans, D (corresponding author), Goethe Univ Frankfurt, Inst Geosci, Frankfurt, Germany.</t>
  </si>
  <si>
    <t>evans@em.uni-frankfurt.de</t>
  </si>
  <si>
    <t>Evans, David/0000-0002-8685-671X</t>
  </si>
  <si>
    <t>Projekt DEAL</t>
  </si>
  <si>
    <t>The author would like to thank an anonymous reviewer and the editor for providing feedback that substantially improved this contribution, and Will Gray for discussion of benthic foraminifera geochemistry. The author declares no conflict of interest. Open Access funding enabled and organized by Projekt DEAL.</t>
  </si>
  <si>
    <t>e2020PA004174</t>
  </si>
  <si>
    <t>10.1029/2020PA004174</t>
  </si>
  <si>
    <t>RG0ZX</t>
  </si>
  <si>
    <t>WOS:000635265600006</t>
  </si>
  <si>
    <t>Fischer, MB; Oeser, M; Weyer, S; Folco, L; Peters, STM; Zahnow, F; Pack, A</t>
  </si>
  <si>
    <t>Fischer, Meike B.; Oeser, Martin; Weyer, Stefan; Folco, Luigi; Peters, Stefan T. M.; Zahnow, Fabian; Pack, Andreas</t>
  </si>
  <si>
    <t>I-Type Cosmic Spherules as Proxy for the Δ′17O of the Atmosphere-A Calibration With Quraternary Air</t>
  </si>
  <si>
    <t>atmosphere; cosmic; isotopes; oxygen; spherules</t>
  </si>
  <si>
    <t>OXYGEN-ISOTOPE COMPOSITION; HIGH-PRECISION FE; FRACTIONATION; IRON; RATIOS; SITU; ENTRY; ROCKS</t>
  </si>
  <si>
    <t>Remnants of shooting stars are preserved in form of cosmic spherules in ice and sediments. The extraterrestrial material is heated and melted upon atmospheric entry and is collected at the Earth's surface as cosmic spherules. A fraction of cosmic spherules (I-type cosmic spherules) sources from extraterrestrial Fe,Ni metal. These metal particles melt and become oxidized in the atmosphere. The oxygen in the resulting oxides (magnetite, wustite) sources entirely from the atmosphere. Here, we demonstrate that I-type cosmic spherules can be used to reconstruct the triple oxygen isotope anomaly of the past atmosphere, which provides information on the gross primary productivity and/or paleo-CO2 levels. We present a calibration of the proxy using Antarctic cosmic spherules. We further introduce Delta ' Fe-56 and demonstrate that triple iron isotopes can be used to obtain information about the underlying fractionation mechanism (e.g., kinetic vs. equilibrium fractionation).</t>
  </si>
  <si>
    <t>[Fischer, Meike B.; Peters, Stefan T. M.; Zahnow, Fabian; Pack, Andreas] Univ Gottingen, Geowissensch Zentrum, Gottingen, Germany; [Fischer, Meike B.] Max Planck Inst Solar Syst Res, Planets &amp; Comets Dept, Gottingen, Germany; [Oeser, Martin; Weyer, Stefan] Leibniz Univ Hannover, Inst Mineral, Hannover, Germany; [Folco, Luigi] Univ Pisa, Dipartimento Sci Terra, Pisa, Italy; [Folco, Luigi] CISUP, Pisa, Italy</t>
  </si>
  <si>
    <t>University of Gottingen; Max Planck Society; Leibniz University Hannover; University of Pisa</t>
  </si>
  <si>
    <t>Pack, A (corresponding author), Univ Gottingen, Geowissensch Zentrum, Gottingen, Germany.</t>
  </si>
  <si>
    <t>apack@uni-goettingen.de</t>
  </si>
  <si>
    <t>Pack, Andreas/0000-0002-2618-2768; Fischer, Meike/0000-0003-1558-9594</t>
  </si>
  <si>
    <t>We thank the three reviewers for their thorough and most helpful comments and suggestions, which led to a considerable improvement of the manuscript. The AE is thanked for his suggestions and manuscript handling. Open Access funding enabled and organized by Projekt DEAL.</t>
  </si>
  <si>
    <t>e2020PA004159</t>
  </si>
  <si>
    <t>10.1029/2020PA004159</t>
  </si>
  <si>
    <t>WOS:000635265600008</t>
  </si>
  <si>
    <t>Kaiser, EA; Billups, K; Bradtmiller, L</t>
  </si>
  <si>
    <t>Kaiser, Emily A.; Billups, Katharina; Bradtmiller, Louisa</t>
  </si>
  <si>
    <t>A 1 Million Year Record of Biogenic Silica in the Indian Ocean Sector of the Southern Ocean: Regional Versus Global Forcing of Primary Productivity</t>
  </si>
  <si>
    <t>SEA-ICE; PACIFIC SECTOR; ANTARCTIC ZONE; OPAL; STRATIFICATION; SEDIMENTS; CARBON; ATLANTIC; EXTENT; SCALE</t>
  </si>
  <si>
    <t>A new orbital-scale record of bulk sediment biogenic silica (opal) content from Ocean Drilling Program (ODP) Site 745B spans the past 630 kyr (Marine Isotope Stages (MIS) 1-16). Together with the published portion of the record (MIS 16-31, Billups et al., 2018), we obtain a 1 million year orbital-scale record of paleoproductivity in the Antarctic Zone of the Indian Ocean sector of the Southern Ocean. A coherent age model is based on tuning variations in the opal content to the benthic foraminiferal delta O-18 stack of Lisiecki and Raymo (2005). Consistent with other sites from the Antarctic Zone of the Southern Ocean, we align opal maxima with interglacial and opal minima with glacial intervals. Opal variations are significant at all three primary periodicities (100, 40, and 23 kyr), coherent (&gt;95%), and inphase with the tuning target on the scale of individual cycles as well as their amplitude modulation. This supports the assumption of global ice volume-related changes in Southern Ocean paleoproductivity in the derivation of the age model. Between MIS 11 and 4, however, the opal record lacks minima corresponding to the glacial extremes of MIS 10, 8, and 6. During this interval of time, opal fluctuates primarily with a 23 kyr precession signal. We suggest that the productivity response to precession reflects an ice-free sea surface that remains sensitive to wind-driven upwelling of nutrients. Results from Site 745B illustrate the potential importance of regional climate forcing factors on longer time scales and their interplay with global climate background conditions.</t>
  </si>
  <si>
    <t>[Kaiser, Emily A.; Billups, Katharina] Univ Delaware, Sch Marine Sci &amp; Policy, Lewes, DE 19958 USA; [Kaiser, Emily A.] Univ S Florida, Coll Marine Sci, St Petersburg, FL USA; [Bradtmiller, Louisa] Macalester Coll, Dept Environm Studies, St Paul, MN 55105 USA</t>
  </si>
  <si>
    <t>University of Delaware; State University System of Florida; University of South Florida; Macalester College</t>
  </si>
  <si>
    <t>Billups, K (corresponding author), Univ Delaware, Sch Marine Sci &amp; Policy, Lewes, DE 19958 USA.</t>
  </si>
  <si>
    <t>kbillups@udel.edu</t>
  </si>
  <si>
    <t>Kaiser, Emily/0000-0002-4535-1627; Bradtmiller, Louisa/0000-0001-6595-6095</t>
  </si>
  <si>
    <t>School of Marine Science and Policy; University of Delaware; Carolyn Thompson Thoroughgood Graduate Research Fund</t>
  </si>
  <si>
    <t>We thank the editors for handling the manuscript. We are grateful to three reviewers whose constructive feedback has helped us to develop our thoughts. EK thanks the School of Marine Science and Policy and the University of Delaware for a stipend and travel grants. EK also thanks Mr. &amp; Mrs. Boyer for supporting this project through the Carolyn Thompson Thoroughgood Graduate Research Fund. EK thanks Dr. George Luther at the University of Delaware for sharing his lab space and spectrophotometer for this project.</t>
  </si>
  <si>
    <t>e2020PA004033</t>
  </si>
  <si>
    <t>10.1029/2020PA004033</t>
  </si>
  <si>
    <t>WOS:000635265600009</t>
  </si>
  <si>
    <t>Huang, H; Gutjahr, M; Kuhn, G; Hathorne, EC; Eisenhauer, A</t>
  </si>
  <si>
    <t>Huang, H.; Gutjahr, M.; Kuhn, G.; Hathorne, Ed C.; Eisenhauer, A.</t>
  </si>
  <si>
    <t>Efficient Extraction of Past Seawater Pb and Nd Isotope Signatures From Southern Ocean Sediments</t>
  </si>
  <si>
    <t>Fe‐ Mn oxyhydroxides; Nd isotopes; Pb isotopes; reductive leaching; sediment; Southern Ocean</t>
  </si>
  <si>
    <t>DEEP-SEA SEDIMENTS; NEODYMIUM ISOTOPES; DOUBLE SPIKE; FERROMANGANESE CRUSTS; AUTHIGENIC PHASES; CORAL SKELETONS; ATLANTIC-OCEAN; NORTH-ATLANTIC; LEAD ISOTOPES; WEDDELL SEA</t>
  </si>
  <si>
    <t>Radiogenic lead (Pb) and neodymium (Nd) isotope compositions extracted from authigenic phases in marine sediments are sensitive tracers to reconstruct past ocean circulation and water mass mixing. Chemical reductive leaching of hydrogenetic ferromanganese oxyhydroxides from bulk sediments is the most practical way to recover past seawater Pb and Nd isotope signatures in the Southern Ocean, due to the scarcity of alternative archives. However, the leached signal could be compromised if substantial quantities of Pb and Nd were released from non-hydrogenetic sediment fractions during chemical extraction. Here we developed a very short 10-s leaching method to extract reliable seawater Pb and Nd isotope signals from sediments in the Atlantic sector of Southern Ocean. The effect of a previously recommended MgCl2 pre-wash, the role of chelate ligands in the leaching solution and length of leaching time were investigated. The results show that 10-s exposure time of sediments to reductive leaching extracted sufficient and more reliable hydrogenetic Pb and Nd compared with the commonly used 30-min leaching approaches. The robustness of our improved leaching method was validated via direct comparison of Pb and Nd isotope signatures with actual seawater, porewater, and corresponding sediment leachates from three stations in front of the Antarctic Filchner-Ronne Ice Shelf. Our findings also indicate that in contrast previously studied sites on the West Antarctic continental shelf, the bottom seawater Nd concentration is less elevated through benthic fluxes in the area of the southern Weddell Sea shelf.</t>
  </si>
  <si>
    <t>[Huang, H.; Gutjahr, M.; Hathorne, Ed C.; Eisenhauer, A.] GEOMAR Helmholtz Ctr Ocean Res Kiel, Kiel, Germany; [Kuhn, G.] Alfred Wegener Inst, Helmholtz Zentrum Polar &amp; Meeresforsch, Bremerhaven, Germany</t>
  </si>
  <si>
    <t>Helmholtz Association; GEOMAR Helmholtz Center for Ocean Research Kiel; Helmholtz Association; Alfred Wegener Institute, Helmholtz Centre for Polar &amp; Marine Research</t>
  </si>
  <si>
    <t>Huang, H (corresponding author), GEOMAR Helmholtz Ctr Ocean Res Kiel, Kiel, Germany.</t>
  </si>
  <si>
    <t>huanghuang@mail.sysu.edu.cn</t>
  </si>
  <si>
    <t>Gutjahr, Marcus/ABC-2674-2020; Gutjahr, Marcus/L-9158-2013; Huang, Huang/V-5563-2017</t>
  </si>
  <si>
    <t>Gutjahr, Marcus/0000-0003-2556-2619; Gutjahr, Marcus/0000-0003-2556-2619; Hathorne, Ed/0000-0002-7813-2455; Kuhn, Gerhard/0000-0001-6069-7485; Huang, Huang/0000-0001-9723-9955</t>
  </si>
  <si>
    <t>Sediment material for this study was obtained from the AWI core repository in Bremerhaven. The authors thank Jutta Heinze, Tyler Goepfert, Ana Kolevica, Bettina Domeyer, and Michael Seebeck for technical support. The authors also thank the chief scientist Michael Schroder, Captain Stefan Schwarze and the crew of Polarstern for their contribution. M. Janout, H. Hellmer, C. Hanfland, and A. Wisotzki helped with CTD seawater sampling, while Maria-Elena Vorrath and Hannes Grobe are thanked for their help during MUC sampling. F. Scholz is acknowledged for advice and introduction on the MUC porewater sampling technique using glove bags. Huang Huang acknowledges the China Scholarship Council (CSC) for providing financial support to his overseas study. Open access funding enabled and organized by Projekt DEAL.</t>
  </si>
  <si>
    <t>e2020GC009287</t>
  </si>
  <si>
    <t>10.1029/2020GC009287</t>
  </si>
  <si>
    <t>RH6XZ</t>
  </si>
  <si>
    <t>Green Accepted, hybrid, Green Published</t>
  </si>
  <si>
    <t>WOS:000636360200016</t>
  </si>
  <si>
    <t>Sauli, C; Sorlien, C; Busetti, M; De Santis, L; Geletti, R; Wardell, N; Luyendyk, BP</t>
  </si>
  <si>
    <t>Sauli, C.; Sorlien, C.; Busetti, M.; De Santis, L.; Geletti, R.; Wardell, N.; Luyendyk, B. P.</t>
  </si>
  <si>
    <t>Neogene Development of the Terror Rift, Western Ross Sea, Antarctica</t>
  </si>
  <si>
    <t>TRANSANTARCTIC MOUNTAINS FRONT; SOUTHERN VICTORIA-LAND; SEISMIC STRATIGRAPHY; CONTINENTAL-MARGIN; CLIMATE-DRIVEN; MCMURDO SOUND; ICE-SHEET; FAULTS; ISLAND; EAST</t>
  </si>
  <si>
    <t>The Terror Rift is a 350 km-long, 50-70 km-wide, north-trending deep basin in the western Ross Sea, adjacent to the Transantarctic Mountains. The Terror Rift lies within the broader Victoria Land Basin, which experienced 100 km of a mid-Cenozoic extension. New fault and post-29 Ma seismic stratigraphic interpretations were developed using all the seismic reflection data available from the Antarctic Seismic Data Library System and were correlated to all the scientific coreholes. A new 3D velocity model was used for depth conversions. Depth-converted seismic profiles are used to image the faulting along the rift margins. Two segments of steep normal-separation faults, which are connected by a broad anticline, border the eastern margin, whereas steep to sub vertical faults, combined with a stratal dip, produce the relief present at the western margin. The overall geometry of the Terror Rift shows an asymmetric half-graben structure with a main bounding fault that dips alternatively eastward and westward in the southern and in the central parts, until it becomes a symmetric graben in the north. Both the eastern and western faults were active since at least 29 Ma in the southern and central Terror Rift and at least since 21 Ma in the north. This fault activity appears to have continued within the whole Terror Rift into post-Miocene time, as suggested by the significant component of post-Miocene vertical slip. The measurements of large sedimentary rock thicknesses changes over time between the rift shoulders and the deepest part of the basin and agree with the continuous faulting and relative subsidence in the southern Terror Rift that occurred between 29 and 13 Ma. These changes differ from several published papers that proposed that no significant tectonic activity occurred between 23 and 13 Ma. Despite the growth of the Terror Rift basin, the extension after 21 Ma was only similar to 2-4 km across offshore mapped faults in the Terror Rift, and this minor extension agrees with a published plate tectonic study that suggests that the Terror Rift was a transtensional dextral transform boundary between 26 and 11 Ma. Therefore, the Terror Rift may have changed from an orthogonal rift into a transtensional transform boundary after 26 Ma, with the faulting after 11 Ma considered to be intraplate deformation.</t>
  </si>
  <si>
    <t>[Sauli, C.; Busetti, M.; De Santis, L.; Geletti, R.; Wardell, N.] Natl Inst Oceanog &amp; Appl Geophys OGS, Trieste, Italy; [Sorlien, C.; Luyendyk, B. P.] Univ Calif Santa Barbara, Earth Res Inst, Santa Barbara, CA 93106 USA</t>
  </si>
  <si>
    <t>Istituto Nazionale di Oceanografia e di Geofisica Sperimentale; University of California System; University of California Santa Barbara</t>
  </si>
  <si>
    <t>Sauli, C (corresponding author), Natl Inst Oceanog &amp; Appl Geophys OGS, Trieste, Italy.</t>
  </si>
  <si>
    <t>csauli@inogs.it</t>
  </si>
  <si>
    <t>Busetti, Martina/L-5185-2014</t>
  </si>
  <si>
    <t>Busetti, Martina/0000-0001-7039-3282; Geletti, Riccardo/0000-0002-6574-011X; Sorlien, Christopher/0000-0002-2359-9592; De Santis, Laura/0000-0002-7752-7754; Luyendyk, Bruce/0000-0002-8722-2807; Sauli, Chiara/0000-0002-0726-9702</t>
  </si>
  <si>
    <t>PNRA (Programma Nazionale di Ricerca in Antartide); NSF [NSF-OCE PLR 1341585]</t>
  </si>
  <si>
    <t>PNRA (Programma Nazionale di Ricerca in Antartide); NSF(National Science Foundation (NSF))</t>
  </si>
  <si>
    <t>Funded by PNRA (Programma Nazionale di Ricerca in Antartide) in the framework of Projects Vild and Rossmap. The study was supported also by NSF funding NSF-OCE PLR 1341585 to Sorlien and Luyendyk. We acknowledge the SCAR Antarctic Seismic Data Library System for Cooperative Research (https://sdls.ogs.trieste.it/; Childs et al., 1994) for the MCS data availability and Terry Wilson and Stuart Henrys for the use of NBP0401 profiles through the SDLS. We acknowledge IHS Markit for the academic license of Kingdom Suite software, GeoMapApp (www.geomapapp.org) and the Istituto Nazionale di Oceanografia e di Geofisica Sperimentale-OGS-and the UC Santa Barbara-UCSB-for logistic, instruments and utilities supply. We want to thank Doug Wilson for scientific discussion and contribution. Furthermore, we want to acknowledge Rossmap participants, Fred Davey, Roi Granot, Phil Bart, Lou Bartek, Gualtiero Bohm. Our acknowledgment is also for Roi Granot, Christine Siddoway and Florence Colleoni for significant help. We thank the two anonymous reviewers and Dennis Harry whose comments and suggestions helped to improve this manuscript.</t>
  </si>
  <si>
    <t>e2020GC009076</t>
  </si>
  <si>
    <t>10.1029/2020GC009076</t>
  </si>
  <si>
    <t>WOS:000636360200038</t>
  </si>
  <si>
    <t>Mayk, D</t>
  </si>
  <si>
    <t>Mayk, Dennis</t>
  </si>
  <si>
    <t>Transitional spherulitic layer in the muricid Nucella lapillus</t>
  </si>
  <si>
    <t>JOURNAL OF MOLLUSCAN STUDIES</t>
  </si>
  <si>
    <t>[Mayk, Dennis] Univ Cambridge, Dept Earth Sci, Cambridge, England; [Mayk, Dennis] British Antarctic Survey, Cambridge, England</t>
  </si>
  <si>
    <t>University of Cambridge; UK Research &amp; Innovation (UKRI); Natural Environment Research Council (NERC); NERC British Antarctic Survey</t>
  </si>
  <si>
    <t>Mayk, D (corresponding author), Univ Cambridge, Dept Earth Sci, Cambridge, England.;Mayk, D (corresponding author), British Antarctic Survey, Cambridge, England.</t>
  </si>
  <si>
    <t>dm807@cam.ac.uk</t>
  </si>
  <si>
    <t>Mayk, Dennis/0000-0002-5017-1495</t>
  </si>
  <si>
    <t>Natural Environment Research Council [NE/L002507/1]; NERC [bas0100036] Funding Source: UKRI</t>
  </si>
  <si>
    <t>I would like to thank Professor Liz Harper for her support and extensive feedback, which greatly helped to improve earlier versions of this manuscript. I also would like to thank two anonymous reviewers for their constructive comments. This work was supported by the Natural Environment Research Council (grant no. NE/L002507/1).</t>
  </si>
  <si>
    <t>0260-1230</t>
  </si>
  <si>
    <t>1464-3766</t>
  </si>
  <si>
    <t>J MOLLUS STUD</t>
  </si>
  <si>
    <t>J. Molluscan Stud.</t>
  </si>
  <si>
    <t>eyaa035</t>
  </si>
  <si>
    <t>10.1093/mollus/eyaa035</t>
  </si>
  <si>
    <t>RI0DK</t>
  </si>
  <si>
    <t>WOS:000636580600007</t>
  </si>
  <si>
    <t>Kufner, SK; Brisbourne, AM; Smith, AM; Hudson, TS; Murray, T; Schlegel, R; Kendall, JM; Anandakrishnan, S; Lee, I</t>
  </si>
  <si>
    <t>Kufner, Sofia-Katerina; Brisbourne, Alex M.; Smith, Andrew M.; Hudson, Thomas S.; Murray, Tavi; Schlegel, Rebecca; Kendall, John M.; Anandakrishnan, Sridhar; Lee, Ian</t>
  </si>
  <si>
    <t>Not all Icequakes are Created Equal: Basal Icequakes Suggest Diverse Bed Deformation Mechanisms at Rutford Ice Stream, West Antarctica</t>
  </si>
  <si>
    <t>basal sliding; glacier bed; icequake; ice stream; microseismicity; West Antarctica</t>
  </si>
  <si>
    <t>FLOW; SURFACE; BENEATH; TILL; EARTHQUAKES; SEISMICITY; TREMOR</t>
  </si>
  <si>
    <t>Microseismicity, induced by the sliding of a glacier over its bed, can be used to characterize frictional properties of the ice-bed interface, which are a key parameter controlling ice stream flow. We use naturally occurring seismicity to monitor spatiotemporally varying bed properties at Rutford Ice Stream, West Antarctica. We locate 230,000 micro-earthquakes with local magnitudes from -2.0 to -0.3 using 90 days of recordings from a 35-station seismic network located similar to 40 km upstream of the grounding line. Events exclusively occur near the ice-bed interface and indicate predominantly flow-parallel stick-slip. They mostly lie within a region of interpreted stiff till and along the likely stiffer part of mega-scale glacial lineations. Within these regions, micro-earthquakes occur in spatially (&lt;100 m radius) and temporally (mostly 1-5 days activity) restricted event-clusters (up to 4,000 events), which exhibit an increase, followed by a decrease, in event magnitude with time. This may indicate event triggering once activity is initiated. Although ocean tides modulate the surface ice flow velocity, we observe little periodic variation in overall event frequency over time and conclude that water content, bed topography and stiffness are the major factors controlling microseismicity. Based on variable rupture mechanisms and spatiotemporal characteristics, we suggest the event-clusters relate to three end-member types of bed deformation: (1) continuous creation and seismogenic destruction of small-scale bed-roughness, (2) ploughed clasts, and (3) flow-oblique deformation during landform formation or along bedrock outcrops. This indicates that multiple processes, simultaneously active during glacial sliding, can accommodate stick-slip behavior and that the bed continuously reorganizes.</t>
  </si>
  <si>
    <t>[Kufner, Sofia-Katerina; Brisbourne, Alex M.; Smith, Andrew M.] NERC, British Antarctic Survey, Cambridge, England; [Hudson, Thomas S.; Kendall, John M.] Univ Oxford, Dept Earth Sci, Oxford, England; [Murray, Tavi; Schlegel, Rebecca] Swansea Univ, Geog, Swansea, W Glam, Wales; [Anandakrishnan, Sridhar; Lee, Ian] Penn State Univ, Geosci &amp; Earth &amp; Environm Syst Inst, Univ Pk, State Coll, PA USA</t>
  </si>
  <si>
    <t>UK Research &amp; Innovation (UKRI); Natural Environment Research Council (NERC); NERC British Antarctic Survey; University of Oxford; Swansea University; Pennsylvania Commonwealth System of Higher Education (PCSHE); Pennsylvania State University; Pennsylvania State University - University Park</t>
  </si>
  <si>
    <t>Kufner, SK (corresponding author), NERC, British Antarctic Survey, Cambridge, England.</t>
  </si>
  <si>
    <t>Kendall, Michael/D-5973-2011; Lee, Ian R.J./AAE-6107-2022; Anandakrishnan, Sridhar/JCN-5026-2023; Hudson, Thomas/IQS-9833-2023; Brisbourne, Alex/E-6198-2013</t>
  </si>
  <si>
    <t>Kendall, Michael/0000-0002-1486-3945; Lee, Ian R.J./0000-0001-6871-266X; Hudson, Thomas/0000-0003-2944-883X; SMITH, ANDREW/0000-0001-8577-482X; Kufner, Sofia-Katerina/0000-0002-9687-5455; Murray, Tavi/0000-0001-6714-6512; Schlegel, Rebecca/0000-0003-1149-2816; Brisbourne, Alex/0000-0002-9887-7120</t>
  </si>
  <si>
    <t>NERC AFI [NE/G014159/1, NE/G013187/1]; National Science Foundation's Seismological Facilities for the Advancement of Geoscience (SAGE) Award [EAR1851048]; NERC [NE/G013187/1, NE/G014159/1] Funding Source: UKRI</t>
  </si>
  <si>
    <t>NERC AFI(UK Research &amp; Innovation (UKRI)Natural Environment Research Council (NERC)); National Science Foundation's Seismological Facilities for the Advancement of Geoscience (SAGE) Award; NERC(UK Research &amp; Innovation (UKRI)Natural Environment Research Council (NERC))</t>
  </si>
  <si>
    <t>This work was funded by NERC AFI award numbers NE/G014159/1 and NE/G013187/1. The authors thank the staff at Rothera Research Station and BAS logistics for enabling the fieldwork associated to this project and the BEAMISH field team (2018/2019) for acquiring the passive seismic data. Seismic instruments were provided by NERC SEIS-UK (Loan 1017), by BAS and by the Incorporated Research Institutions for Seismology (IRIS) through the PASSCAL Instrument Center at New Mexico Tech. The facilities of the IRIS Consortium are supported by the National Science Foundation's Seismological Facilities for the Advancement of Geoscience (SAGE) Award under Cooperative Support Agreement EAR1851048. Jamie Oliver (BAS) helped in preparing the schematic sketch of Figure 10. They thank three anonymous referees for useful comments that improved the manuscript.</t>
  </si>
  <si>
    <t>e2020JF006001</t>
  </si>
  <si>
    <t>10.1029/2020JF006001</t>
  </si>
  <si>
    <t>RH5XA</t>
  </si>
  <si>
    <t>WOS:000636290000018</t>
  </si>
  <si>
    <t>Kihara, W; Munakata, K; Kato, C; Kataoka, R; Kadokura, A; Miyake, S; Kozai, M; Kuwabara, T; Tokumaru, M; Mendonça, RRS; Echer, E; Dal Lago, A; Rockenbach, M; Schuch, NJ; Bageston, JV; Braga, CR; Al Jassar, HK; Sharma, MM; Duldig, ML; Humble, JE; Evenson, P; Sabbah, I; Kóta, J</t>
  </si>
  <si>
    <t>Kihara, W.; Munakata, K.; Kato, C.; Kataoka, R.; Kadokura, A.; Miyake, S.; Kozai, M.; Kuwabara, T.; Tokumaru, M.; Mendonca, R. R. S.; Echer, E.; Dal Lago, A.; Rockenbach, M.; Schuch, N. J.; Bageston, J., V; Braga, C. R.; Al Jassar, H. K.; Sharma, M. M.; Duldig, M. L.; Humble, J. E.; Evenson, P.; Sabbah, I; Kota, J.</t>
  </si>
  <si>
    <t>A Peculiar ICME Event in August 2018 Observed With the Global Muon Detector Network</t>
  </si>
  <si>
    <t>coronal mass ejection; corotating interaction region; cosmic‐ ray; geomagnetic storm; magnetic flux rope; solar minimum</t>
  </si>
  <si>
    <t>CORONAL MASS EJECTIONS; PROPAGATION; PARTICLES</t>
  </si>
  <si>
    <t>We demonstrate that global observations of high-energy cosmic rays contribute to understanding unique characteristics of a large-scale magnetic flux rope causing a magnetic storm in August 2018. Following a weak interplanetary shock on August 25, 2018, a magnetic flux rope caused an unexpectedly large geomagnetic storm. It is likely that this event became geoeffective because the flux rope was accompanied by a corotating interaction region and compressed by high-speed solar wind following the flux rope. In fact, a Forbush decrease was observed in cosmic-ray data inside the flux rope as expected, and a significant cosmic-ray density increase exceeding the unmodulated level before the shock was also observed near the trailing edge of the flux rope. The cosmic-ray density increase can be interpreted in terms of the adiabatic heating of cosmic rays near the trailing edge of the flux rope, as the corotating interaction region prevents free expansion of the flux rope and results in the compression near the trailing edge. A northeast-directed spatial gradient in the cosmic-ray density was also derived during the cosmic-ray density increase, suggesting that the center of the heating near the trailing edge is located northeast of Earth. This is one of the best examples demonstrating that the observation of high-energy cosmic rays provides us with information that can only be derived from the cosmic ray measurements to observationally constrain the three-dimensional macroscopic picture of the interaction between coronal mass ejections and the ambient solar wind, which is essential for prediction of large magnetic storms.</t>
  </si>
  <si>
    <t>[Kihara, W.; Munakata, K.; Kato, C.] Shinshu Univ, Phys Dept, Matsumoto, Nagano, Japan; [Kataoka, R.; Kadokura, A.] Natl Inst Polar Res, Tachikawa, Tokyo, Japan; [Miyake, S.] Ibaraki Coll, Natl Inst Technol, Dept Elect &amp; Elect Syst Engn, Ibaraki, Japan; [Kozai, M.] Japan Aerosp Explorat Agcy, Inst Space &amp; Astronaut Sci, Sagamihara, Kanagawa, Japan; [Kuwabara, T.] Chiba Univ, Grad Sch Sci, Chiba, Japan; [Tokumaru, M.] Nagoya Univ, Inst Space Earth Environm Res, Nagoya, Aichi, Japan; [Mendonca, R. R. S.; Echer, E.; Dal Lago, A.; Rockenbach, M.; Schuch, N. J.; Bageston, J., V] Natl Inst Space Res, Sao Jose Dos Campos, SP, Brazil; [Braga, C. R.] George Mason Univ, Fairfax, VA 22030 USA; [Al Jassar, H. K.; Sharma, M. M.] Kuwait Univ, Phys Dept, Kuwait, Kuwait; [Duldig, M. L.; Humble, J. E.] Univ Tasmania, Sch Nat Sci, Hobart, Tas, Australia; [Evenson, P.] Univ Delaware, Dept Phys &amp; Astron, Bartol Res Inst, Newark, DE 19716 USA; [Sabbah, I] Publ Author Appl Educ &amp; Training, Dept Appl Sci, Coll Technol Studies, Shuwaikh, Kuwait; [Kota, J.] Univ Arizona, Lunar &amp; Planetary Lab, Tucson, AZ 85721 USA</t>
  </si>
  <si>
    <t>Shinshu University; Research Organization of Information &amp; Systems (ROIS); National Institute of Polar Research (NIPR) - Japan; National Institutes for Quantum Science &amp; Technology; Japan Aerospace Exploration Agency (JAXA); Institute of Space &amp; Astronautical Science (ISAS); Chiba University; Nagoya University; Instituto Nacional de Pesquisas Espaciais (INPE); George Mason University; Kuwait University; University of Tasmania; University of Delaware; Public Authority for Applied Education &amp; Training (PAAET) - Kuwait; University of Arizona</t>
  </si>
  <si>
    <t>Kihara, W (corresponding author), Shinshu Univ, Phys Dept, Matsumoto, Nagano, Japan.</t>
  </si>
  <si>
    <t>19ss204g@shinshu-u.ac.jp</t>
  </si>
  <si>
    <t>KATAOKA, RYUHO/AAJ-4570-2020; Schuch, Nelson Jorge/K-9730-2015; Mendonça, Rafael/J-6648-2016; Echer, Ezequiel/AFP-7220-2022; AlJassar, Hala/Y-3030-2019; Rockenbach, Marlos/C-1711-2012; Dal Lago, Alisson/H-6511-2017</t>
  </si>
  <si>
    <t>Echer, Ezequiel/0000-0002-8351-6779; Rockenbach, Marlos/0000-0002-9737-9429; /0000-0002-0417-6877; Dal Lago, Alisson/0000-0002-4361-6492; Duldig, Marcus/0000-0001-7463-8267; KADOKURA, AKIRA/0000-0002-6105-9562; Braga, Carlos Roberto/0000-0003-1485-9564; Munakata, Kazuoki/0000-0002-2131-4100; Miyake, Shoko/0000-0002-3067-655X; Kataoka, Ryuho/0000-0001-9400-1765; Tokumaru, Munetoshi/0000-0002-2982-1887</t>
  </si>
  <si>
    <t>National Institute of Polar Research, in Japan; Institute for Space-Earth Environmental Research (ISEE), Nagoya University; Institute for Cosmic Ray Research (ICRR), University of Tokyo; INPE; UFSM; Australian Antarctic Division; Research Administration of Kuwait University [SP01/09]; Brazilian Agency-CNPq [300886/2016-0]; Sao Paulo Research Foundation (FAPESP) [2014/24711-6, 2017/21270-7]; Brazilian funding agency FAPESP [2018/21657-1]; Brazilian funding agency CNPq [PQ-301883/2019-0, PQ-309916/2018-6]</t>
  </si>
  <si>
    <t>National Institute of Polar Research, in Japan; Institute for Space-Earth Environmental Research (ISEE), Nagoya University; Institute for Cosmic Ray Research (ICRR), University of Tokyo; INPE; UFSM; Australian Antarctic Division; Research Administration of Kuwait University; Brazilian Agency-CNPq(Conselho Nacional de Desenvolvimento Cientifico e Tecnologico (CNPQ)); Sao Paulo Research Foundation (FAPESP)(Fundacao de Amparo a Pesquisa do Estado de Sao Paulo (FAPESP)); Brazilian funding agency FAPESP(Fundacao de Amparo a Pesquisa do Estado de Sao Paulo (FAPESP)); Brazilian funding agency CNPq(Conselho Nacional de Desenvolvimento Cientifico e Tecnologico (CNPQ))</t>
  </si>
  <si>
    <t>This work is supported in part by the joint research programs of the National Institute of Polar Research, in Japan, the Institute for Space-Earth Environmental Research (ISEE), Nagoya University, and the Institute for Cosmic Ray Research (ICRR), University of Tokyo. The observations are supported by Nagoya University with the Nagoya muon detector, by INPE and UFSM with the Sao Martinho da Serra muon detector, by the Australian Antarctic Division with the Hobart muon detector, and by project SP01/09 of the Research Administration of Kuwait University with the Kuwait City muon detector. The authors gratefully acknowledge the NOAA Air Resources Laboratory (ARL) for the provision of GDAS data, which are available at READY website (http://www.ready.noaa.gov) and used in this study. The Wind spacecraft data were obtained via the NASA homepage and the hourly DST index is provided by the WDC for Geomagnetism, Kyoto, Japan. N. J. Schuch thanks the Brazilian Agency-CNPq for the fellowship under grant number 300886/2016-0 and C. R. Braga acknowledges grants #2014/24711-6 and #2017/21270-7 from Sao Paulo Research Foundation (FAPESP). E. Echer would like to thank Brazilian funding agencies for research grants FAPESP (2018/21657-1) and CNPq PQ-301883/2019-0). A. Dal Lago would like to thank Brazilian funding agency CNPq (PQ-309916/2018-6).</t>
  </si>
  <si>
    <t>e2020SW002531</t>
  </si>
  <si>
    <t>10.1029/2020SW002531</t>
  </si>
  <si>
    <t>RH5TA</t>
  </si>
  <si>
    <t>WOS:000636279600006</t>
  </si>
  <si>
    <t>Chattová, B; Lebouvier, M; Syrovátka, V; Van de Vijver, B</t>
  </si>
  <si>
    <t>Chattova, Barbora; Lebouvier, Marc; Syrovatka, Vit; Van de Vijver, Bart</t>
  </si>
  <si>
    <t>Moss-inhabiting diatom communities from Ile Amsterdam (TAAF, southern Indian Ocean)</t>
  </si>
  <si>
    <t>PLANT ECOLOGY AND EVOLUTION</t>
  </si>
  <si>
    <t>Bacillariophyta; diatoms; ecology; mosses; Ile Amsterdam; southern Indian Ocean; sub-Antarctic region</t>
  </si>
  <si>
    <t>LA POSSESSION CROZET; GENUS HUMIDOPHILA BACILLARIOPHYTA; FRESH-WATER; TERRESTRIAL DIATOMS; EXPERIMENTAL DESICCATION; BENTHIC DIATOMS; ORGANIC-ACIDS; ISLAND; TOLERANCE; REVISION</t>
  </si>
  <si>
    <t>Background and aims - Despite the ongoing taxonomical revision of the entire (sub)-Antarctic diatom flora, our knowledge on the ecology and community associations of moss-inhabiting diatoms is still rather limited. In the present study, our research aim was to survey the diversity together with the environmental factors structuring the epiphytic moss diatom communities on Ile Amsterdam (TAAF), a small volcanic island in the southern Indian Ocean. Material and methods - A morphology-based dataset and (physico)chemical measurements were used for the ecological and biogeographical analysis of moss-inhabiting diatom flora from Ile Amsterdam. In total, 148 moss samples were examined using light microscopy. Key results - The analysis revealed the presence of 125 diatom taxa belonging to 38 genera. The uniqueness of the Ile Amsterdam diatom flora is mainly reflected by the species composition of the dominant genera Pinnularia, Nitzschia, Humidophila, and Luticola, with a large number of unknown and often new species. This highly specific diatom flora, together with differences in the habitats sampled and the isolated position of the island, resulted in very low similarity values between Ile Amsterdam and the other islands of the Southern Ocean. From a biogeographical point of view, 40% of the taxa have a typical cosmopolitan distribution, whereas 22% of all observed species can be considered endemic to Ile Amsterdam, with another 17% species showing a restricted sub-Antarctic distribution. The NMDS analysis, based on a cluster dendrogram, divides the samples into six main groups. For each group, indicator species were determined. Both environmental data and diatom distributions indicate that apart from elevation, specific conductance, pH, and moisture are the major factors determining the structure of moss-inhabiting diatom communities on Ile Amsterdam. Conclusion - The isolated geographic position and unique climatological and geological features of the island shaped the presence of a unique diatom flora, characterised by many endemic species. The results of the study are of prime importance for further (palaeo-)ecological and biogeographical research.</t>
  </si>
  <si>
    <t>[Chattova, Barbora; Syrovatka, Vit] Masaryk Univ, Fac Sci, Dept Bot &amp; Zool, Kotlarska 2, Brno 61137, Czech Republic; [Lebouvier, Marc] Univ Rennes, CNRS, EcoBio Ecosyst Biodiversite Evolut, UMR 6553, F-35000 Rennes, France; [Van de Vijver, Bart] Meise Bot Garden, Res Dept, Nieuwelaan 38, B-1860 Meise, Belgium; [Van de Vijver, Bart] Univ Antwerp, Dept Biol, ECOBE, Univ Pl 1, B-2610 Antwerp, Belgium</t>
  </si>
  <si>
    <t>Masaryk University Brno; Universite de Rennes; Centre National de la Recherche Scientifique (CNRS); CNRS - Institute of Ecology &amp; Environment (INEE); University of Antwerp</t>
  </si>
  <si>
    <t>Chattová, B (corresponding author), Masaryk Univ, Fac Sci, Dept Bot &amp; Zool, Kotlarska 2, Brno 61137, Czech Republic.</t>
  </si>
  <si>
    <t>barbora.chattova@gmail.com</t>
  </si>
  <si>
    <t>French Polar Institute [IPEV 136]; ERASMUS scholarship</t>
  </si>
  <si>
    <t>French Polar Institute; ERASMUS scholarship</t>
  </si>
  <si>
    <t>The authors wish to thank Drs Pieter Ledeganck, Prof. Dr Eric Vidal, Dr Jennie Whinam, and Prof. Dr Willem De Smet for their help during the sampling campaigns, supported by the French Polar Institute (programme IPEV 136). Mrs Myriam de Haan is thanked for preparing the samples. Dr Barbora Chattova benefited from an institutional support of Masaryk University and an ERASMUS scholarship while studying at Meise Botanic Garden (Belgium). Dr Eveline Pinseel, the editor Dr Brecht Verstraete, and two anonymous reviewers are thanked for critically reading the manuscript and suggesting substantial improvements.</t>
  </si>
  <si>
    <t>SOC ROYAL BOTAN BELGIQUE</t>
  </si>
  <si>
    <t>MEISE</t>
  </si>
  <si>
    <t>NIEUWELAAN 38, B-1860 MEISE, BELGIUM</t>
  </si>
  <si>
    <t>2032-3913</t>
  </si>
  <si>
    <t>2032-3921</t>
  </si>
  <si>
    <t>PLANT ECOL EVOL</t>
  </si>
  <si>
    <t>Plant Ecol. Evol.</t>
  </si>
  <si>
    <t>10.5091/plecevo.2021.1767</t>
  </si>
  <si>
    <t>RH0OC</t>
  </si>
  <si>
    <t>WOS:000635926700008</t>
  </si>
  <si>
    <t>Fernández, JP; Chaar, FB; Epherra, L; González-Aravena, JM; Rubilar, T</t>
  </si>
  <si>
    <t>Pia Fernandez, Jimena; Belen Chaar, Florencia; Epherra, Lucia; Marcelo Gonzalez-Aravena, Jorge; Rubilar, Tamara</t>
  </si>
  <si>
    <t>Embryonic and larval development is conditioned by water temperature and maternal origin of eggs in the sea urchin Arbacia dufresnii (Echinodermata: Echinoidea)</t>
  </si>
  <si>
    <t>REVISTA DE BIOLOGIA TROPICAL</t>
  </si>
  <si>
    <t>Echinoderm; Echinoidea; parental provisioning; thermal effect; early life stages; larval growth</t>
  </si>
  <si>
    <t>PARACENTROTUS-LIVIDUS; THERMAL TOLERANCE; FERTILIZATION; ACIDIFICATION; INVERTEBRATE; OCEAN; NUEVO; FOOD</t>
  </si>
  <si>
    <t>Introduction: Embryonic and larval development in sea urchins is highly dependent on maternal nutritional status and on the environmental conditions of the seawater. Objective: To compare the development of Arbacia dufresnii in two different water temperatures and in progeny with varying maternal origins. Methods: We induced A. dufresnii females and males from Nuevo Gulf to spawn, collected the eggs of each female individually (progeny), separated them into two seawater temperatures (12 and 17 degrees C), and fertilized them. We recorded the percentage of fertilized eggs and embryos per developmental stage according to time, temperature and progeny. We measured larval growth by total length (TL) and midline body length (M) according to time post fecundation (DPF), temperature, and progeny. Results: Temperature did not affect fertilization, but embryo development was faster and more synchronized in the high temperature treatment. The generalized linear models indicate that embryo development depends on a quadruple interaction between the embryonic stage, time (h), seawater temperature and progeny. Larval growth was faster, producing larger larvae at the highest temperature. Larval growth depends on a triple interaction between time (DPF), seawater temperature and progeny. Conclusions: We found a temperature and progeny impact during embryonic and larval development and, in both cases, these factors generate a synergistic effect on developmental timing and larval size. This probably provides a survival advantage as a more rapid speed of development implies a decrease in the time spent in the water column, where the sea urchins are vulnerable to biotic and abiotic stressors.</t>
  </si>
  <si>
    <t>[Pia Fernandez, Jimena; Belen Chaar, Florencia; Rubilar, Tamara] Natl Univ Patagonia San Juan Bosco, Inst Patagon Mar, Lab Chem Marine Organisms, Bv Almte Brown 3051, Puerto Madryn, Argentina; [Pia Fernandez, Jimena; Belen Chaar, Florencia; Epherra, Lucia; Rubilar, Tamara] Consejo Nacl Invest Cient &amp; Tecn, Ctr Nacl Patagon, Ctr Estudio Sistemas Marinos, Biol Oceanog Lab, Blvd Almte Brown 2915, Puerto Madryn, Argentina; [Belen Chaar, Florencia] Natl Univ Patagonia San Juan Bosco, Blvd Almte Brown 3051, Puerto Madryn, Argentina; [Marcelo Gonzalez-Aravena, Jorge] Chilean Antarctic Inst, Sci Dept, Plaza Munoz Gamero 1055, Punta Arenas, Chile</t>
  </si>
  <si>
    <t>Consejo Nacional de Investigaciones Cientificas y Tecnicas (CONICET); Centro Nacional Patagonico (CENPAT)</t>
  </si>
  <si>
    <t>Rubilar, T (corresponding author), Natl Univ Patagonia San Juan Bosco, Inst Patagon Mar, Lab Chem Marine Organisms, Bv Almte Brown 3051, Puerto Madryn, Argentina.;Rubilar, T (corresponding author), Consejo Nacl Invest Cient &amp; Tecn, Ctr Nacl Patagon, Ctr Estudio Sistemas Marinos, Biol Oceanog Lab, Blvd Almte Brown 2915, Puerto Madryn, Argentina.</t>
  </si>
  <si>
    <t>jpfernandez@cenpat-conicet.gob.ar; chaar@gmail.com; lepherra@cenpat-conicet.gob.ar; mgonzalez@inach.cl; rubilar@cenpat-conicet.gob.ar</t>
  </si>
  <si>
    <t>Rubilar, Tamara/GOH-1861-2022</t>
  </si>
  <si>
    <t>chaar, Florencia/0000-0002-0841-2945</t>
  </si>
  <si>
    <t>[PIP 0352/14]; [PICT 2018-1729]</t>
  </si>
  <si>
    <t>;</t>
  </si>
  <si>
    <t>We are grateful to the diver Ricardo Bebo Vera for the collection of the sea urchins, to Mariano Moris for helping with the experiments and to Kathleen C. Anderson for the revision of the English. This work was undertaken with funds from PIP 0352/14, PICT 2018-1729. The sea urchins were collected by the Provincial Permit No 586/18.</t>
  </si>
  <si>
    <t>SAN JOSE</t>
  </si>
  <si>
    <t>UNIVERSIDAD DE COSTA RICA CIUDAD UNIVERSITARIA, SAN JOSE, 00000, COSTA RICA</t>
  </si>
  <si>
    <t>0034-7744</t>
  </si>
  <si>
    <t>2215-2075</t>
  </si>
  <si>
    <t>REV BIOL TROP</t>
  </si>
  <si>
    <t>Rev. Biol. Trop.</t>
  </si>
  <si>
    <t>RE9YK</t>
  </si>
  <si>
    <t>WOS:000634505300028</t>
  </si>
  <si>
    <t>Ganly, KH</t>
  </si>
  <si>
    <t>Ganly, Katharine H.</t>
  </si>
  <si>
    <t>Antarctic Fur Seal (Arctocephalus gazella)</t>
  </si>
  <si>
    <t>WILDERNESS &amp; ENVIRONMENTAL MEDICINE</t>
  </si>
  <si>
    <t>[Ganly, Katharine H.] British Antarctic Survey, Med Unit, Plymouth, Devon, England</t>
  </si>
  <si>
    <t>Ganly, KH (corresponding author), British Antarctic Survey, Med Unit, Plymouth, Devon, England.</t>
  </si>
  <si>
    <t>Ganly, Katharine/JRW-7401-2023</t>
  </si>
  <si>
    <t>Ganly, Katharine/0000-0003-2434-3748</t>
  </si>
  <si>
    <t>1080-6032</t>
  </si>
  <si>
    <t>1545-1534</t>
  </si>
  <si>
    <t>WILD ENVIRON MED</t>
  </si>
  <si>
    <t>Wildern. Environ. Med.</t>
  </si>
  <si>
    <t>Public, Environmental &amp; Occupational Health; Sport Sciences</t>
  </si>
  <si>
    <t>RD5CE</t>
  </si>
  <si>
    <t>WOS:000633495100026</t>
  </si>
  <si>
    <t>Dilley, B; Davies, D; Ortmann, HE; Glass, T; Ryan, PG</t>
  </si>
  <si>
    <t>Dilley, Ben J.; Davies, Delia; Ortmann, Heinz E.; Glass, Trevor; Ryan, Peter G.</t>
  </si>
  <si>
    <t>Population size and territories of Wilkins' Finches Nesospiza wilkinsi on Nightingale Island, Tristan da Cunha</t>
  </si>
  <si>
    <t>ARDEA</t>
  </si>
  <si>
    <t>Wilkins' Finch; Nightingale Island; Tristan da Cunha; speciation; large-billed specialist; Phylica arborea; Coccus hesperidum</t>
  </si>
  <si>
    <t>INACCESSIBLE ISLAND; ECOLOGICAL SPECIATION; BUNTINGS</t>
  </si>
  <si>
    <t>Nesospiza finches are endemic to two small islands in the Tristan da Cunha Archipelago in the South Atlantic Ocean. The finches have radiated into two ecologically distinct forms at both islands: an abundant, small-billed dietary generalist, and a scarce, large-billed specialist. On Nightingale Island (area 2.6 km(2)), the endangered large-billed Wilkins' Finches N. wilkinsi use their strong bills to crack open the hard, nut-like fruits of Island Cape Myrtle Phylica arborea trees to access the seeds. Although Phylica fruits are available year-round, the finch population is constrained by the limited area of fruit bearing Phylica trees (c. 12 ha), which makes Wilkins' Finch one of the world's naturally rarest bird species. Prior to this study, rough estimates ranged from 30-85 pairs, but there has been no dedicated survey of the population size. Over the austral summers of 2012, 2016 and 2017 we systematically caught and colour ringed birds to better estimate the population size. Pairs were present wherever there are Phylica trees across the island, utilising even small, isolated Phylica copses. Mean territory size for 117 pairs in 2017 was 0.215 +/- 0.094 ha (+/- SD, range 0.043-0.718) with a mean density of 9.8 pairs/ha in Phylica woodland. The total population was estimated to be 120 breeding pairs (c. 280-300 mature birds). The most pressing threat to the Wilkins' Finch population is the recent arrival of an invasive insect, the Brown Soft Scale Coccus hesperidum, and its associated sooty mould Seiridium phylicae, which reduces Phylica fruit loads and kills large trees. The potential use of a biological agent to control Brown Soft Scale infestations is being investigated, since without swift and effective mitigation, we predict the health of these woodlands will rapidly degrade with serious implications for the persistence of Wilkins' Finch. Until effective mitigation is taken, we recommend up-listing the species to Critically Endangered based on IUCN Red List Criterion B2.</t>
  </si>
  <si>
    <t>[Dilley, Ben J.; Davies, Delia; Ortmann, Heinz E.; Ryan, Peter G.] Univ Cape Town, DST NRF Ctr Excellence, FitzPatrick Inst African Ornithol, ZA-7701 Rondebosch, South Africa; [Dilley, Ben J.; Davies, Delia; Glass, Trevor] Govt Tristan da Cunha, Conservat Dept, Tristan Da Cunha TDCU 1ZZ, St Helena</t>
  </si>
  <si>
    <t>National Research Foundation - South Africa; University of Cape Town</t>
  </si>
  <si>
    <t>Dilley, B (corresponding author), Univ Cape Town, DST NRF Ctr Excellence, FitzPatrick Inst African Ornithol, ZA-7701 Rondebosch, South Africa.;Dilley, B (corresponding author), Govt Tristan da Cunha, Conservat Dept, Tristan Da Cunha TDCU 1ZZ, St Helena.</t>
  </si>
  <si>
    <t>dilleyben@gmail.com</t>
  </si>
  <si>
    <t>European Union [1181]; Tristan Government; FitzPatrick Institute of African Ornithology (University of Cape Town); South African National Research Foundation</t>
  </si>
  <si>
    <t>European Union(European Union (EU)); Tristan Government; FitzPatrick Institute of African Ornithology (University of Cape Town); South African National Research Foundation(National Research Foundation - South Africa)</t>
  </si>
  <si>
    <t>Thanks to the Tristan Island Council and all the islanders for their approval and support. This project received European Union funding through the BEST 2.0 programme (Voluntary scheme for Biodiversity and Ecosystem Services in Territories of European overseas, project 1181). Additional financial support was received from the Tristan Government, the FitzPatrick Institute of African Ornithology (University of Cape Town) and the South African National Research Foundation. We are grateful to Peter Minton for providing shape files for the island map. The then South African Department of Environmental Affairs provided logistical support through the South African National Antarctic Programme (SANAP).</t>
  </si>
  <si>
    <t>NEDERLANDSE ORNITHOLOGISCHE UNIE</t>
  </si>
  <si>
    <t>ZEIST</t>
  </si>
  <si>
    <t>C/O PAUL STARMANS, OUDE ARNHEMSEWEG 261, 3705 BD ZEIST, NETHERLANDS</t>
  </si>
  <si>
    <t>0373-2266</t>
  </si>
  <si>
    <t>2213-1175</t>
  </si>
  <si>
    <t>Ardea</t>
  </si>
  <si>
    <t>10.5253/arde.v109i1.a7</t>
  </si>
  <si>
    <t>RE9ZP</t>
  </si>
  <si>
    <t>WOS:000634508500008</t>
  </si>
  <si>
    <t>Singh, HKA; Landrum, L; Holland, MM; Bailey, DA; DuVivier, AK</t>
  </si>
  <si>
    <t>Singh, Hansi K. A.; Landrum, Laura; Holland, Marika M.; Bailey, David A.; DuVivier, Alice K.</t>
  </si>
  <si>
    <t>An Overview of Antarctic Sea Ice in the Community Earth System Model Version 2, Part I: Analysis of the Seasonal Cycle in the Context of Sea Ice Thermodynamics and Coupled Atmosphere-Ocean-Ice Processes</t>
  </si>
  <si>
    <t>JOURNAL OF ADVANCES IN MODELING EARTH SYSTEMS</t>
  </si>
  <si>
    <t>Antarctic sea ice; atmosphere‐ ocean interactions; sea ice seasonal cycle; sea ice growth processes; atmosphere‐ ocean‐ ice interactions; sea ice melt processes</t>
  </si>
  <si>
    <t>SOUTHERN-OCEAN; MASS-BALANCE; CLIMATE; VARIABILITY; CLOUD; PARAMETERIZATION; NUCLEATION; PARAMETRIZATION; CIRCULATION; SENSITIVITY</t>
  </si>
  <si>
    <t>We assess Antarctic sea ice climatology and variability in version 2 of the Community Earth System Model (CESM2) and compare it to that in the older CESM1 and (where appropriate) real-world observations. In CESM2, Antarctic sea ice is thinner and less extensive than in CESM1, though sea ice area is still approximately 1 million km(2) greater in CESM2 than in present-day observations. Though there is less Antarctic sea ice in CESM2, the annual cycle of ice growth and melt is more vigorous in CESM2 than in CESM1. A new mushy layer thermodynamics formulation implemented in the latest version of the Community Ice Code (CICE) in CESM2 accounts for both greater frazil ice formation in coastal polynyas and more snow-to-ice conversion near the edge of the ice pack in the new model. Greater winter ice divergence in CESM2 (relative to CESM1) is due to stronger stationary wave activity and greater wind stress curl over the ice pack. Greater wind stress curl, in turn, drives more warm water upwelling under the ice pack, thinning it and decreasing its extent. Overall, differences between Antarctic sea ice in CESM2 and CESM1 arise due to both differences in their sea ice thermodynamics formulations and differences in their coupled atmosphere-ocean states.</t>
  </si>
  <si>
    <t>[Singh, Hansi K. A.] Univ Victoria, Sch Earth &amp; Ocean Sci, Victoria, BC, Canada; [Landrum, Laura; Holland, Marika M.; Bailey, David A.; DuVivier, Alice K.] Natl Ctr Atmospher Res, Climate &amp; Global Dynam Lab, POB 3000, Boulder, CO 80307 USA</t>
  </si>
  <si>
    <t>University of Victoria; National Center Atmospheric Research (NCAR) - USA</t>
  </si>
  <si>
    <t>Singh, HKA (corresponding author), Univ Victoria, Sch Earth &amp; Ocean Sci, Victoria, BC, Canada.</t>
  </si>
  <si>
    <t>hansingh@uvic.ca</t>
  </si>
  <si>
    <t>DuVivier, Alice K./JJC-1516-2023</t>
  </si>
  <si>
    <t>DuVivier, Alice K./0000-0001-6920-5926; Bailey, David/0000-0002-6584-0663; Landrum, Laura/0000-0002-6003-1146; Singh, Hansi/0000-0002-8651-9094</t>
  </si>
  <si>
    <t>NSF [1643484, 1852977]; National Science Foundation (NSF); National Center for Atmospheric Research (NCAR) - NSF [1852977]; Directorate For Geosciences; Office of Polar Programs (OPP) [1643484] Funding Source: National Science Foundation</t>
  </si>
  <si>
    <t>NSF(National Science Foundation (NSF)); National Science Foundation (NSF)(National Science Foundation (NSF)National Research Foundation of Korea); National Center for Atmospheric Research (NCAR) - NSF; Directorate For Geosciences; Office of Polar Programs (OPP)(National Science Foundation (NSF)NSF - Directorate for Geosciences (GEO))</t>
  </si>
  <si>
    <t>All authors are grateful to three anonymous reviewers for their thoughtful feedback on an earlier version of the manuscript. L. L. was funded by NSF grant 1643484. The CESM project is supported primarily by the National Science Foundation (NSF). This material is based upon work supported by the National Center for Atmospheric Research (NCAR), which is a major facility sponsored by the NSF under Cooperative Agreement No. 1852977.</t>
  </si>
  <si>
    <t>1942-2466</t>
  </si>
  <si>
    <t>J ADV MODEL EARTH SY</t>
  </si>
  <si>
    <t>J. Adv. Model. Earth Syst.</t>
  </si>
  <si>
    <t>e2020MS002143</t>
  </si>
  <si>
    <t>10.1029/2020MS002143</t>
  </si>
  <si>
    <t>RG0ZF</t>
  </si>
  <si>
    <t>WOS:000635263700004</t>
  </si>
  <si>
    <t>Ruocco, N; Esposito, R; Bertolino, M; Zazo, G; Sonnessa, M; Andreani, F; Coppola, D; Giordano, D; Nuzzo, G; Lauritano, C; Fontana, A; Ianora, A; Verde, C; Costantini, M</t>
  </si>
  <si>
    <t>Ruocco, Nadia; Esposito, Roberta; Bertolino, Marco; Zazo, Gianluca; Sonnessa, Michele; Andreani, Federico; Coppola, Daniela; Giordano, Daniela; Nuzzo, Genoveffa; Lauritano, Chiara; Fontana, Angelo; Ianora, Adrianna; Verde, Cinzia; Costantini, Maria</t>
  </si>
  <si>
    <t>A Metataxonomic Approach Reveals Diversified Bacterial Communities in Antarctic Sponges</t>
  </si>
  <si>
    <t>MARINE DRUGS</t>
  </si>
  <si>
    <t>Antarctica; Demospongiae; marine biotechnology; metataxonomics; microbiota</t>
  </si>
  <si>
    <t>MARINE SPONGE; SP-NOV.; FAMILY VERRUCOMICROBIACEAE; PHYLUM VERRUCOMICROBIA; MICROBIAL COMMUNITIES; ACTINOBACTERIA; PHYLOGENY; PORIFERA; PROTEOBACTERIA; INVERTEBRATES</t>
  </si>
  <si>
    <t>Marine sponges commonly host a repertoire of bacterial-associated organisms, which significantly contribute to their health and survival by producing several anti-predatory molecules. Many of these compounds are produced by sponge-associated bacteria and represent an incredible source of novel bioactive metabolites with biotechnological relevance. Although most investigations are focused on tropical and temperate species, to date, few studies have described the composition of microbiota hosted by Antarctic sponges and the secondary metabolites that they produce. The investigation was conducted on four sponges collected from two different sites in the framework of the XXXIV Italian National Antarctic Research Program (PNRA) in November-December 2018. Collected species were characterized as Mycale (Oxymycale) acerata, Haliclona (Rhizoniera) dancoi, Hemigellius pilosus and Microxina sarai by morphological analysis of spicules and amplification of four molecular markers. Metataxonomic analysis of these four Antarctic sponges revealed a considerable abundance of Amplicon Sequence Variants (ASVs) belonging to the phyla Proteobacteria, Bacteroidetes, Actinobacteria and Verrucomicrobia. In particular, M. (Oxymycale) acerata, displayed several genera of great interest, such as Endozoicomonas, Rubritalea, Ulvibacter, Fulvivirga and Colwellia. On the other hand, the sponges H. pilosus and H. (Rhizoniera) dancoi hosted bacteria belonging to the genera Pseudhongella, Roseobacter and Bdellovibrio, whereas M. sarai was the sole species showing some strains affiliated to the genus Polaribacter. Considering that most of the bacteria identified in the present study are known to produce valuable secondary metabolites, the four Antarctic sponges could be proposed as potential tools for the discovery of novel pharmacologically active compounds.</t>
  </si>
  <si>
    <t>[Ruocco, Nadia; Esposito, Roberta; Coppola, Daniela; Giordano, Daniela; Lauritano, Chiara; Ianora, Adrianna; Verde, Cinzia; Costantini, Maria] Stn Zool Anton Dohrn, Dept Marine Biotechnol, I-80121 Naples, Italy; [Esposito, Roberta] Univ Naples Federico II, Complesso Univ Monte St Angelo, Dept Biol, Via Cinthia 21, I-80126 Naples, Italy; [Bertolino, Marco] Univ Genoa, Dipartimento Sci Terra Ambiente &amp; Vita DISTAV, Corso Europa 26, I-16132 Genoa, Italy; [Zazo, Gianluca] Stn Zool Anton Dohrn, Dept Res Infrastruct Marine Biol Resources, I-80121 Naples, Italy; [Sonnessa, Michele; Andreani, Federico] Biofab Res Srl, Via Mario Beltrami 5, I-00135 Rome, Italy; [Coppola, Daniela; Giordano, Daniela; Verde, Cinzia; Costantini, Maria] Natl Res Council CNR, Inst Biosci &amp; BioResources IBBR, Via Pietro Castellino 111, I-80131 Naples, Italy; [Nuzzo, Genoveffa; Fontana, Angelo] CNR, Ist Chim Biomol, Via Campi Flegrei 34, I-80078 Naples, Italy</t>
  </si>
  <si>
    <t>Stazione Zoologica Anton Dohrn di Napoli; University of Naples Federico II; University of Genoa; Stazione Zoologica Anton Dohrn di Napoli; Consiglio Nazionale delle Ricerche (CNR); Istituto di Bioscienze e Biorisorse (IBBR-CNR); Consiglio Nazionale delle Ricerche (CNR); Istituto di Chimica Biomolecolare (ICB-CNR)</t>
  </si>
  <si>
    <t>Costantini, M (corresponding author), Stn Zool Anton Dohrn, Dept Marine Biotechnol, I-80121 Naples, Italy.;Costantini, M (corresponding author), Natl Res Council CNR, Inst Biosci &amp; BioResources IBBR, Via Pietro Castellino 111, I-80131 Naples, Italy.</t>
  </si>
  <si>
    <t>nadia.ruocco@szn.it; roberta.esposito@szn.it; marco.bertolino@unige.it; gianluca.zazo@szn.it; laboratori@biofabresearch.it; michelesonnessa@biofabresearch.it; daniela.coppola@ibbr.cnr.it; daniela.giordano@ibbr.cnr.it; nuzzo.genoveffa@icb.cnr.it; chiara.lauritano@szn.it; afontana@icb.cnr.it; ianora@szn.it; cinzia.verde@ibbr.cnr.it; maria.costantini@szn.it</t>
  </si>
  <si>
    <t>Bertolino, Marco/AAI-7707-2020; Ruocco, Nadia/HGA-2143-2022; Fontana, Angelo/C-3354-2012; Fontana, Angelo/AAO-2741-2021; Costantini, Maria/AGH-4080-2022; Coppola, Daniela/ABG-4430-2020; Giordano, Daniela/AFK-7772-2022; Lauritano, Chiara/Q-4166-2018</t>
  </si>
  <si>
    <t>Fontana, Angelo/0000-0002-5453-461X; Giordano, Daniela/0000-0002-8891-6245; Lauritano, Chiara/0000-0003-4580-9594; Nuzzo, Genoveffa/0000-0001-7065-2379; VERDE, Cinzia/0000-0001-6185-282X</t>
  </si>
  <si>
    <t>Cosmeceuticals and Nutraceuticals From Antarctic Biological REsources (CAN FARE) [PNRA16_00043]</t>
  </si>
  <si>
    <t>Cosmeceuticals and Nutraceuticals From Antarctic Biological REsources (CAN FARE)</t>
  </si>
  <si>
    <t>This research was supported by PNRA16_00043, Cosmeceuticals and Nutraceuticals From Antarctic Biological REsources (CAN FARE). It was carried out in the framework of the SCAR Programme Antarctic Thresholds-Ecosystem Resilience and Adaptation (AnT-ERA).</t>
  </si>
  <si>
    <t>1660-3397</t>
  </si>
  <si>
    <t>MAR DRUGS</t>
  </si>
  <si>
    <t>Mar. Drugs</t>
  </si>
  <si>
    <t>10.3390/md19030173</t>
  </si>
  <si>
    <t>Chemistry, Medicinal; Pharmacology &amp; Pharmacy</t>
  </si>
  <si>
    <t>Pharmacology &amp; Pharmacy</t>
  </si>
  <si>
    <t>RD9UY</t>
  </si>
  <si>
    <t>WOS:000633814300001</t>
  </si>
  <si>
    <t>de Jesus, HE; Carreira, RS; Paiva, SSM; Massone, C; Enrich-Prast, A; Peixoto, RS; Rodrigues, JLM; Lee, CK; Cary, C; Rosado, AS</t>
  </si>
  <si>
    <t>de Jesus, Hugo Emiliano; Carreira, Renato S.; Paiva, Simone S. M.; Massone, Carlos; Enrich-Prast, Alex; Peixoto, Raquel S.; Rodrigues, Jorge L. Mazza; Lee, Charles K.; Cary, Craig; Rosado, Alexandre S.</t>
  </si>
  <si>
    <t>Microbial Succession under Freeze-Thaw Events and Its Potential for Hydrocarbon Degradation in Nutrient-Amended Antarctic Soil</t>
  </si>
  <si>
    <t>Antarctica; hydrocarbon degradation; bioremediation; freeze– thaw; soil</t>
  </si>
  <si>
    <t>INTERGENIC SPACER ANALYSIS; SP NOV.; PETROLEUM-HYDROCARBONS; BACTERIAL COMMUNITIES; CONTAMINATED SOILS; LOW-TEMPERATURE; BIODEGRADATION; DIVERSITY; SPILL; MINERALIZATION</t>
  </si>
  <si>
    <t>The polar regions have relatively low richness and diversity of plants and animals, and the basis of the entire ecological chain is supported by microbial diversity. In these regions, understanding the microbial response against environmental factors and anthropogenic disturbances is essential to understand patterns better, prevent isolated events, and apply biotechnology strategies. The Antarctic continent has been increasingly affected by anthropogenic contamination, and its constant temperature fluctuations limit the application of clean recovery strategies, such as bioremediation. We evaluated the bacterial response in oil-contaminated soil through a nutrient-amended microcosm experiment using two temperature regimes: (i) 4 degrees C and (ii) a freeze-thaw cycle (FTC) alternating between -20 and 4 degrees C. Bacterial taxa, such as Myxococcales, Chitinophagaceae, and Acidimicrobiales, were strongly related to the FTC. Rhodococcus was positively related to contaminated soils and further stimulated under FTC conditions. Additionally, the nutrient-amended treatment under the FTC regime enhanced bacterial groups with known biodegradation potential and was efficient in removing hydrocarbons of diesel oil. The experimental design, rates of bacterial succession, and level of hydrocarbon transformation can be considered as a baseline for further studies aimed at improving bioremediation strategies in environments affected by FTC regimes.</t>
  </si>
  <si>
    <t>[de Jesus, Hugo Emiliano; Paiva, Simone S. M.; Peixoto, Raquel S.; Rosado, Alexandre S.] Univ Fed Rio de Janeiro, Inst Microbiol Paulo Goes IMPG, Lab Mol Microbial Ecol, BR-21941901 Rio De Janeiro, Brazil; [Carreira, Renato S.; Massone, Carlos] Pontificia Univ Catolica Rio de Janeiro, Lab Marine &amp; Environm Studies, Dept Chem, BR-22541041 Rio de Janeiro, Brazil; [Enrich-Prast, Alex] Univ Fed Rio de Janeiro, Inst Biol, Multiuser Unit Environm Anal, BR-21941902 Rio De Janeiro, Brazil; [Enrich-Prast, Alex] Linkoping Univ, Dept Themat Studies Environm Change, S-58183 Linkoping, Sweden; [Peixoto, Raquel S.] King Abdullah Univ Sci &amp; Technol KAUST, Red Sea Res Ctr RSRC, Div Biol &amp; Environm Sci &amp; Engn BESE, Thuwal 23955, Saudi Arabia; [Rodrigues, Jorge L. Mazza; Rosado, Alexandre S.] Univ Calif Davis, Dept Land Air &amp; Water Resources, Davis, CA 95616 USA; [Lee, Charles K.; Cary, Craig] Univ Waikato, ICTAR Int Ctr Terr Antarctic Res, Hamilton 3216, New Zealand; [Rosado, Alexandre S.] King Abdullah Univ Sci &amp; Technol, Biol &amp; Environm Sci &amp; Engn Div, BESE, Thuwal 239556900, Saudi Arabia</t>
  </si>
  <si>
    <t>Universidade Federal do Rio de Janeiro; Universidade Federal do Rio de Janeiro; Linkoping University; King Abdullah University of Science &amp; Technology; University of California System; University of California Davis; University of Waikato; King Abdullah University of Science &amp; Technology</t>
  </si>
  <si>
    <t>Rosado, AS (corresponding author), Univ Fed Rio de Janeiro, Inst Microbiol Paulo Goes IMPG, Lab Mol Microbial Ecol, BR-21941901 Rio De Janeiro, Brazil.;Rosado, AS (corresponding author), Univ Calif Davis, Dept Land Air &amp; Water Resources, Davis, CA 95616 USA.;Rosado, AS (corresponding author), King Abdullah Univ Sci &amp; Technol, Biol &amp; Environm Sci &amp; Engn Div, BESE, Thuwal 239556900, Saudi Arabia.</t>
  </si>
  <si>
    <t>hugoemil@gmail.com; carreira@puc-rio.br; ninaluacissa@yahoo.com.br; cgmassone@gmail.com; aenrichprast@gmail.com; raquel.peixoto@kaust.edu.sa; jmrodrigues@ucdavis.edu; charles.lee@waikato.ac.nz; caryc@waikato.ac.nz; alexandre.rosado@kaust.edu.sa</t>
  </si>
  <si>
    <t>Peixoto, Raquel/V-2554-2019; Carreira, Renato/I-5559-2012; lee, charles/AAW-6627-2021; Massone, Carlos German/Y-5076-2019; Lee, Charles/AAC-9417-2019; LI, WEI/ISS-1208-2023; Rosado, Alexandre Soares/G-1955-2012</t>
  </si>
  <si>
    <t>Carreira, Renato/0000-0002-1308-6611; lee, charles/0000-0001-6906-4895; Massone, Carlos German/0000-0001-6176-7254; Lee, Charles/0000-0002-6562-4733; Rosado, Alexandre Soares/0000-0001-5135-1394; Rodrigues, Jorge/0000-0002-6446-6462; Cary, Stephen/0000-0002-2876-2387; Peixoto, Raquel/0000-0002-9536-3132</t>
  </si>
  <si>
    <t>Conselho Nacional de Desenvolvimento Cientifico e Tecnologico (CNPq); Fundacao de Amparo a Pesquisa do Estado do Rio de Janeiro (FAPERJ); Coordenacao de Aperfeicoamento de Pessoal de Nivel Superior (CAPES); KAUST [BAS/1/1096-01-01]</t>
  </si>
  <si>
    <t>Conselho Nacional de Desenvolvimento Cientifico e Tecnologico (CNPq)(Conselho Nacional de Desenvolvimento Cientifico e Tecnologico (CNPQ)); Fundacao de Amparo a Pesquisa do Estado do Rio de Janeiro (FAPERJ)(Fundacao Carlos Chagas Filho de Amparo a Pesquisa do Estado do Rio De Janeiro (FAPERJ)); Coordenacao de Aperfeicoamento de Pessoal de Nivel Superior (CAPES)(Coordenacao de Aperfeicoamento de Pessoal de Nivel Superior (CAPES)); KAUST(King Abdullah University of Science &amp; Technology)</t>
  </si>
  <si>
    <t>This research was funded by Conselho Nacional de Desenvolvimento Cientifico e Tecnologico (CNPq), Fundacao de Amparo a Pesquisa do Estado do Rio de Janeiro (FAPERJ), Coordenacao de Aperfeicoamento de Pessoal de Nivel Superior (CAPES), and KAUST (BAS/1/1096-01-01).</t>
  </si>
  <si>
    <t>10.3390/microorganisms9030609</t>
  </si>
  <si>
    <t>RE0YZ</t>
  </si>
  <si>
    <t>WOS:000633892400001</t>
  </si>
  <si>
    <t>Zhang, CT; Miao, BK; He, HY; Chen, HY; Ranjith, PM; Xie, QL</t>
  </si>
  <si>
    <t>Zhang, Chuantong; Miao, Bingkui; He, Huaiyu; Chen, Hongyi; Ranjith, P. M.; Xie, Qinglin</t>
  </si>
  <si>
    <t>A Petrologic and Noble Gas Isotopic Study of New Basaltic Eucrite Grove Mountains 13001 from Antarctica</t>
  </si>
  <si>
    <t>Antarctic eucrite GRV 13001; petrology and mineralogy; noble gas; CRE age; gas retention age</t>
  </si>
  <si>
    <t>COSMIC-RAY EXPOSURE; COSMOGENIC RADIONUCLIDES; COLLISIONAL HISTORY; 4 VESTA; AGES; METEORITES; CHONDRITES; DIOGENITES; CONSTRAINTS; ENSTATITE</t>
  </si>
  <si>
    <t>Howardite-Eucrite-Diogenite (HED) meteorite clan is a potential group of planetary materials which provides significant clues to understand the formation and evolution of the solar system. Grove Mountains (GRV) 13001 is a new member of HED meteorite, recovered from the Grove Mountains of Antarctica by the Chinese National Antarctic Research Expedition. This research work presents a comprehensive study of the petrology and mineralogy, chemical composition, noble gas isotopes, cosmic-ray exposure (CRE) age and nominal gas retention age for the meteorite GRV 13001. The output data indicate that GRV 13001 is a monomict basaltic eucrite with typical ophitic/subophitic texture, and it consists mainly of low-Ca pyroxene and plagioclase with normal eucritic chemical compositions. The noble gas based CRE age of the GRV 13001 is approximately 29.9 +/- 3.0 Ma, which deviates from the major impact events or periods on the HED parent body. Additionally, the U,Th-He-4 and K-40-Ar-40 gas retention ages of this meteorite are similar to 2.5 to 4.0 Ga and similar to 3.6 to 4.1 Ga, respectively. Based on the noble gases isotopes and the corresponding ages, GRV 13001 may have experienced intense impact processes during brecciation, and weak thermal event after the ejection event at approximately 30 Ma.</t>
  </si>
  <si>
    <t>[Zhang, Chuantong; Miao, Bingkui; Chen, Hongyi] Guilin Univ Technol, Inst Meteorites &amp; Planetary Mat Res, Guilin 541006, Peoples R China; [Zhang, Chuantong] Chinese Acad Sci, Key Lab Lunar &amp; Deep Space Explorat, Beijing 100029, Peoples R China; [Zhang, Chuantong; Miao, Bingkui; Chen, Hongyi] Guilin Univ Technol, Guangxi Key Lab Hidden Metall Ore Deposits Explor, Guilin 541006, Peoples R China; [Zhang, Chuantong; Xie, Qinglin] Guilin Univ Technol, Coll Environm Sci &amp; Engn, Guilin 541006, Peoples R China; [He, Huaiyu; Ranjith, P. M.] Chinese Acad Sci, Inst Geol &amp; Geophys, Key Lab Earth &amp; Planetary Phys, Beijing 100029, Peoples R China</t>
  </si>
  <si>
    <t>Guilin University of Technology; Chinese Academy of Sciences; Guilin University of Technology; Guilin University of Technology; Chinese Academy of Sciences; Institute of Geology &amp; Geophysics, CAS</t>
  </si>
  <si>
    <t>Miao, BK (corresponding author), Guilin Univ Technol, Inst Meteorites &amp; Planetary Mat Res, Guilin 541006, Peoples R China.;Miao, BK (corresponding author), Guilin Univ Technol, Guangxi Key Lab Hidden Metall Ore Deposits Explor, Guilin 541006, Peoples R China.</t>
  </si>
  <si>
    <t>zct@glut.edu.cn; miaobk@glut.edu.cn; huaiyuhe@mail.iggcas.ac.cn; chy@glut.edu.cn; ranjith@mail.iggcas.ac.cn; xql@glut.edu.cn</t>
  </si>
  <si>
    <t>chen, hongyi/HTS-1467-2023; chen, hongyi/JCE-0620-2023; He, Huaiyu/C-3414-2018</t>
  </si>
  <si>
    <t>P.M, Ranjith/0000-0001-9268-5008</t>
  </si>
  <si>
    <t>Strategic Priority Research Program of Chinese Academy of Sciences [XDB 41000000]; China Postdoctoral Science Foundation [2020M673557XB]; Civil Aerospace Pre Research Project [D020302, D020206]; Foundation of Guilin University of Technology [GUTQDJJ2019165]; Key Laboratory of Lunar and Deep Space Exploration, CAS [LDSE201907]</t>
  </si>
  <si>
    <t>Strategic Priority Research Program of Chinese Academy of Sciences(Chinese Academy of Sciences); China Postdoctoral Science Foundation(China Postdoctoral Science Foundation); Civil Aerospace Pre Research Project; Foundation of Guilin University of Technology; Key Laboratory of Lunar and Deep Space Exploration, CAS</t>
  </si>
  <si>
    <t>This research was funded by Strategic Priority Research Program of Chinese Academy of Sciences (XDB 41000000), Project funded by China Postdoctoral Science Foundation (2020M673557XB), Civil Aerospace Pre Research Project (D020302 and D020206), Foundation of Guilin University of Technology (GUTQDJJ2019165), and the grant from Key Laboratory of Lunar and Deep Space Exploration, CAS (LDSE201907).</t>
  </si>
  <si>
    <t>10.3390/min11030279</t>
  </si>
  <si>
    <t>RE1GZ</t>
  </si>
  <si>
    <t>WOS:000633913200001</t>
  </si>
  <si>
    <t>Caiazzo, L; Calzolai, G; Becagli, S; Severi, M; Amore, A; Nardin, R; Chiari, M; Giardi, F; Nava, S; Lucarelli, F; Pazzi, G; Cristofanelli, P; Virkkula, A; Gambaro, A; Barbaro, E; Traversi, R</t>
  </si>
  <si>
    <t>Caiazzo, Laura; Calzolai, Giulia; Becagli, Silvia; Severi, Mirko; Amore, Alessandra; Nardin, Raffaello; Chiari, Massimo; Giardi, Fabio; Nava, Silvia; Lucarelli, Franco; Pazzi, Giulia; Cristofanelli, Paolo; Virkkula, Aki; Gambaro, Andrea; Barbaro, Elena; Traversi, Rita</t>
  </si>
  <si>
    <t>Carbonaceous Aerosol in Polar Areas: First Results and Improvements of the Sampling Strategies</t>
  </si>
  <si>
    <t>organic carbon (OC); elemental carbon (EC); Arctic; Antarctica; thermal-optical analysis; sampling; aerosol</t>
  </si>
  <si>
    <t>While more and more studies are being conducted on carbonaceous fractions-organic carbon (OC) and elemental carbon (EC)-in urban areas, there are still too few studies about these species and their effects in polar areas due to their very low concentrations; further, studies in the literature report only data from intensive campaigns, limited in time. We present here for the first time EC-OC concentration long-time data records from the sea-level sampling site of Ny-angstrom lesund, in the High Arctic (5 years), and from Dome C, in the East Antarctic Plateau (1 year). Regarding the Arctic, the median (and the interquartile range (IQR)) mass concentrations for the years 2011-2015 are 352 (IQR: 283-475) ng/m(3) for OC and 4.8 (IQR: 4.6-17.4) ng/m(3) for EC, which is responsible for only 3% of total carbon (TC). From both the concentration data sets and the variation of the average monthly concentrations, the influence of the Arctic haze on EC and OC concentrations is evident. Summer may be interested by high concentration episodes mainly due to long-range transport (e.g., from wide wildfires in the Northern Hemisphere, as happened in 2015). The average ratio of EC/OC for the summer period is 0.05, ranging from 0.02 to 0.10, and indicates a clean environment with prevailing biogenic (or biomass burning) sources, as well as aged, highly oxidized aerosol from long-range transport. Contribution from ship emission is not evident, but this result may be due to the sampling time resolution. In Antarctica, a 1 year-around data set from December 2016 to February 2018 is shown, which does not present a clear seasonal trend. The OC median (and IQR) value is 78 (64-106) ng/m(3); for EC, it is 0.9 (0.6-2.4) ng/m(3), weighing for 3% on TC values. The EC/OC ratio mean value is 0.20, with a range of 0.06-0.35. Due to the low EC and OC concentrations in polar areas, correction for the blank is far more important than in campaigns carried out in other regions, largely affecting uncertainties in measured concentrations. Through the years, we have thus developed a new sampling strategy that is presented here for the first time: samplers were modified in order to collect a larger amount of particulates on a small surface, enhancing the capability of the analytical method since the thermo-optical analyzer is sensitive to carbonaceous aerosol areal density. Further, we have recently coupled such modified samplers with a sampling strategy that makes a more reliable blank correction of every single sample possible.</t>
  </si>
  <si>
    <t>[Caiazzo, Laura; Calzolai, Giulia; Chiari, Massimo; Giardi, Fabio; Nava, Silvia; Lucarelli, Franco; Pazzi, Giulia] Natl Inst Nucl Phys INFN, Florence Div, VG Sansone 1, I-50019 Sesto Fiorentino, FI, Italy; [Caiazzo, Laura; Becagli, Silvia; Severi, Mirko; Amore, Alessandra; Nardin, Raffaello; Traversi, Rita] Univ Florence, Dept Chem Ugo Schiff, V Lastruccia 3, I-50019 Sesto Fiorentino, FI, Italy; [Becagli, Silvia; Severi, Mirko; Barbaro, Elena; Traversi, Rita] Univ Venice, CNR, ISP, V Torino 155, I-30172 Venice, Italy; [Giardi, Fabio; Nava, Silvia; Lucarelli, Franco; Pazzi, Giulia] Univ Florence, Dept Phys &amp; Astron, VG Sansone 1, I-50019 Sesto Fiorentino, FI, Italy; [Cristofanelli, Paolo] CNR, ISAC, Via Gobetti 101, I-40129 Bologna, Italy; [Virkkula, Aki] Finnish Meteorol Inst, Air Qual Res, Erik Palmenin Aukio 1,POB 503, FI-00101 Helsinki, Finland; [Gambaro, Andrea] Univ Ca Foscari, Dept Environm Sci Informat &amp; Stat DAIS, Dorsoduro 2137, I-30123 Venice, Italy</t>
  </si>
  <si>
    <t>Istituto Nazionale di Fisica Nucleare (INFN); Gran Sasso Science Institute (GSSI); University of Florence; Universita Ca Foscari Venezia; Consiglio Nazionale delle Ricerche (CNR); Istituto di Scienze Polari (ISP-CNR); University of Florence; Consiglio Nazionale delle Ricerche (CNR); Istituto di Scienze dell'Atmosfera e del Clima (ISAC-CNR); Finnish Meteorological Institute; Universita Ca Foscari Venezia</t>
  </si>
  <si>
    <t>Calzolai, G (corresponding author), Natl Inst Nucl Phys INFN, Florence Div, VG Sansone 1, I-50019 Sesto Fiorentino, FI, Italy.</t>
  </si>
  <si>
    <t>laura.caiazzo@unifi.it; calzolai@fi.infn.it; silvia.becagli@unifi.it; mirko.severi@unifi.it; ale.amore@gmail.com; raffaello.nardin@unifi.it; chiari@fi.infn.it; fabio.giardi@unifi.it; nava@fi.infn.it; lucarelli@fi.infn.it; giulia.pazzi@unifi.it; p.cristofanelli@isac.cnr.it; Aki.Virkkula@fmi.fi; gambaro@unive.it; elena.barbaro@cnr.it; rita.traversi@unifi.it</t>
  </si>
  <si>
    <t>Cristofanelli, Paolo/AAA-5575-2021; Becagli, Silvia/GNW-2665-2022; Barbaro, Elena/AAX-8809-2020; Virkkula, Aki/B-8575-2014; Caiazzo, Laura/AAT-1502-2020; Giardi, Fabio/AAP-1091-2020; Lucarelli, Franco/F-3465-2013; Traversi, Rita/M-7586-2015; Severi, Mirko/J-2508-2012</t>
  </si>
  <si>
    <t>Cristofanelli, Paolo/0000-0001-5666-9131; Barbaro, Elena/0000-0003-2639-7475; Virkkula, Aki/0000-0003-4874-7552; Caiazzo, Laura/0000-0001-7932-2499; Giardi, Fabio/0000-0003-0291-7800; Nava, Silvia/0000-0001-9029-7554; Becagli, Silvia/0000-0003-3633-4849; NARDIN, RAFFAELLO/0000-0002-8940-4858; Lucarelli, Franco/0000-0001-7772-8858; Traversi, Rita/0000-0002-9790-2195; Chiari, Massimo/0000-0001-6993-3149; Amore, Alessandra/0000-0003-4233-8328; Severi, Mirko/0000-0003-1511-6762</t>
  </si>
  <si>
    <t>National Research Council (CNR) [PRIN-20092C7KRC_001, RIS 3693]; MIUR (Italian Ministry of University and Research); PNRA (Programma Nazionale di Ricerca in Antartide) [PNRA 2015/AC3.04 (PNRA 14_00091-Linea A3)]</t>
  </si>
  <si>
    <t>National Research Council (CNR)(Consiglio Nazionale delle Ricerche (CNR)); MIUR (Italian Ministry of University and Research)(Ministry of Education, Universities and Research (MIUR)); PNRA (Programma Nazionale di Ricerca in Antartide)</t>
  </si>
  <si>
    <t>In the Arctic, the projects PRIN-20092C7KRC_001 (concluded) and then RIS 3693, Gruvebadet Atmospheric Laboratory Project (GRUVELAB), have been based on the collaboration between different Italian and international institutions coordinated by the National Research Council (CNR), first, through the Dipartimento Scienze del Sistema Terra e Tecnologie per l'Ambiente (DSSTTA) and currently through the Institute of Polar Science (ISP), which manages the Italian Arctic station Dirigibile Italia logistics. In Antarctica, the research was financially supported by the MIUR (Italian Ministry of University and Research) and PNRA (Programma Nazionale di Ricerca in Antartide) through the PNRA 2015/AC3.04 (PNRA 14_00091-Linea A3) Project Long-Term Measurements of Chemical and Physical Properties of Atmospheric Aerosol at Dome C (LTCPAA). The project is based on the collaboration between different Italian institutions-University of Florence, University Ca' Foscari (Venice), University of Genova, CNR-ISAC of Bologna, CNR-IIA of Rome, and INFN-and aims to study the chemical and physical properties of Antarctic atmosphere by the installation of a devoted laboratory.</t>
  </si>
  <si>
    <t>10.3390/atmos12030320</t>
  </si>
  <si>
    <t>RD2ZJ</t>
  </si>
  <si>
    <t>WOS:000633352500001</t>
  </si>
  <si>
    <t>Huang, WL; Yan, M; Mulvaney, R; Qian, ZQ; Liu, LB; An, CL; Xiao, CD; Zhang, YJ</t>
  </si>
  <si>
    <t>Huang, Weilong; Yan, Ming; Mulvaney, Robert; Qian, Zuoqin; Liu, Leibao; An, Chunlei; Xiao, Cunde; Zhang, Yujia</t>
  </si>
  <si>
    <t>Spatial Variability of Glaciochemistry along a Transect from Zhongshan Station to LGB69, Antarctica</t>
  </si>
  <si>
    <t>ionic composition; stable isotope; spatial variability; Antarctica</t>
  </si>
  <si>
    <t>DRONNING-MAUD-LAND; PRINCESS ELIZABETH LAND; POLAR ICE CORES; SEA-SALT; SURFACE SNOW; METHANESULFONIC-ACID; TRAVERSE ROUTE; TEMPORAL VARIATIONS; DEUTERIUM EXCESS; EAST ANTARCTICA</t>
  </si>
  <si>
    <t>The spatial glaciochemical variability of snow samples collected along a transect from Zhongshan Station to Lambert Glacier Basin 69 (LGB69) in Antarctica was investigated. Sea-salt ion concentrations exponentially decreased with increasing distance from the coast and/or altitude. The observed high sea-salt ion concentrations within 20.6 km of the coast may be related to preferential wet or dry deposition of sea-salt aerosols. Methanesulfonic acid (MSA), non-sea-salt sulfate (nssSO(4)(2-)), and calcium (Ca2+) concentrations decreased along the transect. The mean MSA/nssSO(4)(2-) value of the surface snow samples (0.34 +/- 0.08) indicates that coastal sea areas are their likely source regions. The non-sea-salt Ca2+ (nssCa(2+))/Ca2+ percentages of the surface snow and LGB69 snow pit samples reveal that continental dust is the primary Ca2+ source. The delta D and delta O-18 values decreased from the coast inland. The variation of deuterium excess (d-excess) along the transect was stable and d-excess values in the two snow pit samples were low and similar, which indicates that the moisture source region between Zhongshan Station and LGB69 is a coastal sea area. These results reveal the spatial distribution patterns and sources of ions and stable isotopes, as well as factors that influence the deposition of ions and the composition of stable isotopes, which provide important insight for further studies of ice cores drilled in Antarctic coastal regions.</t>
  </si>
  <si>
    <t>[Huang, Weilong; Yan, Ming; Liu, Leibao; An, Chunlei] Polar Res Inst China, MNR, Key Lab Polar Sci, Shanghai 200136, Peoples R China; [Huang, Weilong; Qian, Zuoqin; Zhang, Yujia] Wuhan Univ Technol, Sch Energy &amp; Power Engn, Wuhan 430063, Peoples R China; [Mulvaney, Robert] British Antarctic Survey, Madingley Rd, Cambridge CB3 0ET, England; [Xiao, Cunde] Beijing Normal Univ, State Key Lab Land Surface Proc &amp; Resource Ecol, Beijing 100875, Peoples R China</t>
  </si>
  <si>
    <t>Polar Research Institute of China; Wuhan University of Technology; UK Research &amp; Innovation (UKRI); Natural Environment Research Council (NERC); NERC British Antarctic Survey; Beijing Normal University</t>
  </si>
  <si>
    <t>Yan, M (corresponding author), Polar Res Inst China, MNR, Key Lab Polar Sci, Shanghai 200136, Peoples R China.</t>
  </si>
  <si>
    <t>hwl220@whut.edu.cn; mingyan@pric.org.cn; rmu@bas.ac.uk; qzq@whut.edu.cn; liuleibao@pric.org.cn; anchunlei@pric.org.cn; cdxiao@lzb.ac.cn; zhangyujia@whut.edu.cn</t>
  </si>
  <si>
    <t>Mulvaney, Robert/K-3929-2012</t>
  </si>
  <si>
    <t>Mulvaney, Robert/0000-0002-5372-8148</t>
  </si>
  <si>
    <t>National Natural Science Foundation of China [41676192, 51676144]</t>
  </si>
  <si>
    <t>This research was supported by the National Natural Science Foundation of China (41676192; 51676144).</t>
  </si>
  <si>
    <t>10.3390/atmos12030393</t>
  </si>
  <si>
    <t>RD2YQ</t>
  </si>
  <si>
    <t>WOS:000633350600001</t>
  </si>
  <si>
    <t>Matejka, M; Láska, K; Jeklová, K; Hosek, J</t>
  </si>
  <si>
    <t>Matejka, Michael; Laska, Kamil; Jeklova, Klara; Hosek, Jiri</t>
  </si>
  <si>
    <t>High-Resolution Numerical Modelling of Near-Surface Atmospheric Fields in the Complex Terrain of James Ross Island, Antarctic Peninsula</t>
  </si>
  <si>
    <t>air temperature simulation; atmospheric model validation; bare ground; glacier; polar meteorology; Weather Research and Forecasting (WRF) model; wind speed simulation; Ulu Peninsula</t>
  </si>
  <si>
    <t>BOUNDARY-LAYER SIMULATIONS; POLAR WEATHER RESEARCH; KING-GEORGE ISLAND; MASS-BALANCE; REGIONAL CLIMATE; MELTING CONDITIONS; SNOW ACCUMULATION; ENERGY BALANCE; ICE SHELF; SEA-ICE</t>
  </si>
  <si>
    <t>The Antarctic Peninsula belongs to the regions of the Earth that have seen the highest increase in air temperature in the past few decades. The warming is reflected in degradation of the cryospheric system. The impact of climate variability and interactions between the atmosphere and the cryosphere can be studied using numerical atmospheric models. In this study, the standard version of the Weather Research and Forecasting (WRF) model was validated on James Ross Island in the northern part of the Antarctic Peninsula. The aim of this study was to verify the WRF model output at 700 m horizontal resolution using air temperature, wind speed and wind direction observations from automatic weather stations on the Ulu Peninsula, the northernmost part of James Ross Island. Validation was carried out for two contrasting periods (summer and winter) in 2019/2020 to assess possible seasonal effects on model accuracy. Simulated air temperatures were in very good agreement with measurements (mean bias -1.7 degrees C to 1.4 degrees C). The exception was a strong air temperature inversion during two of the winter days when a significant positive bias occurred at the coastal and lower-altitude locations on the Ulu Peninsula. Further analysis of the WRF estimates showed a good skill in simulating near-surface wind speed with higher correlation coefficients in winter (0.81-0.93) than in summer (0.41-0.59). However, bias and RMSE for wind speed tended to be better in summer. The performance of three WRF boundary layer schemes (MYJ, MYNN, QNSE) was further evaluated. The QNSE scheme was generally more accurate than MYNN and MYJ, but the differences were quite small and varied with time and place. The MYNN and QNSE schemes tended to achieve better wind speed simulation quality than the MYJ scheme. The model successfully captured wind direction, showing only slight differences to the observed values. It was shown that at lower altitudes the performance of the model can vary greatly with time. The model results were more accurate during high wind speed southwestern flow, while the accuracy decreased under weak synoptic-scale forcing, accompanied by an occurrence of mesoscale atmospheric processes.</t>
  </si>
  <si>
    <t>[Matejka, Michael; Laska, Kamil; Jeklova, Klara; Hosek, Jiri] Masaryk Univ, Fac Sci, Dept Geog, Kotlarska 2, Brno 61137, Czech Republic</t>
  </si>
  <si>
    <t>Masaryk University Brno</t>
  </si>
  <si>
    <t>Matejka, M (corresponding author), Masaryk Univ, Fac Sci, Dept Geog, Kotlarska 2, Brno 61137, Czech Republic.</t>
  </si>
  <si>
    <t>matejkamichael@mail.muni.cz; laska@sci.muni.cz; ambrozova.kl@mail.muni.cz; jihose@mail.muni.cz</t>
  </si>
  <si>
    <t>Matějka, Michael/AAX-2290-2021; Laska, Kamil/L-7875-2013</t>
  </si>
  <si>
    <t>Matějka, Michael/0000-0003-1108-7474; Laska, Kamil/0000-0002-5199-9737</t>
  </si>
  <si>
    <t>Czech Science Foundation [GA20-20240S]; project ECOPOLARIS - Ministry of Education, Youth and Sports of the Czech Republic [CZ.02.1.01/0.0/0.0/16_013/0001708]; Masaryk University [MUNI/A/1570/2020]</t>
  </si>
  <si>
    <t>Czech Science Foundation(Grant Agency of the Czech Republic); project ECOPOLARIS - Ministry of Education, Youth and Sports of the Czech Republic; Masaryk University</t>
  </si>
  <si>
    <t>This work was supported by the Czech Science Foundation project GA20-20240S, the project ECOPOLARIS (CZ.02.1.01/0.0/0.0/16_013/0001708) funded by theMinistry of Education, Youth and Sports of the Czech Republic and the project ofMasaryk University MUNI/A/1570/2020.</t>
  </si>
  <si>
    <t>10.3390/atmos12030360</t>
  </si>
  <si>
    <t>RD2XY</t>
  </si>
  <si>
    <t>WOS:000633348800001</t>
  </si>
  <si>
    <t>Rashid, H; Wang, Y; Gourlan, AT</t>
  </si>
  <si>
    <t>Rashid, Harunur; Wang, Yang; Gourlan, Alexandra T.</t>
  </si>
  <si>
    <t>Impact of Climate Change on Past Indian Monsoon and Circulation: A Perspective Based on Radiogenic and Trace Metal Geochemistry</t>
  </si>
  <si>
    <t>Indian summer monsoon; last glacial maximum; Holocene; neodymium isotopes; hafnium isotopes</t>
  </si>
  <si>
    <t>NEODYMIUM ISOTOPIC COMPOSITION; GLOBAL OVERTURNING CIRCULATION; DEEP-OCEAN CIRCULATION; RARE-EARTH-ELEMENTS; DISSOLVED NEODYMIUM; ND ISOTOPES; HIMALAYAN SYSTEM; HAFNIUM ISOTOPE; SURFACE-WATER; PACIFIC-OCEAN</t>
  </si>
  <si>
    <t>The Indian summer monsoon (ISM), one of the dramatic illustrations of seasonal hydrological variability in the climate system, affects billions of lives. The ISM dominantly controls the northern Indian Ocean sea-surface salinity, mostly in the Bay of Bengal and the Andaman Sea, by the Ganga-Brahmaputra-Meghna and Irrawaddy-Salween rivers outflow and direct rainfall. In the past decade, numerous studies have used radiogenic neodymium (epsilon(Nd)) isotopes of seawater to link Indian subcontinent erosion and the ensuing increase in discharge that results in changes in the north Indian Ocean sea surface. Here we synthesized the state of the ISM and ocean circulation using the neodymium and hafnium isotopes from north Indian Ocean deep-sea sediments. Our data suggest that the Bay of Bengal and north Indian Ocean sea-surface conditions were most likely modulated by changes in the ISM strength during the last glacial-interglacial cycle. These findings contrast to the hypothesis that suggests that the bottom water neodymium isotopes of the northern Indian Ocean were modulated by switching between two distant sources, namely North Atlantic Deep Water and Antarctic bottom water. Furthermore, the consistency between the neodymium and hafnium isotopes during the last glacial maximum and Holocene suggests a weak and dry ISM and strong and wet conditions, respectively. These data also indicate that the primary source of these isotopes was the Himalayas. Our results support the previously published paleo-proxy records, indicating weak and strong monsoons for the same periods. Moreover, our data further support the hypothesis that the northern Indian Ocean neodymium isotopes were decoupled from the global ocean neodymium budget due to the greater regional influence by the great Ganga-Brahmaputra-Meghna and Irrawaddy-Salween discharge draining the Indian subcontinent to the Bay of Bengal and the Andaman Sea.</t>
  </si>
  <si>
    <t>[Rashid, Harunur; Wang, Yang] Shanghai Ocean Univ, Coll Marine Sci, Shanghai 201306, Peoples R China; [Rashid, Harunur] Ohio State Univ, Sch Earth Sci, Columbus, OH 43210 USA; [Gourlan, Alexandra T.] Univ Savoie Mt Blanc, Univ Grenoble Alpes, CNRS, IRD,IFSTTAR,Inst Sci Terre, F-38400 Grenoble 09, France</t>
  </si>
  <si>
    <t>Shanghai Ocean University; University System of Ohio; Ohio State University; Universite Savoie Mont Blanc; Institut de Recherche pour le Developpement (IRD); Centre National de la Recherche Scientifique (CNRS); Universite Gustave-Eiffel; Communaute Universite Grenoble Alpes; Universite Grenoble Alpes (UGA)</t>
  </si>
  <si>
    <t>Rashid, H (corresponding author), Shanghai Ocean Univ, Coll Marine Sci, Shanghai 201306, Peoples R China.;Rashid, H (corresponding author), Ohio State Univ, Sch Earth Sci, Columbus, OH 43210 USA.</t>
  </si>
  <si>
    <t>harunurbhola@gmail.com; m180200479@st.shou.edu.cn; alexandra.gourlan@univ-grenoble-alpes.fr</t>
  </si>
  <si>
    <t>gourlan, alexandra/0000-0002-4359-0472; Rashid, Harunur/0000-0002-7612-3790</t>
  </si>
  <si>
    <t>Natural Science Foundation of China [41776064]; Atlantic Canada Opportunities Agency [204567]; Universite Grenoble Alpes; INSU program SYSTER; Shanghai Ocean University</t>
  </si>
  <si>
    <t>Natural Science Foundation of China(National Natural Science Foundation of China (NSFC)); Atlantic Canada Opportunities Agency; Universite Grenoble Alpes; INSU program SYSTER; Shanghai Ocean University</t>
  </si>
  <si>
    <t>This research was funded by the Natural Science Foundation of China, grant number #41776064, and the Atlantic Canada Opportunities Agency (Grant #204567). This study also benefited from financial support from Universite Grenoble Alpes and the INSU program SYSTER. The APC was funded by Shanghai Ocean University.</t>
  </si>
  <si>
    <t>10.3390/atmos12030330</t>
  </si>
  <si>
    <t>RD2WD</t>
  </si>
  <si>
    <t>WOS:000633344100001</t>
  </si>
  <si>
    <t>Lumian, JE; Jungblut, AD; Dillion, ML; Hawes, I; Doran, PT; Mackey, TJ; Dick, GJ; Grettenberger, CL; Sumner, DY</t>
  </si>
  <si>
    <t>Lumian, Jessica E.; Jungblut, Anne D.; Dillion, Megan L.; Hawes, Ian; Doran, Peter T.; Mackey, Tyler J.; Dick, Gregory J.; Grettenberger, Christen L.; Sumner, Dawn Y.</t>
  </si>
  <si>
    <t>Metabolic Capacity of the Antarctic Cyanobacterium Phormidium pseudopriestleyi That Sustains Oxygenic Photosynthesis in the Presence of Hydrogen Sulfide</t>
  </si>
  <si>
    <t>GENES</t>
  </si>
  <si>
    <t>cyanobacteria; cryosphere; genomics; sulfide; photosynthesis; lake; Antarctica</t>
  </si>
  <si>
    <t>MCMURDO ICE SHELF; MICROBIAL MAT COMMUNITIES; ANOXYGENIC PHOTOSYNTHESIS; PHOTOSYSTEM-II; LAKE FRYXELL; WATER COLUMN; GREEN-ALGAE; DRY VALLEYS; GENOME; PHYTOPLANKTON</t>
  </si>
  <si>
    <t>Sulfide inhibits oxygenic photosynthesis by blocking electron transfer between H2O and the oxygen-evolving complex in the D1 protein of Photosystem II. The ability of cyanobacteria to counter this effect has implications for understanding the productivity of benthic microbial mats in sulfidic environments throughout Earth history. In Lake Fryxell, Antarctica, the benthic, filamentous cyanobacterium Phormidium pseudopriestleyi creates a 1-2 mm thick layer of 50 mu mol L-1 O-2 in otherwise sulfidic water, demonstrating that it sustains oxygenic photosynthesis in the presence of sulfide. A metagenome-assembled genome of P. pseudopriestleyi indicates a genetic capacity for oxygenic photosynthesis, including multiple copies of psbA (encoding the D1 protein of Photosystem II), and anoxygenic photosynthesis with a copy of sqr (encoding the sulfide quinone reductase protein that oxidizes sulfide). The genomic content of P. pseudopriestleyi is consistent with sulfide tolerance mechanisms including increasing psbA expression or directly oxidizing sulfide with sulfide quinone reductase. However, the ability of the organism to reduce Photosystem I via sulfide quinone reductase while Photosystem II is sulfide-inhibited, thereby performing anoxygenic photosynthesis in the presence of sulfide, has yet to be demonstrated.</t>
  </si>
  <si>
    <t>[Lumian, Jessica E.] Univ Calif Davis, Microbiol Grad Grp, Davis, CA 95616 USA; [Jungblut, Anne D.] Nat Hist Museum, Dept Life Sci, London SW7 5BD, England; [Dillion, Megan L.] Novozymes Inc, Genom &amp; Bioinformat, Davis, CA 95616 USA; [Hawes, Ian] Univ Waikato, Coastal Marine Field Stn, Tauranga 3110, New Zealand; [Doran, Peter T.] Louisiana State Univ, Geol &amp; Geophys, Baton Rouge, LA 70803 USA; [Mackey, Tyler J.] Univ New Mexico, Dept Earth &amp; Planetary Sci, Albuquerque, NM 87131 USA; [Dick, Gregory J.] Univ Michigan, Dept Earth &amp; Environm Sci, Ann Arbor, MI 48109 USA; [Grettenberger, Christen L.; Sumner, Dawn Y.] Univ Calif Davis, Dept Earth &amp; Planetary Sci, Davis, CA 95616 USA</t>
  </si>
  <si>
    <t>University of California System; University of California Davis; Natural History Museum London; Novozymes; University of Waikato; Louisiana State University System; Louisiana State University; University of New Mexico; University of Michigan System; University of Michigan; University of California System; University of California Davis</t>
  </si>
  <si>
    <t>Sumner, DY (corresponding author), Univ Calif Davis, Dept Earth &amp; Planetary Sci, Davis, CA 95616 USA.</t>
  </si>
  <si>
    <t>jemizzi@ucdavis.edu; a.jungblut@nhm.ac.uk; mled@novozymes.com; ian.hawes@waikato.ac.nz; pdoran@lsu.edu; tjmackey@unm.edu; gdick@umich.edu; clgrettenberger@ucdavis.edu; dysumner@ucdavis.edu</t>
  </si>
  <si>
    <t>Dick, Gregory J/D-8901-2012; Sumner, Dawn/E-8744-2011</t>
  </si>
  <si>
    <t>Hawes, Ian/0000-0003-2471-6903; Sumner, Dawn/0000-0002-7343-2061; Lumian, Jessica/0000-0002-6604-4618</t>
  </si>
  <si>
    <t>NASA Astrobiology [NN13AI60G]; National Science Foundation [OPP-1745341, EAR-1637066]; NSF; McMurdo Long Term Ecological Research project (NSF) [OPP-115245, OPP-1637708]; Antarctic New Zealand Program</t>
  </si>
  <si>
    <t>NASA Astrobiology; National Science Foundation(National Science Foundation (NSF)); NSF(National Science Foundation (NSF)); McMurdo Long Term Ecological Research project (NSF)(National Science Foundation (NSF)); Antarctic New Zealand Program</t>
  </si>
  <si>
    <t>Support for this project was provided by NASA Astrobiology (Grant NN13AI60G), the National Science Foundation (Grants OPP-1745341 and EAR-1637066), and a NSF Graduate Research Fellowship to J.E.L. Funding for sample collection and field logistics was provided by the McMurdo Long Term Ecological Research project (NSF Grants OPP-115245 and OPP-1637708) and Antarctic New Zealand Program.</t>
  </si>
  <si>
    <t>2073-4425</t>
  </si>
  <si>
    <t>GENES-BASEL</t>
  </si>
  <si>
    <t>Genes</t>
  </si>
  <si>
    <t>10.3390/genes12030426</t>
  </si>
  <si>
    <t>RD7SW</t>
  </si>
  <si>
    <t>WOS:000633673700001</t>
  </si>
  <si>
    <t>Polyakov, V; Abakumov, E</t>
  </si>
  <si>
    <t>Polyakov, Vyacheslav; Abakumov, Evgeny</t>
  </si>
  <si>
    <t>Micromorphological Characteristic of Different-Aged Cryosols from the East Part of Lena River Delta, Siberia, Russia</t>
  </si>
  <si>
    <t>GEOSCIENCES</t>
  </si>
  <si>
    <t>soil fabric; permafrost-affected soils; alteration; cryosols; Arctic</t>
  </si>
  <si>
    <t>SOIL ORGANIC-MATTER; HUMIC SUBSTANCES; TUNDRA SOILS; C-13-NMR SPECTROSCOPY; ELEMENTAL COMPOSITION; PERMAFROST; CARBON; STABILIZATION; CLIMATE</t>
  </si>
  <si>
    <t>Micromorphological investigation of soils is a powerful tool for studying the transformation of soils under the influence of various weathering mechanisms. In the Arctic region, under the influence of seasonal freezing/thawing processes, cryohydration is the leading type of weathering. Soils of different-aged islands of the Lena River Delta were investigated. Thin sections of soils were analyzed using a polarizing microscope Leica DM750P (Leica Camera AG, Wetzlar, Germany). X-ray fluorescence analysis was used to determine the chemical composition of the soils. As a result of the work, the rate of weathering of soil minerals was estimated, soil fabric was considered, as well as the chemical composition of the soil. The accumulation of poorly sorted circular striated sand due to active influence of the Lena River was noted on young soil from Samoylov isl. The formation of biogenic sand-silt crumb aggregates was noted at more ancient sites. Physical weathering of soil minerals under the influence of cryogenic processes has been noted.</t>
  </si>
  <si>
    <t>[Polyakov, Vyacheslav; Abakumov, Evgeny] St Petersburg State Univ, Dept Appl Ecol, Fac Biol, 16th Liniya VO 29, St Petersburg 199178, Russia; [Polyakov, Vyacheslav] Arctic &amp; Antarctic Res Inst, Beringa 38, St Petersburg 199397, Russia</t>
  </si>
  <si>
    <t>Polyakov, V (corresponding author), St Petersburg State Univ, Dept Appl Ecol, Fac Biol, 16th Liniya VO 29, St Petersburg 199178, Russia.;Polyakov, V (corresponding author), Arctic &amp; Antarctic Res Inst, Beringa 38, St Petersburg 199397, Russia.</t>
  </si>
  <si>
    <t>slavon6985@gmail.com; e.abakumov@spbu.ru</t>
  </si>
  <si>
    <t>Abakumov, Evgeny/AAO-8580-2020; Abakumov, e_abakumov@mail.ru/ADJ-1297-2022; Polyakov, Vyacheslav/H-5483-2016</t>
  </si>
  <si>
    <t>Abakumov, Evgeny/0000-0002-5248-9018; Abakumov, e_abakumov@mail.ru/0000-0002-5248-9018; Polyakov, Vyacheslav/0000-0001-6171-3221</t>
  </si>
  <si>
    <t>Russian Foundation for Basic Research [19-05-50107]</t>
  </si>
  <si>
    <t>This work was supported by the Grant of Russian Foundation for Basic Research No. 19-05-50107.</t>
  </si>
  <si>
    <t>2076-3263</t>
  </si>
  <si>
    <t>Geosciences</t>
  </si>
  <si>
    <t>10.3390/geosciences11030118</t>
  </si>
  <si>
    <t>RD8HN</t>
  </si>
  <si>
    <t>WOS:000633711800001</t>
  </si>
  <si>
    <t>Di Blasi, D; Canese, S; Carlig, E; Parker, SJ; Pisano, E; Vacchi, M; Ghigliotti, L</t>
  </si>
  <si>
    <t>Di Blasi, Davide; Canese, Simonepietro; Carlig, Erica; Parker, Steven J.; Pisano, Eva; Vacchi, Marino; Ghigliotti, Laura</t>
  </si>
  <si>
    <t>The Challenge to Observe Antarctic Toothfish (Dissostichus mawsoni) under Fast Ice</t>
  </si>
  <si>
    <t>BRUV; Ross Sea; video sampling; Antarctica</t>
  </si>
  <si>
    <t>In situ observation of Antarctic toothfish (Dissostichus mawsoni) is challenging as they typically live at depths greater than 500 m, in dark and ice-covered Antarctic waters. Searching for adequate methodologies to survey Antarctic toothfish in their habitat, we tested a miniaturized Baited Remote Underwater Video camera (BRUV), deployed through holes drilled in the sea ice in the Ross Sea region, over three field seasons. In 2015 three BRUVs were deployed at McMurdo Sound, and paired with a vertical longline sampling. In 2017, three opportunistic deployments were performed at Terra Nova Bay. In 2018 seven deployments at Terra Nova Bay provided preliminary data on the habitat preferences of the species. The design and configuration of the mini-BRUV allowed to collect high-quality video imagery of 60 Antarctic toothfish in 13 deployments from the fast sea ice. The behaviour of fish at the bait, intra-species interactions, and potential biases in individual counting were investigated, setting baselines for future studies on the abundance and distribution of Antarctic toothfish in sea-ice covered areas. This work represents the first step towards the development of protocols for non-extractive monitoring of the Antarctic toothfish in the high-Antarctica coastal shelf areas, of great value in the Ross Sea region where the largest MPA of the world has recently been established.</t>
  </si>
  <si>
    <t>[Di Blasi, Davide; Carlig, Erica; Pisano, Eva; Vacchi, Marino; Ghigliotti, Laura] CNR, Inst Study Anthrop Impacts &amp; Sustainabil Marine E, Via Marini 6, I-16149 Genoa, Italy; [Di Blasi, Davide] Univ Genoa, Dept Earth Environm &amp; Life Sci, I-16149 Genoa, Italy; [Canese, Simonepietro] Stn Zool Anthon Dohrn, I-80100 Naples, Italy; [Canese, Simonepietro] Italian Inst Environm Protect &amp; Res, I-00185 Rome, Italy; [Parker, Steven J.] Natl Inst Water &amp; Atmospher Res Ltd, Nelson 7010, New Zealand</t>
  </si>
  <si>
    <t>Consiglio Nazionale delle Ricerche (CNR); University of Genoa; Stazione Zoologica Anton Dohrn di Napoli; European Commission Joint Research Centre; EC JRC ISPRA Site; National Institute of Water &amp; Atmospheric Research (NIWA) - New Zealand</t>
  </si>
  <si>
    <t>Di Blasi, D (corresponding author), CNR, Inst Study Anthrop Impacts &amp; Sustainabil Marine E, Via Marini 6, I-16149 Genoa, Italy.;Di Blasi, D (corresponding author), Univ Genoa, Dept Earth Environm &amp; Life Sci, I-16149 Genoa, Italy.</t>
  </si>
  <si>
    <t>davide.diblasi@ias.cnr.it; simonepietro.canese@szn.it; erica.carlig@ias.cnr.it; steve.parker@niwa.co.nz; eva.pisano@ias.cnr.it; marino.vacchi@ias.cnr.it; laura.ghigliotti@cnr.it</t>
  </si>
  <si>
    <t>Ghigliotti, Laura/AAN-6843-2021; Canese, Simonepietro/AAA-5499-2019; Di Blasi, Davide/AAV-5937-2021</t>
  </si>
  <si>
    <t>Ghigliotti, Laura/0000-0003-2139-1381; Canese, Simonepietro/0000-0001-6049-4506; Di Blasi, Davide/0000-0003-3623-8507; Carlig, Erica/0000-0002-8537-8971</t>
  </si>
  <si>
    <t>Italian National Programme for Antarctic Research [MIUR-PNRA 2015/B1.02 - DISMAS, MIUR-PNRA 2016/AZ1.19 - PILOT]; New Zealand Ministry for Primary Industries [ANT201501]; Antarctica New Zealand</t>
  </si>
  <si>
    <t>Italian National Programme for Antarctic Research; New Zealand Ministry for Primary Industries; Antarctica New Zealand</t>
  </si>
  <si>
    <t>This research was funded by the Italian National Programme for Antarctic Research (projects MIUR-PNRA 2015/B1.02 - DISMAS, MIUR-PNRA 2016/AZ1.19 -PILOT) and by the New Zealand Ministry for Primary Industries (project ANT201501) and Antarctica New Zealand.</t>
  </si>
  <si>
    <t>10.3390/jmse9030255</t>
  </si>
  <si>
    <t>RD9OU</t>
  </si>
  <si>
    <t>WOS:000633798300001</t>
  </si>
  <si>
    <t>Noh, HJ; Park, Y; Hong, SG; Lee, YM</t>
  </si>
  <si>
    <t>Noh, Hyun-Ju; Park, Yerin; Hong, Soon Gyu; Lee, Yung Mi</t>
  </si>
  <si>
    <t>Diversity and Physiological Characteristics of Antarctic Lichens-Associated Bacteria</t>
  </si>
  <si>
    <t>Antarctic lichens; lichen-associated bacteria; macromolecule hydrolysis; indole-3-acetic acid; phosphate solubilization; nitrogen fixation</t>
  </si>
  <si>
    <t>PHOSPHATE-SOLUBILIZING BACTERIUM; LOBARIA-PULMONARIA; SP NOV.; NITROGEN; COMMUNITIES; GROWTH; FUNGI; SOIL; DIAZOTROPHICUS; MICROBIOME</t>
  </si>
  <si>
    <t>The diversity of lichen-associated bacteria from lichen taxa Cetraria, Cladonia, Megaspora, Pseudephebe, Psoroma, and Sphaerophorus was investigated by sequencing of 16S rRNA gene amplicons. Physiological characteristics of the cultured bacterial isolates were investigated to understand possible roles in the lichen ecosystem. Proteobacteria (with a relative abundance of 69.7-96.7%) were mostly represented by the order Rhodospirillales. The 117 retrieved isolates were grouped into 35 phylotypes of the phyla Actinobacteria (27), Bacteroidetes (6), Deinococcus-Thermus (1), and Proteobacteria (Alphaproteobacteria (53), Betaproteobacteria (18), and Gammaproteobacteria (12)). Hydrolysis of macromolecules such as skim milk, polymer, and (hypo)xanthine, solubilization of inorganic phosphate, production of phytohormone indole-3-acetic acid, and fixation of atmospheric nitrogen were observed in different taxa. The potential phototrophy of the strains of the genus Polymorphobacter which were cultivated from a lichen for the first time was revealed by the presence of genes involved in photosynthesis. Altogether, the physiological characteristics of diverse bacterial taxa from Antarctic lichens are considered to imply significant roles of lichen-associated bacteria to allow lichens to be tolerant or competitive in the harsh Antarctic environment.</t>
  </si>
  <si>
    <t>[Noh, Hyun-Ju; Park, Yerin; Hong, Soon Gyu; Lee, Yung Mi] Korea Polar Res Inst, Div Life Sci, 26 Songdomirae Ro, Incheon 21990, South Korea; [Park, Yerin] Seoul Natl Univ, Sch Earth &amp; Environm Sci, Seoul 08826, South Korea</t>
  </si>
  <si>
    <t>Korea Polar Research Institute (KOPRI); Seoul National University (SNU)</t>
  </si>
  <si>
    <t>Lee, YM (corresponding author), Korea Polar Res Inst, Div Life Sci, 26 Songdomirae Ro, Incheon 21990, South Korea.</t>
  </si>
  <si>
    <t>nhjoo@kopri.re.kr; ellen55@kopri.re.kr; polypore@kopri.re.kr; ymlee@kopri.re.kr</t>
  </si>
  <si>
    <t>Korea Polar Research Institute [PE20170, PE21130]</t>
  </si>
  <si>
    <t>This research was funded by Korea Polar Research Institute (Grants PE20170 and PE21130).</t>
  </si>
  <si>
    <t>10.3390/microorganisms9030607</t>
  </si>
  <si>
    <t>RE0WZ</t>
  </si>
  <si>
    <t>WOS:000633887200001</t>
  </si>
  <si>
    <t>Kim, HR; Lim, JH; Kim, JH; Kim, I</t>
  </si>
  <si>
    <t>Kim, Hyo-Ryeon; Lim, Jae-Hyun; Kim, Ju-Hyoung; Kim, Il-Nam</t>
  </si>
  <si>
    <t>Collection of Environmental Variables and Bacterial Community Compositions in Marian Cove, Antarctica, during Summer 2018</t>
  </si>
  <si>
    <t>DATA</t>
  </si>
  <si>
    <t>marine bacteria; Marian Cove; environmental variables; bacterial composition</t>
  </si>
  <si>
    <t>Marine bacteria, which are known as key drivers for marine biogeochemical cycles and Earth's climate system, are mainly responsible for the decomposition of organic matter and production of climate-relevant gases (i.e., CO2, N2O, and CH4). However, research is still required to fully understand the correlation between environmental variables and bacteria community composition. Marine bacteria living in the Marian Cove, where the inflow of freshwater has been rapidly increasing due to substantial glacial retreat, must be undergoing significant environmental changes. During the summer of 2018, we conducted a hydrographic survey to collect environmental variables and bacterial community composition data at three different layers (i.e., the seawater surface, middle, and bottom layers) from 15 stations. Of all the bacterial data, 17 different phylum level bacteria and 21 different class level bacteria were found and Proteobacteria occupy 50.3% at phylum level following Bacteroidetes. Gammaproteobacteria and Alphaproteobacteria, which belong to Proteobacteria, are the highest proportion at the class level. Gammaproteobacteria showed the highest relative abundance in all three seawater layers. The collection of environmental variables and bacterial composition data contributes to improving our understanding of the significant relationships between marine Antarctic regions and marine bacteria that lives in the Antarctic.</t>
  </si>
  <si>
    <t>[Kim, Hyo-Ryeon; Kim, Il-Nam] Incheon Natl Univ, Dept Marine Sci, Incheon 22012, South Korea; [Lim, Jae-Hyun] Natl Inst Fisheries Sci, East Sea Fisheries Res Inst, Kangnung 25435, South Korea; [Kim, Ju-Hyoung] Kunsan Natl Univ, Fac Marine Appl Biosci, Gunsan 54150, South Korea</t>
  </si>
  <si>
    <t>Incheon National University; National Institute of Fisheries Science; Kunsan National University</t>
  </si>
  <si>
    <t>Kim, I (corresponding author), Incheon Natl Univ, Dept Marine Sci, Incheon 22012, South Korea.;Kim, JH (corresponding author), Kunsan Natl Univ, Fac Marine Appl Biosci, Gunsan 54150, South Korea.</t>
  </si>
  <si>
    <t>hyoryeonkim@inu.ac.kr; lim900@korea.kr; juhyoung@kunsan.ac.kr; ilnamkim@inu.ac.kr</t>
  </si>
  <si>
    <t>Kim, Ju-Hyoung/0000-0002-8908-0902; Lim, Jae-Hyun/0000-0001-9308-5119</t>
  </si>
  <si>
    <t>National Institute of Fisheries Science [R2021032]; National Research Foundation [NRF-2019R1A4A1026423]</t>
  </si>
  <si>
    <t>National Institute of Fisheries Science; National Research Foundation</t>
  </si>
  <si>
    <t>This research was funded by a grant from the National Institute of Fisheries Science (R2021032) and the National Research Foundation (NRF-2019R1A4A1026423).</t>
  </si>
  <si>
    <t>2306-5729</t>
  </si>
  <si>
    <t>Data</t>
  </si>
  <si>
    <t>10.3390/data6030027</t>
  </si>
  <si>
    <t>Computer Science, Information Systems; Multidisciplinary Sciences</t>
  </si>
  <si>
    <t>Computer Science; Science &amp; Technology - Other Topics</t>
  </si>
  <si>
    <t>RD5UK</t>
  </si>
  <si>
    <t>WOS:000633542500001</t>
  </si>
  <si>
    <t>Selbmann, L; Stoppiello, GA; Onofri, S; Stajich, JE; Coleine, C</t>
  </si>
  <si>
    <t>Selbmann, Laura; Stoppiello, Gerardo A.; Onofri, Silvano; Stajich, Jason E.; Coleine, Claudia</t>
  </si>
  <si>
    <t>Culture-Dependent and Amplicon Sequencing Approaches Reveal Diversity and Distribution of Black Fungi in Antarctic Cryptoendolithic Communities</t>
  </si>
  <si>
    <t>JOURNAL OF FUNGI</t>
  </si>
  <si>
    <t>Antarctica; cryptoendolithic communities; metabarcoding; black fungi; extremophiles</t>
  </si>
  <si>
    <t>In the harshest environmental conditions of the Antarctic desert, normally incompatible with active life, microbes are adapted to exploit the cryptoendolithic habitat (i.e., pore spaces of rocks) and represent the predominant life-forms. In the rocky niche, microbes take advantage of the thermal buffering, physical stability, protection against UV radiation, excessive solar radiation, and water retention-of paramount importance in one of the driest environments on Earth. In this work, high-throughput sequencing and culture-dependent approaches have been combined, for the first time, to untangle the diversity and distribution of black fungi in the Antarctic cryptoendolithic microbial communities, hosting some of the most extreme-tolerant microorganisms. Rock samples were collected in a vast area, along an altitudinal gradient and opposite sun exposure-known to influence microbial diversity-with the aim to compare and integrate results gained with the two approaches. Among black fungi, Friedmanniomyces endolithicus was confirmed as the most abundant taxon. Despite the much stronger power of the high-throughput sequencing, several species were not retrieved with DNA sequencing and were detectable by cultivation only. We conclude that both culture-dependent and -independent analyses are needed for a complete overview of black fungi diversity. The reason why some species remain undetectable with molecular methods are speculated upon. The effect of environmental parameters such as sun exposure on relative abundance was clearer if based on the wider biodiversity detected with the molecular approach.</t>
  </si>
  <si>
    <t>[Selbmann, Laura; Stoppiello, Gerardo A.; Onofri, Silvano; Coleine, Claudia] Univ Tuscia, Dept Ecol &amp; Biol Sci, I-01100 Viterbo, Italy; [Selbmann, Laura] Italian Antarctic Natl Museum MNA, Mycol Sect, I-16121 Genoa, Italy; [Stajich, Jason E.] Univ Calif Riverside, Dept Microbiol &amp; Plant Pathol, Riverside, CA 92521 USA</t>
  </si>
  <si>
    <t>Tuscia University; University of California System; University of California Riverside</t>
  </si>
  <si>
    <t>Coleine, C (corresponding author), Univ Tuscia, Dept Ecol &amp; Biol Sci, I-01100 Viterbo, Italy.;Stajich, JE (corresponding author), Univ Calif Riverside, Dept Microbiol &amp; Plant Pathol, Riverside, CA 92521 USA.</t>
  </si>
  <si>
    <t>selbmann@unitus.it; stoppiello@unitus.it; onofri@unitus.it; jason.stajich@ucr.edu; coleine@unitus.it</t>
  </si>
  <si>
    <t>Coleine, Claudia/AAE-1889-2020; Stajich, Jason Eric/C-7297-2008; Selbmann, Laura/L-3056-2013</t>
  </si>
  <si>
    <t>Coleine, Claudia/0000-0002-9289-6179; Stajich, Jason Eric/0000-0002-7591-0020; Selbmann, Laura/0000-0002-8967-3329; ONOFRI, Silvano/0000-0001-8872-1440</t>
  </si>
  <si>
    <t>Italian National Program for Antarctic Research (PNRA); US Department of Agriculture-National Institute of Food and Agriculture Hatch project [CA-R-PPA-5062-H]</t>
  </si>
  <si>
    <t>Italian National Program for Antarctic Research (PNRA); US Department of Agriculture-National Institute of Food and Agriculture Hatch project</t>
  </si>
  <si>
    <t>This work was supported by the Italian National Program for Antarctic Research (PNRA). Fungal ITS primer sequences and arrayed barcodes were provided by the Alfred P. Sloan Foundation Indoor Microbiome Project. Amplicon sequencing was supported by funds through the US Department of Agriculture-National Institute of Food and Agriculture Hatch project CA-R-PPA-5062-H to J.E.S.</t>
  </si>
  <si>
    <t>2309-608X</t>
  </si>
  <si>
    <t>J FUNGI</t>
  </si>
  <si>
    <t>J. Fungi</t>
  </si>
  <si>
    <t>10.3390/jof7030213</t>
  </si>
  <si>
    <t>Microbiology; Mycology</t>
  </si>
  <si>
    <t>RD9LG</t>
  </si>
  <si>
    <t>WOS:000633789100001</t>
  </si>
  <si>
    <t>Rizzo, C; Zammuto, V; Lo Giudice, A; Rizzo, MG; Spanò, A; Laganà, P; Martinez, M; Guglielmino, S; Gugliandolo, C</t>
  </si>
  <si>
    <t>Rizzo, Carmen; Zammuto, Vincenzo; Lo Giudice, Angelina; Rizzo, Maria Giovanna; Spano, Antonio; Lagana, Pasqualina; Martinez, Miguel; Guglielmino, Salvatore; Gugliandolo, Concetta</t>
  </si>
  <si>
    <t>Antibiofilm Activity of Antarctic Sponge-Associated Bacteria against Pseudomonas aeruginosa and Staphylococcus aureus</t>
  </si>
  <si>
    <t>Antarctic bacteria; biofilm; sponge-associated bacteria</t>
  </si>
  <si>
    <t>ANTI-BIOFILM ACTIVITY; PSEUDOALTEROMONAS-HALOPLANKTIS TAC125; EXTRACELLULAR POLYMERIC SUBSTANCES; MARINE; EXOPOLYSACCHARIDE; METAL; ENVIRONMENTS; ADHESION; IMPACT</t>
  </si>
  <si>
    <t>Bioprospecting in unusual marine environments provides an innovative approach to search novel biomolecules with antibiofilm activity. Antarctic sponge-associated bacteria belonging to Colwellia, Pseudoalteromonas, Shewanella and Winogradskyella genera were evaluated for their ability to contrast the biofilm formation by Pseudomonas aeruginosa ATCC 27853 and Staphylococcus aureus ATCC 29213, as model organisms. All strains were able to produce biofilm at both 4 and 25 degrees C, with the highest production being for Colwellia, Shewanella and Winogradskyella strains at 4 degrees C after 24 h. Antibiofilm activity of cell-free supernatants (CFSs) differed among strains and on the basis of their incubation temperature (CFSs(4 degrees C) and CFSs(25 degrees C)). The major activity was observed by CFSs(4 degrees C) against S. aureus and CFSs(25 degrees C) against P. aeruginosa, without demonstrating a bactericidal effect on their growth. Furthermore, the antibiofilm activity of crude extracts from Colwellia sp. GW185, Shewanella sp. CAL606, and Winogradskyella sp. CAL396 was also evaluated and visualized by confocal laser scanning microscopic images. Results based on the surface-coating assay and surface tension measurements suggest that CFSs and the crude extracts may act as biosurfactants inhibiting the first adhesion of P. aeruginosa and S. aureus. The CFSs and the novel biopolymers may be useful in applicative perspectives for pharmaceutical and environmental purposes.</t>
  </si>
  <si>
    <t>[Rizzo, Carmen] Stn Zool Anton Dohrn, Dept Marine Biotechnol, Porticatello 29, I-98167 Messina, Italy; [Zammuto, Vincenzo; Rizzo, Maria Giovanna; Spano, Antonio; Guglielmino, Salvatore; Gugliandolo, Concetta] Univ Messina, Dept Chem Biol Pharmaceut &amp; Environm Sci, Vle F Stagno DAlcontres 31, I-98166 Messina, Italy; [Lo Giudice, Angelina] CNR, ISP, Spianata San Raineri 86, I-98122 Messina, Italy; [Lo Giudice, Angelina] Univ Messina, Sez Messina, Museo Nazl Antartide, Viale F Stagno Alcontres 31, I-98166 Messina, Italy; [Lagana, Pasqualina] Univ Messina, Dept Biomed &amp; Dent Sci &amp; Morphofunct Imaging, Policlin Univ, Torre Biol,3p,Via C Valeria Snc, I-98125 Messina, Italy; [Martinez, Miguel] Univ Concepcion, Fac Ciencias Biol, Dept Microbiol, Casilla 160-C, Concepcion 4030000, Chile</t>
  </si>
  <si>
    <t>Stazione Zoologica Anton Dohrn di Napoli; University of Messina; Consiglio Nazionale delle Ricerche (CNR); Istituto di Scienze Polari (ISP-CNR); University of Messina; AOU Policlinico Gaetano Martino; University of Messina; Universidad de Concepcion</t>
  </si>
  <si>
    <t>Zammuto, V (corresponding author), Univ Messina, Dept Chem Biol Pharmaceut &amp; Environm Sci, Vle F Stagno DAlcontres 31, I-98166 Messina, Italy.;Lo Giudice, A (corresponding author), CNR, ISP, Spianata San Raineri 86, I-98122 Messina, Italy.;Lo Giudice, A (corresponding author), Univ Messina, Sez Messina, Museo Nazl Antartide, Viale F Stagno Alcontres 31, I-98166 Messina, Italy.</t>
  </si>
  <si>
    <t>carmen.rizzo@szn.it; vzammuto@unime.it; angelina.logiudice@cnr.it; mgrizzo@unime.it; aspan@unime.it; plagana@unime.it; mimartin@udec.cl; sguglielm@unime.it; cgugliandolo@unime.it</t>
  </si>
  <si>
    <t>Rizzo, Carmen/S-6285-2019; Rizzo, Carmen/AAA-3075-2022; Zammuto, Vincenzo/GRI-9954-2022; Gugliandolo, Concetta/L-6855-2015</t>
  </si>
  <si>
    <t>Lagana, Pasqualina/0000-0002-6078-9520; Spano, Antonio/0000-0002-5336-7725; Zammuto, Vincenzo/0000-0003-2382-5905; Gugliandolo, Concetta/0000-0002-9125-3999</t>
  </si>
  <si>
    <t>PNRA (Programma Nazionale di Ricerche in Antartide); Italian Ministry of Education and Research [PNRA 2004/1.6, PNRA16_00020]</t>
  </si>
  <si>
    <t>PNRA (Programma Nazionale di Ricerche in Antartide); Italian Ministry of Education and Research(Ministry of Education, Universities and Research (MIUR))</t>
  </si>
  <si>
    <t>This research was supported by grants from PNRA (Programma Nazionale di Ricerche in Antartide), Italian Ministry of Education and Research (Research Projects PNRA 2004/1.6 and PNRA16_00020).</t>
  </si>
  <si>
    <t>10.3390/jmse9030243</t>
  </si>
  <si>
    <t>RD9AT</t>
  </si>
  <si>
    <t>WOS:000633761800001</t>
  </si>
  <si>
    <t>Shi, T; Yu, YY; Dai, JJ; Zhang, YT; Hu, WP; Zheng, L; Shi, DY</t>
  </si>
  <si>
    <t>Shi, Ting; Yu, Yan-Yan; Dai, Jia-Jia; Zhang, Yi-Ting; Hu, Wen-Peng; Zheng, Li; Shi, Da-Yong</t>
  </si>
  <si>
    <t>New Polyketides from the Antarctic Fungus Pseudogymnoascus sp. HSX2#-11</t>
  </si>
  <si>
    <t>Antarctica fungus; Pseudogymnoascus sp; polyketides; molecular networking</t>
  </si>
  <si>
    <t>ASTERRIC ACID-DERIVATIVES; NATURAL-PRODUCTS; METABOLITES</t>
  </si>
  <si>
    <t>The species Pseudogymnoascus is known as a psychrophilic pathogenic fungus with a ubiquitous distribution in Antarctica. Meanwhile, the study of its secondary metabolites is infrequent. Systematic research of the metabolites of the fungus Pseudogymnoascus sp. HSX2#-11, guided by the method of molecular networking, led to the isolation of one novel polyketide, pseudophenone A (1), along with six known analogs (2-7). The structure of the new compound was elucidated by extensive spectroscopic investigation and single-crystal X-ray diffraction. Pseudophenone A (1) is a dimer of diphenyl ketone and diphenyl ether, and there is only one analog of 1 to the best of our knowledge. Compounds 1 and 2 exhibited antibacterial activities against a panel of strains. This is the first time to use molecular networking to study the metabolic profiles of Antarctica fungi.</t>
  </si>
  <si>
    <t>[Shi, Ting; Yu, Yan-Yan; Dai, Jia-Jia; Zhang, Yi-Ting; Hu, Wen-Peng; Shi, Da-Yong] Shandong Univ, Inst Microbial Technol, State Key Lab Microbial Technol, Qingdao 266200, Peoples R China; [Shi, Da-Yong] Qingdao Natl Lab Marine Sci &amp; Technol, Lab Marine Drugs &amp; Bioprod, Qingdao 266071, Peoples R China; [Zheng, Li] Minist Nat Resources, Key Lab Marine Ecoenvironm Sci &amp; Technol, Inst Oceanog 1, Qingdao 266061, Peoples R China; [Zheng, Li] Qingdao Pilot Natl Lab Marine Sci &amp; Technol, Lab Marine Ecol &amp; Environm Sci, Qingdao 266071, Peoples R China</t>
  </si>
  <si>
    <t>Shandong University; Laoshan Laboratory; First Institute of Oceanography, Ministry of Natural Resources; Ministry of Natural Resources of the People's Republic of China; Laoshan Laboratory</t>
  </si>
  <si>
    <t>Shi, DY (corresponding author), Shandong Univ, Inst Microbial Technol, State Key Lab Microbial Technol, Qingdao 266200, Peoples R China.;Shi, DY (corresponding author), Qingdao Natl Lab Marine Sci &amp; Technol, Lab Marine Drugs &amp; Bioprod, Qingdao 266071, Peoples R China.;Zheng, L (corresponding author), Minist Nat Resources, Key Lab Marine Ecoenvironm Sci &amp; Technol, Inst Oceanog 1, Qingdao 266061, Peoples R China.;Zheng, L (corresponding author), Qingdao Pilot Natl Lab Marine Sci &amp; Technol, Lab Marine Ecol &amp; Environm Sci, Qingdao 266071, Peoples R China.</t>
  </si>
  <si>
    <t>shiting_jia@126.com; yuyanyan@sdu.edu.cn; daijiajia@sdu.edu.cn; 201700140016@sud.edu.cn; wenpeng19961202@163.com; zhengli@fio.org.cn; shidayong@sdu.edu.cn</t>
  </si>
  <si>
    <t>Yu, Yan/GYV-4514-2022; Shi, Ting/AIC-4674-2022</t>
  </si>
  <si>
    <t>Shi, Ting/0000-0003-1394-3000</t>
  </si>
  <si>
    <t>Natural Science Foundation of Shandong Province of China [ZR2020QD111]; China Postdoctoral Science Foundation [2019M662378]; National Program for Support of Top-notch Young Professionals; Fund of Taishan scholar project; Shandong Provincial Natural Science Foundation for Distinguished Young Scholars [JQ201722]; Qingdao Science and Technology Benefit People Demonstration Guide Special Project [20-3-4-20-nsh]; Fundamental Research Funds of Shandong University [2020GN033]</t>
  </si>
  <si>
    <t>Natural Science Foundation of Shandong Province of China(Natural Science Foundation of Shandong Province); China Postdoctoral Science Foundation(China Postdoctoral Science Foundation); National Program for Support of Top-notch Young Professionals; Fund of Taishan scholar project; Shandong Provincial Natural Science Foundation for Distinguished Young Scholars; Qingdao Science and Technology Benefit People Demonstration Guide Special Project; Fundamental Research Funds of Shandong University</t>
  </si>
  <si>
    <t>This work was supported by the Natural Science Foundation of Shandong Province of China (No. ZR2020QD111); the China Postdoctoral Science Foundation (No. 2019M662378); the National Program for Support of Top-notch Young Professionals; the Fund of Taishan scholar project; The Shandong Provincial Natural Science Foundation for Distinguished Young Scholars (JQ201722); the Qingdao Science and Technology Benefit People Demonstration Guide Special Project (20-3-4-20-nsh); and the Fundamental Research Funds of Shandong University (2020GN033).</t>
  </si>
  <si>
    <t>10.3390/md19030168</t>
  </si>
  <si>
    <t>RE0JK</t>
  </si>
  <si>
    <t>WOS:000633851900001</t>
  </si>
  <si>
    <t>Moseley, GE; Edwards, RL; Lord, NS; Spötl, C; Cheng, H</t>
  </si>
  <si>
    <t>Moseley, G. E.; Edwards, R. L.; Lord, N. S.; Spotl, C.; Cheng, H.</t>
  </si>
  <si>
    <t>Speleothem record of mild and wet mid-Pleistocene climate in northeast Greenland</t>
  </si>
  <si>
    <t>LONG-TERM CHANGES; ICE-SHEET; CHRONOLOGY AICC2012; ANTARCTIC ICE; INSOLATION; FEATURES; SURFACE; PLEISTOCENE; TEMPERATURE; VARIABILITY</t>
  </si>
  <si>
    <t>The five interglacials before the Mid-Brunhes Event (MBE) [c.430 thousand years (ka) ago] are generally considered to be globally cooler than those post-MBE. Inhomogeneities exist regionally, however, which suggest that the Arctic was warmer than present during Marine Isotope Stage (MIS) 15a. Using the first speleothem record for the High Arctic, we investigate the climatic response of northeast Greenland between c.588 and c.549 ka ago. Our results indicate an enhanced warmth of at least +3.5 degrees C relative to the present, leading to permafrost thaw and increased precipitation. We find that delta O-18 of precipitation was at least 3 parts per thousand higher than today and recognize two local cooling events (c.571 and c.594 ka ago) thought to be caused by freshwater forcing. Our results are important for improving understanding of the regional climatic response leading up to the MBE and specifically provide insights into the climatic response of a warmer Arctic.</t>
  </si>
  <si>
    <t>[Moseley, G. E.; Spotl, C.] Univ Innsbruck, Inst Geol, Innrain 52, A-6020 Innsbruck, Austria; [Edwards, R. L.] Univ Minnesota, Isotope Geochem Lab, Sch Earth &amp; Environm Sci, John T Tate Hall,116 Church St SE, Minneapolis, MN 55455 USA; [Lord, N. S.] Univ Bristol, Cabot Inst Environm, Bristol, Avon, England; [Lord, N. S.] Univ Bristol, Sch Geog Sci, Bristol, Avon, England; [Cheng, H.] Xi An Jiao Tong Univ, Inst Global Environm Change, Xian 710054, Peoples R China; [Cheng, H.] Chinese Acad Sci, Inst Earth Environm, State Key Lab Loess &amp; Quaternary Geol, Xian 710061, Peoples R China; [Cheng, H.] CAGS, Key Lab Karst Dynam, Inst Karst Geol, MLR, Guilin 541004, Peoples R China</t>
  </si>
  <si>
    <t>University of Innsbruck; University of Minnesota System; University of Minnesota Twin Cities; University of Bristol; University of Bristol; Xi'an Jiaotong University; Chinese Academy of Sciences; Institute of Earth Environment, CAS; China Geological Survey; Institute of Karst Geology, Chinese Academy of Geological Sciences</t>
  </si>
  <si>
    <t>Moseley, GE (corresponding author), Univ Innsbruck, Inst Geol, Innrain 52, A-6020 Innsbruck, Austria.</t>
  </si>
  <si>
    <t>gina.moseley@uibk.ac.at</t>
  </si>
  <si>
    <t>Moseley, Gina/0000-0002-5618-5759; Spotl, Christoph/0000-0001-7167-4940; Lord, Natalie/0000-0002-5312-6593</t>
  </si>
  <si>
    <t>Austrian Science Fund [T 710-NBL, Y 1162-N37]; U.S. NSF [1702816]; EMERGENCE [NE/S005242/1]; NSFC [41888101]; National Geographic Society [9638-15]; University of Innsbruck Nachwuchsforderung [NWF2014/GEO13]; Comer Family Foundation [CP108]; Petzl Foundation; Innsbruck Quaternary Research Group; Go Balance; Mount Everest Foundation [15-04]; Austrian Academy of Sciences; British Cave Research Association; Transglobe Expedition Trust; National Speleological Society; Quaternary Research Association; Wilderness Lectures; Ghar Parau Foundation [GPF2014b-002]; BBC Radio 3 Speaker's Fee; Limestone Research and Consultancy Ltd.; Lake Fellowship of Unitarian Universalists; T. Arbenz Netopyr Products; Easyfundraising; Gouffre Berger Book Project; Bellroy; FIA Formula E Championship; Hilti Austria; Ortlieb; Red Bull; Petzl, Scanlico Denmark; Suunto; Swarovski Optik; Virgin Balloon Flights; Voltaic Systems</t>
  </si>
  <si>
    <t>Austrian Science Fund(Austrian Science Fund (FWF)); U.S. NSF(National Science Foundation (NSF)); EMERGENCE; NSFC(National Natural Science Foundation of China (NSFC)); National Geographic Society(National Geographic Society); University of Innsbruck Nachwuchsforderung; Comer Family Foundation; Petzl Foundation; Innsbruck Quaternary Research Group; Go Balance; Mount Everest Foundation; Austrian Academy of Sciences; British Cave Research Association; Transglobe Expedition Trust; National Speleological Society; Quaternary Research Association; Wilderness Lectures; Ghar Parau Foundation; BBC Radio 3 Speaker's Fee; Limestone Research and Consultancy Ltd.; Lake Fellowship of Unitarian Universalists; T. Arbenz Netopyr Products; Easyfundraising; Gouffre Berger Book Project; Bellroy; FIA Formula E Championship; Hilti Austria; Ortlieb; Red Bull; Petzl, Scanlico Denmark; Suunto; Swarovski Optik; Virgin Balloon Flights; Voltaic Systems</t>
  </si>
  <si>
    <t>This work was supported by funding from the Austrian Science Fund (project numbers T 710-NBL and Y 1162-N37) to G.E.M. and by funding from the U.S. NSF (grant 1702816 to R.L.E.). N.S.L. was supported by EMERGENCE (NE/S005242/1). H.C. was supported by NSFC 41888101. In addition, the fieldwork was funded and supported by the National Geographic Society (9638-15); University of Innsbruck Nachwuchsforderung (NWF2014/GEO13); Comer Family Foundation (CP108); Petzl Foundation; P. and L. Shone; Innsbruck Quaternary Research Group; Go Balance; G. E. Moseley; Mount Everest Foundation (15-04); Austrian Academy of Sciences; British Cave Research Association; Transglobe Expedition Trust; R. C. Shone; S. and P. Moseley; National Speleological Society; Quaternary Research Association; Wilderness Lectures; Ghar Parau Foundation (GPF2014b-002); BBC Radio 3 Speaker's Fee; Chris Blakeley; Limestone Research and Consultancy Ltd.; A. Eavis; Lake Fellowship of Unitarian Universalists; T. Arbenz Netopyr Products; I. Fairchild; D. Gibson; G. Hawkins; L. Nicholson; Easyfundraising; R. Dowling; H. and A. Carson; J. Vetterlein; A. Hinkle; S. Brandstatter; K. Newton; M. Higgins; J. Wade; T. Faulkner; C. and J. Leech; C. Spotl; M. Wright; P. Ellingson; A. Fayon; Gouffre Berger Book Project; Bellroy; FIA Formula E Championship; J. Immen; Hilti Austria; Ortlieb; Red Bull; Petzl, Scanlico Denmark; Suunto; Swarovski Optik; Virgin Balloon Flights; and Voltaic Systems.</t>
  </si>
  <si>
    <t>eabe1260</t>
  </si>
  <si>
    <t>10.1126/sciadv.abe1260</t>
  </si>
  <si>
    <t>RD4IK</t>
  </si>
  <si>
    <t>WOS:000633443600014</t>
  </si>
  <si>
    <t>Van Ginneken, M; Goderis, S; Artemieva, N; Debaille, V; Decrée, S; Harvey, RP; Huwig, KA; Hecht, L; Yang, S; Kaufmann, FED; Soens, B; Humayun, M; Van Maldeghem, F; Genge, MJ; Claeys, P</t>
  </si>
  <si>
    <t>Van Ginneken, M.; Goderis, S.; Artemieva, N.; Debaille, V; Decree, S.; Harvey, R. P.; Huwig, K. A.; Hecht, L.; Yang, S.; Kaufmann, F. E. D.; Soens, B.; Humayun, M.; Van Maldeghem, F.; Genge, M. J.; Claeys, P.</t>
  </si>
  <si>
    <t>A large meteoritic event over Antarctica ca. 430 ka ago inferred from chondritic spherules from the Sor Rondane Mountains</t>
  </si>
  <si>
    <t>OXYGEN-ISOTOPE; ATMOSPHERIC ENTRY; ABLATION DEBRIS; IMPACT; SPINEL; MICROTEKTITES; ICE; VAPORIZATION; CHELYABINSK; ABUNDANCES</t>
  </si>
  <si>
    <t>Large airbursts, the most frequent hazardous impact events, are estimated to occur orders of magnitude more frequently than crater-forming impacts. However, finding traces of these events is impeded by the difficulty of identifying them in the recent geological record. Here, we describe condensation spherules found on top of Walnumfjellet in the Sor Rondane Mountains, Antarctica. Affinities with similar spherules found in EPICA Dome C and Dome Fuji ice cores suggest that these particles were produced during a single-asteroid impact ca. 430 thousand years (ka) ago. The lack of a confirmed crater on the Antarctic ice sheet and geochemical and O-18-poor oxygen isotope signatures allow us to hypothesize that the impact particles result from a touchdown event, in which a projectile vapor jet interacts with the Antarctic ice sheet. Numerical models support a touchdown scenario. This study has implications for the identification and inventory of large cosmic events on Earth.</t>
  </si>
  <si>
    <t>[Van Ginneken, M.; Decree, S.] Royal Belgian Inst Nat Sci, Belgian Geol Survey, B-1000 Brussels, Belgium; [Van Ginneken, M.; Goderis, S.; Soens, B.; Van Maldeghem, F.; Claeys, P.] Vrije Univ Brussel, Analyt Environm &amp; Geochem, B-1050 Brussels, Belgium; [Van Ginneken, M.; Debaille, V] Univ Libre Bruxelles, Lab G Time, B-1050 Brussels, Belgium; [Artemieva, N.] Planetary Sci Inst, 1700 East Ft Lowell,Suite 106, Tucson, AZ 85719 USA; [Artemieva, N.] Russian Acad Sci, Inst Geosphere Dynam, Moscow 119334, Russia; [Harvey, R. P.; Huwig, K. A.] Case Western Reserve Univ, Dept Geol Sci, 112 Smith Bldg, Cleveland, OH 44106 USA; [Hecht, L.; Kaufmann, F. E. D.] Leibniz Inst Evolut &amp; Biodiver Sitatsfoschung, Museum Naturkunde Berlin, Invalidenstr 43, D-10115 Berlin, Germany; [Hecht, L.] Free Univ Berlin, Inst Geolog Wissensch, Malteserstr 74-100, D-12449 Berlin, Germany; [Yang, S.; Humayun, M.] Natl High Magnet Field Lab, 1800 E Paul Dirac Dr, Tallahassee, FL 32310 USA; [Yang, S.; Humayun, M.] Dept Earth Ocean &amp; Atmospher Sci, 1800 E Paul Dirac Dr, Tallahassee, FL 32310 USA; [Genge, M. J.] Imperial Coll London, Dept Earth Sci &amp; Engn, London SW7 2AZ, England; [Van Ginneken, M.] Univ Kent, Ctr Astrophys &amp; Planetary Sci, Sch Phys Sci, Ingram Bldg, Canterbury CT2 7NH, Kent, England</t>
  </si>
  <si>
    <t>Royal Belgian Institute of Natural Sciences; Vrije Universiteit Brussel; Universite Libre de Bruxelles; Russian Academy of Sciences; Sadovsky Institute of Geosphere Dynamics of the Russian Academy of Sciences; University System of Ohio; Case Western Reserve University; Leibniz Institut fur Evolutions und Biodiversitatsforschung; Free University of Berlin; State University System of Florida; Florida State University; State University System of Florida; Florida State University; Imperial College London; University of Kent</t>
  </si>
  <si>
    <t>Van Ginneken, M (corresponding author), Royal Belgian Inst Nat Sci, Belgian Geol Survey, B-1000 Brussels, Belgium.;Van Ginneken, M (corresponding author), Vrije Univ Brussel, Analyt Environm &amp; Geochem, B-1050 Brussels, Belgium.;Van Ginneken, M (corresponding author), Univ Libre Bruxelles, Lab G Time, B-1050 Brussels, Belgium.;Van Ginneken, M (corresponding author), Univ Kent, Ctr Astrophys &amp; Planetary Sci, Sch Phys Sci, Ingram Bldg, Canterbury CT2 7NH, Kent, England.</t>
  </si>
  <si>
    <t>m.van-ginneken@kent.ac.uk</t>
  </si>
  <si>
    <t>Goderis, Steven/F-9908-2011; Van Ginneken, Matthias/AFQ-5594-2022; (VUB), VRIJE UNIVERSITEIT BRUSSEL/B-4895-2008</t>
  </si>
  <si>
    <t>Goderis, Steven/0000-0002-6666-7153; Van Ginneken, Matthias/0000-0002-2508-7021; (VUB), VRIJE UNIVERSITEIT BRUSSEL/0000-0002-4585-7687; Van Maldeghem, Flore/0000-0002-9186-1679; Soens, Bastien/0000-0002-7695-6629; Debaille, Vinciane/0000-0002-6544-4564; Hecht, Lutz/0000-0001-8904-0217</t>
  </si>
  <si>
    <t>Belgian Federal Science Policy Office (BELSPO); Belgian Federal Science Policy Office (Amundsen project); Belgian Federal Science Policy Office (BELAM project); Belgian Federal Science Policy Office (Diabase project); BELSPO; ERC StG ISoSyC; F.R.S.-FNRS; Excellence of Science (EoS) project ET-HoME; FWO; VUB strategic program; National Science Foundation [DMR-1644779]; State of Florida; NASA [NNX16AP98G]; NASA [NNX16AP98G, 897038] Funding Source: Federal RePORTER</t>
  </si>
  <si>
    <t>Belgian Federal Science Policy Office (BELSPO)(Belgian Federal Science Policy Office); Belgian Federal Science Policy Office (Amundsen project)(Belgian Federal Science Policy Office); Belgian Federal Science Policy Office (BELAM project)(Belgian Federal Science Policy Office); Belgian Federal Science Policy Office (Diabase project)(Belgian Federal Science Policy Office); BELSPO(Belgian Federal Science Policy Office); ERC StG ISoSyC; F.R.S.-FNRS(Fonds de la Recherche Scientifique - FNRS); Excellence of Science (EoS) project ET-HoME; FWO(FWO); VUB strategic program; National Science Foundation(National Science Foundation (NSF)); State of Florida; NASA(National Aeronautics &amp; Space Administration (NASA)); NASA(National Aeronautics &amp; Space Administration (NASA))</t>
  </si>
  <si>
    <t>M.V.G., S.D., S.G., P.C., and V.D. thank the Belgian Federal Science Policy Office (BELSPO; Amundsen, BELAM and Diabase projects) for supporting this project. Sampling of particles in Antarctica was carried out during the 2017-2018 BELAM (Belgian Antarctic Meteorites) project funded by BELSPO. V.D. thanks the ERC StG ISoSyC and F.R.S.-FNRS for support. S.G., P.C., and V.D. are supported by the Excellence of Science (EoS) project ET-HoME.S.G., P.C., B.S., and F.V.M. were also supported by the FWO and the VUB strategic program. A portion of this work was performed by S.Y. and M.H. at the National High Magnetic Field Laboratory, which is supported by the National Science Foundation Cooperative Agreement no. DMR-1644779, the State of Florida, and by NASA grant NNX16AP98G.</t>
  </si>
  <si>
    <t>eabc1008</t>
  </si>
  <si>
    <t>10.1126/sciadv.abc1008</t>
  </si>
  <si>
    <t>RH8IR</t>
  </si>
  <si>
    <t>WOS:000636455600004</t>
  </si>
  <si>
    <t>Stephan, M</t>
  </si>
  <si>
    <t>Stephan, Matthias</t>
  </si>
  <si>
    <t>Nostalgic Narrative and Affective Climate SF in George Turner's The Sea and Summer</t>
  </si>
  <si>
    <t>SCIENCE-FICTION STUDIES</t>
  </si>
  <si>
    <t>This paper explores how George Turner's The Sea and Summer utilizes nostalgic narrative to develop an affective attachment to the climate disaster and instigates, in its narrative, meaningful change. Through a consideration of Svetlana Boym's reflective nostalgia, the affective response the novel activates, and the affect created by Gothic tropes, I suggest that this combination produces an exemplary response. The narrative presents a frame story set in a distant future after the melting of the Antarctic ice sheet, and the bulk of the prescient climate sf novel is presented as a novelistic rendering of this pre-apocalyptic scenario. This combination allows the reader to consider the temporal scale, producing a medium scale, which allows the reader to grasp the complexity of the problem without being overwhelmed by its vastness. I argue that rather than exorcising our fears, such literary narratives can make the realities of climate change more present to contemporary readers.</t>
  </si>
  <si>
    <t>[Stephan, Matthias] Aarhus Univ, Aarhus, Denmark</t>
  </si>
  <si>
    <t>Aarhus University</t>
  </si>
  <si>
    <t>Stephan, M (corresponding author), Aarhus Univ, Aarhus, Denmark.</t>
  </si>
  <si>
    <t>Stephan, Matthias/0000-0002-2146-6366</t>
  </si>
  <si>
    <t>GREENCASTLE</t>
  </si>
  <si>
    <t>DEPAUW UNIV, DEPT ROMANCE LANGUAGES, GREENCASTLE, IN 46135-0037 USA</t>
  </si>
  <si>
    <t>0091-7729</t>
  </si>
  <si>
    <t>SCI-FICTION STUD</t>
  </si>
  <si>
    <t>Sci.-Fict. Stud.</t>
  </si>
  <si>
    <t>QX4BC</t>
  </si>
  <si>
    <t>WOS:000629288800008</t>
  </si>
  <si>
    <t>Payne, NL; Morley, SA; Halsey, LG; Smith, JA; Stuart-Smith, R; Waldock, C; Bates, AE</t>
  </si>
  <si>
    <t>Payne, Nicholas L.; Morley, Simon A.; Halsey, Lewis G.; Smith, James A.; Stuart-Smith, Rick; Waldock, Conor; Bates, Amanda E.</t>
  </si>
  <si>
    <t>Fish heating tolerance scales similarly across individual physiology and populations</t>
  </si>
  <si>
    <t>PHYLOGENETIC ANALYSIS; ECOLOGICAL RELEVANCE; TEMPERATURE LIMITS; CLIMATE; COD; PERFORMANCE; LATITUDE; IMPACTS; RATES; SCOPE</t>
  </si>
  <si>
    <t>Extrapolating patterns from individuals to populations informs climate vulnerability models, yet biological responses to warming are uncertain at both levels. Here we contrast data on the heating tolerances of fishes from laboratory experiments with abundance patterns of wild populations. We find that heating tolerances in terms of individual physiologies in the lab and abundance in the wild decline with increasing temperature at the same rate. However, at a given acclimation temperature or optimum temperature, tropical individuals and populations have broader heating tolerances than temperate ones. These congruent relationships implicate a tight coupling between physiological and demographic processes underpinning macroecological patterns, and identify vulnerability in both temperate and tropical species. Nicholas Payne et al. use physiological and population-level abundance data from 823 fish species to examine how heating tolerance scales at both the individual and population level. This study shows that heating tolerance declines in the lab and the wild at the same rate, and for a given temperature, individuals and populations from tropical areas have broader heating tolerances than temperate species.</t>
  </si>
  <si>
    <t>[Payne, Nicholas L.] Trinity Coll Dublin, Dublin, Ireland; [Morley, Simon A.] British Antarctic Survey, Cambridge, England; [Halsey, Lewis G.] Univ Roehampton, London, England; [Smith, James A.] Univ Calif Santa Cruz, Inst Marine Sci, Santa Cruz, CA USA; [Stuart-Smith, Rick] Univ Tasmania, Inst Marine &amp; Antarctic Studies, Taroona, Tas, Australia; [Waldock, Conor] Swiss Fed Inst Technol, Inst Terr Ecosyst, Landscape Ecol, Zurich, Switzerland; [Waldock, Conor] Swiss Fed Res Inst WSL, CH-8903 Birmensdorf, Switzerland; [Bates, Amanda E.] Mem Univ Newfoundland, St John, NF, Canada</t>
  </si>
  <si>
    <t>Trinity College Dublin; UK Research &amp; Innovation (UKRI); Natural Environment Research Council (NERC); NERC British Antarctic Survey; Roehampton University; University of California System; University of California Santa Cruz; University of Tasmania; Swiss Federal Institutes of Technology Domain; ETH Zurich; Swiss Federal Institutes of Technology Domain; Swiss Federal Institute for Forest, Snow &amp; Landscape Research; Memorial University Newfoundland</t>
  </si>
  <si>
    <t>Payne, NL (corresponding author), Trinity Coll Dublin, Dublin, Ireland.</t>
  </si>
  <si>
    <t>paynen@tcd.ie</t>
  </si>
  <si>
    <t>Halsey, Lewis/B-8498-2011; Payne, Nicholas L/E-7811-2013; Stuart-Smith, Rick/I-5214-2019; Bates, Amanda E./ABD-6874-2021</t>
  </si>
  <si>
    <t>Halsey, Lewis/0000-0002-0786-7585; Stuart-Smith, Rick/0000-0002-8874-0083; Bates, Amanda E./0000-0002-0198-4537; Morley, Simon/0000-0002-7761-660X; Payne, Nicholas/0000-0002-5274-471X; Smith, James/0000-0002-0496-3221; Waldock, Conor/0000-0002-2818-9859</t>
  </si>
  <si>
    <t>Science Foundation Ireland Starting Investigator Research Grant [18/SIRG/5549]; Science Foundation Ireland (SFI) [18/SIRG/5549] Funding Source: Science Foundation Ireland (SFI)</t>
  </si>
  <si>
    <t>Science Foundation Ireland Starting Investigator Research Grant(Science Foundation Ireland); Science Foundation Ireland (SFI)(Science Foundation Ireland)</t>
  </si>
  <si>
    <t>We thank Andrew Jackson, Jacinta Kong and Craig White for thoughtful discussion of thermal tolerance. N.L.P. was supported by a Science Foundation Ireland Starting Investigator Research Grant (18/SIRG/5549).</t>
  </si>
  <si>
    <t>MAR 1</t>
  </si>
  <si>
    <t>10.1038/s42003-021-01773-3</t>
  </si>
  <si>
    <t>QS7KO</t>
  </si>
  <si>
    <t>WOS:000626074900002</t>
  </si>
  <si>
    <t>Park, M; Choe, YH; Kim, M</t>
  </si>
  <si>
    <t>Park, Mira; Choe, Yong-Hoe; Kim, Mincheol</t>
  </si>
  <si>
    <t>Soil Metagenome Sequences from a Geothermal Site at Mount Melbourne in Antarctica</t>
  </si>
  <si>
    <t>MICROBIOLOGY RESOURCE ANNOUNCEMENTS</t>
  </si>
  <si>
    <t>Here, we examined two soil metagenome data sets obtained from a geothermal site at the summit of Mount Melbourne in Antarctica. The geothermal soil microbiome exhibits very unique features of prokaryotic diversity and functions, which will provide deeper insight into the adaptation and evolution of soil microbes in Antarctic geothermal habitats.</t>
  </si>
  <si>
    <t>[Park, Mira] Incheon Natl Univ, Inst Basic Sci, Incheon, South Korea; [Choe, Yong-Hoe; Kim, Mincheol] Korea Polar Res Inst, Incheon, South Korea</t>
  </si>
  <si>
    <t>Incheon National University; Korea Polar Research Institute (KOPRI)</t>
  </si>
  <si>
    <t>Kim, M (corresponding author), Korea Polar Res Inst, Incheon, South Korea.</t>
  </si>
  <si>
    <t>mincheol@kopri.re.kr</t>
  </si>
  <si>
    <t>Kim, Mincheol/0000-0003-1506-4800</t>
  </si>
  <si>
    <t>National Research Foundation (NRF) - Korean government (Ministry of Science and ICT) [NRF-2019R1I1A1A01063015, NRF-2017R1A6A1A06015181]</t>
  </si>
  <si>
    <t>National Research Foundation (NRF) - Korean government (Ministry of Science and ICT)</t>
  </si>
  <si>
    <t>This work was supported by National Research Foundation (NRF) grants funded by the Korean government (Ministry of Science and ICT) (grants NRF-2019R1I1A1A01063015 and NRF-2017R1A6A1A06015181).</t>
  </si>
  <si>
    <t>2576-098X</t>
  </si>
  <si>
    <t>MICROBIOL RESOUR ANN</t>
  </si>
  <si>
    <t>Microbiol. Resour. Ann.</t>
  </si>
  <si>
    <t>e01490-20</t>
  </si>
  <si>
    <t>10.1128/MRA.01490-20</t>
  </si>
  <si>
    <t>QW7AN</t>
  </si>
  <si>
    <t>WOS:000628801300028</t>
  </si>
  <si>
    <t>Choi, H; Kim, SS; Park, SH; Kim, HJ</t>
  </si>
  <si>
    <t>Choi, Hakkyum; Kim, Seung-Sep; Park, Sung-Hyun; Kim, Hyoung Jun</t>
  </si>
  <si>
    <t>Geomorphological and Spatial Characteristics of Underwater Volcanoes in the Easternmost Australian-Antarctic Ridge</t>
  </si>
  <si>
    <t>Australian-Antarctic Ridge; seamounts; underwater volcanism; multi-beam bathymetry; geomorphology</t>
  </si>
  <si>
    <t>EAST PACIFIC RISE; SEAMOUNT; ALTIMETRY; BENEATH; FLANKS</t>
  </si>
  <si>
    <t>Underwater volcanoes and their linear distribution on the flanks of mid-ocean ridges are common submarine topographic structures at intermediate- and fast-spreading systems, where sufficient melt supplies are often available. Such magma sources beneath the seafloor located within a few kilometers of the corresponding ridge-axis tend to concentrate toward the axis during the upwelling process and contribute to seafloor formation. As a result, seamounts on the flanks of the ridge axis are formed at a distance from the spreading axis and distributed asymmetrically about the axis. In this study, we examined three linearly aligned seamount chains on the flanks of the KR1 ridge, which is the easternmost and longest Australian-Antarctic Ridge (AAR) segment. The AAR is an intermediate-spreading rate system located between the Southeast Indian Ridge and Macquarie Triple Junction of the Australian-Antarctic-Pacific plates. By inspecting the high-resolution shipboard multi-beam bathymetric data newly acquired in the study area, we detected 20 individual seamounts. The volcanic lineament runs parallel to the spreading direction of the KR1 segment. The geomorphologic parameters of height, basal area, volume, and summit types of the identified seamounts were individually measured. We also investigated the spatial distribution of the seamounts along the KR1 segment, which exhibits large variations in axial morphology with depth along the ridge axis. Based on the geomorphology and spatial distribution, all the KR1 seamounts can be divided into two groups: the subset seamounts of volcanic chains distributed along the KR1 segment characterized by high elevation and large volume, and the small seamounts distributed mostly on the western KR1. The differences in the volumetric magnitude of volcanic eruptions on the seafloor and the distance from the given axis between these two groups indicate the presence of magma sources with different origins.</t>
  </si>
  <si>
    <t>[Choi, Hakkyum; Park, Sung-Hyun] Korea Polar Res Inst, Div Earth Sci, 26 Songdomirae Ro, Incheon 21990, South Korea; [Kim, Seung-Sep] Chungnam Natl Univ, Dept Geol Sci, 99 Daehak Ro, Daejeon 34134, South Korea; [Kim, Hyoung Jun] Korea Polar Res Inst, Off Technol Dev &amp; Serv, 26 Songdomirae Ro, Incheon 21990, South Korea</t>
  </si>
  <si>
    <t>Korea Polar Research Institute (KOPRI); Chungnam National University; Korea Polar Research Institute (KOPRI)</t>
  </si>
  <si>
    <t>Choi, H (corresponding author), Korea Polar Res Inst, Div Earth Sci, 26 Songdomirae Ro, Incheon 21990, South Korea.</t>
  </si>
  <si>
    <t>hkchoi@kopri.re.kr; seungsep@cnu.ac.kr; shpark314@kopri.re.kr; jun7100@kopri.re.kr</t>
  </si>
  <si>
    <t>Kim, Seung-Sep/0000-0001-8963-1332; Choi, Hakkyum/0000-0001-9440-3369</t>
  </si>
  <si>
    <t>This research was supported by the Korea Polar Research Institute, grant number PE20210 and PE21050. S.-S.K. acknowledges support from the National Research Foundation of Korea (NRF) (MOE NRF-2017R1D1A1A02018632).</t>
  </si>
  <si>
    <t>10.3390/rs13050997</t>
  </si>
  <si>
    <t>QW2OH</t>
  </si>
  <si>
    <t>WOS:000628494000001</t>
  </si>
  <si>
    <t>Xin, FX; Li, J; Guo, JJ; Yang, DW; Wang, Y; Tang, QH; Liu, ZS</t>
  </si>
  <si>
    <t>Xin, Fengxin; Li, Jie; Guo, Jinjia; Yang, Dewang; Wang, Yong; Tang, Qiuhua; Liu, Zhishen</t>
  </si>
  <si>
    <t>Measurement of Atmospheric CO2 Column Concentrations Based on Open-Path TDLAS</t>
  </si>
  <si>
    <t>SENSORS</t>
  </si>
  <si>
    <t>carbon dioxide; column concentration; TDLAS; open-path; comparative measurement</t>
  </si>
  <si>
    <t>ABSORPTION-SPECTROSCOPY; GREENHOUSE GASES; SENSOR</t>
  </si>
  <si>
    <t>Monitoring of CO2 column concentrations is valuable for atmospheric research. A mobile open-path system was developed based on tunable diode laser absorption spectroscopy (TDLAS) to measure atmospheric CO2 column concentrations. A laser beam was emitted downward from a distributed feedback diode laser at 2 mu m and then reflected by the retroreflector array on the ground. We measured the CO2 column concentrations over the 20 and 110 m long vertical path. Several single-point sensors were distributed at different heights to provide comparative measurements for the open-path TDLAS system. The results showed that the minimum detection limit of system was 0.52 ppm. Some similarities were observed in trends from the open-path TDLAS system and these sensors, but the average of these sensors was more consistent with the open-path TDLAS system values than the single-point measurement. These field measurements demonstrate the feasibility of open-path TDLAS for measuring the CO2 column concentration and monitoring carbon emission over large areas.</t>
  </si>
  <si>
    <t>[Xin, Fengxin; Yang, Dewang; Wang, Yong] Qilu Univ Technol, Laser Inst, Shandong Acad Sci, Qingdao 266100, Peoples R China; [Xin, Fengxin; Li, Jie; Guo, Jinjia; Liu, Zhishen] Ocean Univ China, Ocean Remote Sensing Inst, Qingdao 266003, Peoples R China; [Li, Jie; Tang, Qiuhua] Minist Nat Resources China, Inst Oceanog 1, Qingdao 266061, Peoples R China</t>
  </si>
  <si>
    <t>Qilu University of Technology; Ocean University of China; Ministry of Natural Resources of the People's Republic of China</t>
  </si>
  <si>
    <t>Li, J (corresponding author), Ocean Univ China, Ocean Remote Sensing Inst, Qingdao 266003, Peoples R China.;Li, J (corresponding author), Minist Nat Resources China, Inst Oceanog 1, Qingdao 266061, Peoples R China.</t>
  </si>
  <si>
    <t>fengxinxin@sdlaser.cn; lijie@fio.org.cn; opticsc@ouc.edu.cn; dewangyang@sdlaser.cn; yongwang@vip.sdlaser.cn; tangqiuhua@fio.org.cn; zsliu@ouc.edu.cn</t>
  </si>
  <si>
    <t>Tang, Qiuhua/0000-0001-8839-1859; Xin, Fengxin/0000-0003-0741-8381; Li, Jie/0000-0001-5865-3440</t>
  </si>
  <si>
    <t>Natural Science Foundation of China (NSFC) [21703124]; Natural Science Foundation of Shandong Province [ZR2018BF031, ZR2018BF032]; Youth Fund Project of Shandong Academy of Sciences [2020QN006, 2019QN0027]; program of Impact and Response of Antarctic Seas to Climate Change (IRASCC2020-2022)</t>
  </si>
  <si>
    <t>Natural Science Foundation of China (NSFC)(National Natural Science Foundation of China (NSFC)); Natural Science Foundation of Shandong Province(Natural Science Foundation of Shandong Province); Youth Fund Project of Shandong Academy of Sciences; program of Impact and Response of Antarctic Seas to Climate Change (IRASCC2020-2022)</t>
  </si>
  <si>
    <t>This research was funded by the Natural Science Foundation of China (NSFC) (21703124), the Natural Science Foundation of Shandong Province (ZR2018BF031, ZR2018BF032), the Youth Fund Project of Shandong Academy of Sciences (2020QN006, 2019QN0027), and the pDrogram of Impact and Response of Antarctic Seas to Climate Change (IRASCC2020-2022).</t>
  </si>
  <si>
    <t>1424-8220</t>
  </si>
  <si>
    <t>SENSORS-BASEL</t>
  </si>
  <si>
    <t>Sensors</t>
  </si>
  <si>
    <t>10.3390/s21051722</t>
  </si>
  <si>
    <t>Chemistry, Analytical; Engineering, Electrical &amp; Electronic; Instruments &amp; Instrumentation</t>
  </si>
  <si>
    <t>Chemistry; Engineering; Instruments &amp; Instrumentation</t>
  </si>
  <si>
    <t>QW4QR</t>
  </si>
  <si>
    <t>WOS:000628636500001</t>
  </si>
  <si>
    <t>Giuliani, ME; Nardi, A; Di Carlo, M; Benedetti, M; Regoli, F</t>
  </si>
  <si>
    <t>Giuliani, Maria Elisa; Nardi, Alessandro; Di Carlo, Marta; Benedetti, Maura; Regoli, Francesco</t>
  </si>
  <si>
    <t>Transcriptional and Catalytic Responsiveness of the Antarctic Fish Trematomus bernacchii Antioxidant System toward Multiple Stressors</t>
  </si>
  <si>
    <t>ANTIOXIDANTS</t>
  </si>
  <si>
    <t>Antarctic fish; trace metals; climate change; multiple stressors; oxidative stress; Nrf2-Keap1</t>
  </si>
  <si>
    <t>OCEAN ACIDIFICATION; DEFENSE SYSTEMS; TRACE-METALS; BIOCHEMICAL BIOMARKERS; OXIDATIVE DAMAGE; CADMIUM; TEMPERATURE; METABOLISM; NRF2; ACTIVATION</t>
  </si>
  <si>
    <t>Ocean-warming and acidification jeopardize Antarctic marine species, adapted to cold and constant conditions and naturally exposed to high pro-oxidant pressures and cadmium (Cd) bioavailability. The aim of this study was to investigate if projected temperature increase and pH reduction may affect the accumulation and the effects of Cd in the rockcod Trematomus bernacchii. Organisms were exposed for 14 days to six scenarios, combining environmental or increased temperature (-1 degrees C, +1 degrees C) and control or reduced pH (8.05, 7.60), either with or without Cd (40 mu g/L). Responses in liver and gills were analyzed at different levels, including mRNA and functional measurements of metallothioneins and of a wide battery of antioxidants, integrated with the evaluation of the total antioxidant capacity and onset of oxidative damages. In the gills, metallothioneins and mRNA of antioxidant genes (nrf2, keap1, cat, gpx1) increased after Cd exposure, but such effects were softened by warming and acidification. Antioxidants showed slighter variations at the enzymatic level, while Cd caused glutathione increase under warming and acidified scenarios. In the liver, due to higher basal antioxidant protection, limited effects were observed. Genotoxic damage increased under the combined stressors scenario. Overall results highlighted the modulation of the oxidative stress response to Cd by multiple stressors, suggesting the vulnerability of T. bernacchii under predicted ocean change scenarios.</t>
  </si>
  <si>
    <t>[Giuliani, Maria Elisa; Nardi, Alessandro; Di Carlo, Marta; Benedetti, Maura; Regoli, Francesco] Univ Politecn Marche, Dipartimento Sci Vita &amp; Ambiente, Via Brecce Bianche, I-60131 Ancona, Italy</t>
  </si>
  <si>
    <t>Marche Polytechnic University</t>
  </si>
  <si>
    <t>Benedetti, M (corresponding author), Univ Politecn Marche, Dipartimento Sci Vita &amp; Ambiente, Via Brecce Bianche, I-60131 Ancona, Italy.</t>
  </si>
  <si>
    <t>m.e.giuliani@univpm.it; a.nardi@staff.univpm.it; marta.dicarlo@staff.univpm.it; m.benedetti@univpm.it; f.regoli@univpm.it</t>
  </si>
  <si>
    <t>; Regoli, Francesco/K-2719-2018; Giuliani, Maria Elisa/K-5369-2016</t>
  </si>
  <si>
    <t>Nardi, Alessandro/0000-0002-9978-1411; Regoli, Francesco/0000-0001-6084-6188; Giuliani, Maria Elisa/0000-0002-7487-5171</t>
  </si>
  <si>
    <t>Italian National Program on Antarctic Research (PNRA) [2013/AZ1.14]</t>
  </si>
  <si>
    <t>Italian National Program on Antarctic Research (PNRA)(Ministry of Education, Universities and Research (MIUR))</t>
  </si>
  <si>
    <t>This research was financially supported by the Italian National Program on Antarctic Research (PNRA, project 2013/AZ1.14).</t>
  </si>
  <si>
    <t>2076-3921</t>
  </si>
  <si>
    <t>ANTIOXIDANTS-BASEL</t>
  </si>
  <si>
    <t>Antioxidants</t>
  </si>
  <si>
    <t>10.3390/antiox10030410</t>
  </si>
  <si>
    <t>Biochemistry &amp; Molecular Biology; Chemistry, Medicinal; Food Science &amp; Technology</t>
  </si>
  <si>
    <t>Biochemistry &amp; Molecular Biology; Pharmacology &amp; Pharmacy; Food Science &amp; Technology</t>
  </si>
  <si>
    <t>RD2WO</t>
  </si>
  <si>
    <t>WOS:000633345200001</t>
  </si>
  <si>
    <t>Zhou, L; Wu, X; Yang, F; Zhang, MH; Huang, R; Liu, JK</t>
  </si>
  <si>
    <t>Zhou, Li; Wu, Xing; Yang, Fu; Zhang, Minghao; Huang, Rong; Liu, Jikai</t>
  </si>
  <si>
    <t>Characterization of Molecular Species and Anti-Inflammatory Activity of Purified Phospholipids from Antarctic Krill Oil</t>
  </si>
  <si>
    <t>Antarctic krill oil; phospholipids; UHPLC-Q-TOF-MS; anti-inflammation</t>
  </si>
  <si>
    <t>The phospholipids (PLs) from Antarctic krill oil were purified (&gt;97.2%) using adsorption column chromatography. Forty-nine PL molecular species were characterized by ultrahigh-performance liquid chromatography-quadrupole-time-of-flight mass spectrometry (UHPLC-Q-TOF-MS). Most of molecular species contained eicosapentaenoic acid (EPA, 20:5), docosahexaenoic acid (DHA, 22:6), docosapentaenoic acid (DPA, 22:5), and arachidonic acid (AA, 20:4). Notably, a special species PC (20:5/22:6) (1298.17 nmol/g) and many ether PLs were detected. The Antarctic krill PL liposome (IC50 = 0.108 mg/mL) showed better anti-inflammatory activity than crude Antarctic krill oil (IC50 = 0.446 mg/mL). It could block NF-kappa B signaling pathway via suppression of I kappa B-alpha degradation and p65 activation and dose-dependently reduce the cellular content of inflammatory mediators including nitric oxide (NO), reactive oxygen species (ROS), and inflammatory cytokines in lipopolysaccharide (LPS)-stimulated RAW 264.7 cells. In addition, it can suppress carrageenan-induced mouse paw swelling. Results from the present study could provide a reference for better evaluation of nutritional and medicinal values of Antarctic krill oil.</t>
  </si>
  <si>
    <t>[Zhou, Li; Wu, Xing; Yang, Fu; Zhang, Minghao; Huang, Rong; Liu, Jikai] South Cent Univ Nationalities, Sch Pharmaceut Sci, Wuhan 430074, Peoples R China; [Zhou, Li; Huang, Rong; Liu, Jikai] South Cent Univ Nationalities, Natl Demonstrat Ctr Expt Ethnopharmacol Educ, Wuhan 430074, Peoples R China</t>
  </si>
  <si>
    <t>South Central Minzu University; South Central Minzu University</t>
  </si>
  <si>
    <t>Huang, R; Liu, JK (corresponding author), South Cent Univ Nationalities, Sch Pharmaceut Sci, Wuhan 430074, Peoples R China.;Huang, R; Liu, JK (corresponding author), South Cent Univ Nationalities, Natl Demonstrat Ctr Expt Ethnopharmacol Educ, Wuhan 430074, Peoples R China.</t>
  </si>
  <si>
    <t>zhou2018@scuec.edu.cn; wuxing1996@hotmail.com; yangfu19951112@icloud.com; minghaozhang@scuec.edu.cn; ronghuang@mail.scuec.edu.cn; liujikai@mail.scuec.edu.cn</t>
  </si>
  <si>
    <t>Huang, Rong/0000-0002-7850-6736</t>
  </si>
  <si>
    <t>Fundamental Research Funds for the Central Universities; South-Central University for Nationalities [CZQ19013, CZY19032]; National Natural Science Foundation of China [31501521, 21502239]</t>
  </si>
  <si>
    <t>Fundamental Research Funds for the Central Universities(Fundamental Research Funds for the Central Universities); South-Central University for Nationalities; National Natural Science Foundation of China(National Natural Science Foundation of China (NSFC))</t>
  </si>
  <si>
    <t>This work was supported by the Fundamental Research Funds for the Central Universities, the South-Central University for Nationalities (CZQ19013; CZY19032), and the National Natural Science Foundation of China (31501521; 21502239) for support of this research.</t>
  </si>
  <si>
    <t>10.3390/md19030124</t>
  </si>
  <si>
    <t>RD9WJ</t>
  </si>
  <si>
    <t>WOS:000633818000001</t>
  </si>
  <si>
    <t>MacDonell, S; Fernandoy, F; Villar, P; Hammann, A</t>
  </si>
  <si>
    <t>MacDonell, Shelley; Fernandoy, Francisco; Villar, Paula; Hammann, Arno</t>
  </si>
  <si>
    <t>Stratigraphic Analysis of Firn Cores from an Antarctic Ice Shelf Firn Aquifer</t>
  </si>
  <si>
    <t>WATER</t>
  </si>
  <si>
    <t>ice shelf; firn aquifer; ice core; stratigraphy; glacier hydrology; Antarctica</t>
  </si>
  <si>
    <t>In recent decades, several large ice shelves in the Antarctic Peninsula region have experienced significant ice loss, likely driven by a combination of oceanic, atmospheric and hydrological processes. All three areas need further research, however, in the case of the role of liquid water the first concern is to address the paucity of field measurements. Despite this shortage of field observations, several authors have proposed the existence of firn aquifers on Antarctic ice shelves, however little is known about their distribution, formation, extension and role in ice shelf mechanics. In this study we present the discovery of saturated firn at three drill sites on the Muller Ice Shelf (67 degrees 14 ' S; 66 degrees 52 ' W), which leads us to conclude that either a large contiguous or several disconnected smaller firn aquifers exist on this ice shelf. From the stratigraphic analysis of three short firn cores extracted during February 2019 we describe a new classification system to identify the structures and morphological signatures of refrozen meltwater, identify evidence of superficial meltwater percolation, and use this information to propose a conceptual model of firn aquifer development on the Muller Ice Shelf. The detailed stratigraphic analysis of the sampled cores will provide an invaluable baseline for modelling studies.</t>
  </si>
  <si>
    <t>[MacDonell, Shelley; Hammann, Arno] Ctr Estudios Avanzados Zonas Aridas, Raul Bitran 1305, La Serena 1700000, Chile; [Fernandoy, Francisco; Villar, Paula] Univ Andres Bello, Lab Anal Isotop, Vina Del Mar 2531015, Chile; [Hammann, Arno] Asiaq Greenland Survey, Qatserisut 3900, Nuuk, Greenland</t>
  </si>
  <si>
    <t>Universidad Andres Bello</t>
  </si>
  <si>
    <t>MacDonell, S (corresponding author), Ctr Estudios Avanzados Zonas Aridas, Raul Bitran 1305, La Serena 1700000, Chile.</t>
  </si>
  <si>
    <t>shelley.macdonell@ceaza.cl; francisco.fernandoy@unab.cl; pcvm94@gmail.com; ach@asiaq.gl</t>
  </si>
  <si>
    <t>MacDonell, Shelley/J-2480-2016</t>
  </si>
  <si>
    <t>Fernandoy, Francisco/0000-0003-2252-7746; MacDonell, Shelley/0000-0001-9641-4547; Villar, Paula/0000-0002-4601-8973</t>
  </si>
  <si>
    <t>ANID-FONDECYT [1181540]; Instituto Antartico Chileno (INACH)</t>
  </si>
  <si>
    <t>ANID-FONDECYT; Instituto Antartico Chileno (INACH)</t>
  </si>
  <si>
    <t>This research was funded by ANID-FONDECYT 1181540 and logistical support and funding was provided by the Instituto Antartico Chileno (INACH).</t>
  </si>
  <si>
    <t>2073-4441</t>
  </si>
  <si>
    <t>WATER-SUI</t>
  </si>
  <si>
    <t>Water</t>
  </si>
  <si>
    <t>10.3390/w13050731</t>
  </si>
  <si>
    <t>Environmental Sciences; Water Resources</t>
  </si>
  <si>
    <t>Environmental Sciences &amp; Ecology; Water Resources</t>
  </si>
  <si>
    <t>QW3WC</t>
  </si>
  <si>
    <t>WOS:000628583000001</t>
  </si>
  <si>
    <t>Keenan, E; Wever, N; Dattler, M; Lenaerts, JTM; Medley, B; Munneke, PK; Reijmer, C</t>
  </si>
  <si>
    <t>Keenan, Eric; Wever, Nander; Dattler, Marissa; Lenaerts, Jan T. M.; Medley, Brooke; Munneke, Peter Kuipers; Reijmer, Carleen</t>
  </si>
  <si>
    <t>Physics-based SNOWPACK model improves representation of near-surface Antarctic snow and firn density</t>
  </si>
  <si>
    <t>GREENLAND ICE-SHEET; QUEEN-MAUD-LAND; MASS-BALANCE; ELEVATION CHANGE; ENERGY BALANCE; CLIMATE; REANALYSES; DENSIFICATION; ACCUMULATION; VARIABILITY</t>
  </si>
  <si>
    <t>Estimates of snow and firn density are required for satellite-altimetry-based retrievals of ice sheet mass balance that rely on volume-to-mass conversions. Therefore, biases and errors in presently used density models confound assessments of ice sheet mass balance and by extension ice sheet contribution to sea level rise. Despite this importance, most contemporary firn densification models rely on simplified semi-empirical methods, which are partially reflected by significant modeled density errors when compared to observations. In this study, we present a new driftingsnow compaction scheme that we have implemented into SNOWPACK, a physics-based land surface snow model. We show that our new scheme improves existing versions of SNOWPACK by increasing simulated near-surface (defined as the top 10 m) density to be more in line with observations (near-surface bias reduction from -44.9 to - 5.4 kg m(-3)). Furthermore, we demonstrate high-quality simulation of near-surface Antarctic snow and firn density at 122 observed density profiles across the Antarctic ice sheet, as indicated by reduced model biases throughout most of the near-surface firn column when compared to two semi-empirical firn densification models (SNOWPACK mean bias = -9.7 kg m(-3), IMAU-FDM mean bias = - 32.5 kg m(-3), GSFC-FDM mean bias = 15.5 kg m(-3)). Notably, our analysis is restricted to the near surface where firn density is most variable due to accumulation and compaction variability driven by synoptic weather and seasonal climate variability. Additionally, the GSFC-FDM exhibits lower mean density bias from 7-10 m (SNOWPACK bias = -22.5 kg m(-3), GSFC-FDM bias = 10.6 kg m(-3)) and throughout the entire near surface at high-accumulation sites (SNOWPACK bias = -31.4 kg m(-3), GSFC-FDM bias = -4.7 kg m(-3)). However, we found that the performance of SNOWPACK did not degrade when applied to sites that were not included in the calibration of semi-empirical models. This suggests that SNOWPACK may possibly better represent firn properties in locations without extensive observations and under future climate scenarios, when firn properties are expected to diverge from their present state.</t>
  </si>
  <si>
    <t>[Keenan, Eric; Wever, Nander; Lenaerts, Jan T. M.] Univ Colorado, Dept Atmospher &amp; Ocean Sci, Boulder, CO 80309 USA; [Dattler, Marissa] Univ Maryland, Dept Atmospher &amp; Ocean Sci, College Pk, MD 20742 USA; [Medley, Brooke] NASA, Cryospher Sci Lab, Goddard Space Flight Ctr, Greenbelt, MD USA; [Munneke, Peter Kuipers; Reijmer, Carleen] Univ Utrecht, Inst Marine &amp; Atmospher Res, Utrecht, Netherlands</t>
  </si>
  <si>
    <t>University of Colorado System; University of Colorado Boulder; University System of Maryland; University of Maryland College Park; National Aeronautics &amp; Space Administration (NASA); NASA Goddard Space Flight Center; Utrecht University</t>
  </si>
  <si>
    <t>Keenan, E (corresponding author), Univ Colorado, Dept Atmospher &amp; Ocean Sci, Boulder, CO 80309 USA.</t>
  </si>
  <si>
    <t>eric.keenan@colorado.edu; p.kuipersmunneke@uu.nl; c.h.tijm-reijmer@uu.nl</t>
  </si>
  <si>
    <t>Reijmer, Carleen H/G-8736-2011; Lenaerts, Jan/D-9423-2012</t>
  </si>
  <si>
    <t>Reijmer, Carleen H/0000-0001-8299-3883; Keenan, Eric/0000-0002-1511-9093; Lenaerts, Jan/0000-0003-4309-4011; Dattler, Marissa/0000-0002-3922-0006; Wever, Nander/0000-0002-4829-8585</t>
  </si>
  <si>
    <t>National Aeronautics and Space Administration [80NSSC18K0201]; Belgian Federal Science Policy Office [BR/165/A2:Mass2Ant]</t>
  </si>
  <si>
    <t>National Aeronautics and Space Administration(National Aeronautics &amp; Space Administration (NASA)); Belgian Federal Science Policy Office(Belgian Federal Science Policy Office)</t>
  </si>
  <si>
    <t>This research has been supported by the National Aeronautics and Space Administration (grant no. 80NSSC18K0201) and the Belgian Federal Science Policy Office (grant no. BR/165/A2:Mass2Ant).</t>
  </si>
  <si>
    <t>10.5194/tc-15-1065-2021</t>
  </si>
  <si>
    <t>QS4NR</t>
  </si>
  <si>
    <t>WOS:000625879400001</t>
  </si>
  <si>
    <t>Shi, GT; Ma, HM; Hu, ZY; Chen, ZL; An, CL; Jiang, S; Li, YS; Ma, TM; Yu, JH; Wang, DH; Lu, SY; Sun, B; Hastings, MG</t>
  </si>
  <si>
    <t>Shi, Guitao; Ma, Hongmei; Hu, Zhengyi; Chen, Zhenlou; An, Chunlei; Jiang, Su; Li, Yuansheng; Ma, Tianming; Yu, Jinhai; Wang, Danhe; Lu, Siyu; Sun, Bo; Hastings, Meredith G.</t>
  </si>
  <si>
    <t>Brief communication: Spatial and temporal variations in surface snow chemistry along a traverse from coastal East Antarctica to the ice sheet summit (Dome A)</t>
  </si>
  <si>
    <t>SIZE-SEGREGATED AEROSOL; SEA-SALT; ISOTOPIC CONSTRAINTS; CHEMICAL-COMPOSITION; ZHONGSHAN STATION; CONCORDIA SITE; BOUNDARY-LAYER; ROUND RECORDS; VARIABILITY; NITRATE</t>
  </si>
  <si>
    <t>To better understand snow chemistry in different environments across the Antarctic ice sheet, we investigated snow ions on a traverse from the coast to Dome A. Results show that the non-sea-salt (nss) fractions of K+, Mg2+, and Ca2+ are mainly from terrestrial particle mass and nssCl(-) is associated with HCl. Spatially, the non-sea-salt fractions of ions to the totals are higher in the interior areas than on the coast, and seasonally, the proportions are higher in summer than in winter. Negative nssSO(4)(2-) on the coast indicates sea salts from the sea ice, and marine biogenic emissions dominate snow SO42- in interior areas throughout the year.</t>
  </si>
  <si>
    <t>[Shi, Guitao; Chen, Zhenlou; Wang, Danhe] East China Normal Univ, Key Lab Geog Informat Sci, Minist Educ, Sch Geog Sci, Shanghai 200241, Peoples R China; [Shi, Guitao; Chen, Zhenlou; Wang, Danhe] East China Normal Univ, State Key Lab Estuarine &amp; Coastal Res, Shanghai 200241, Peoples R China; [Shi, Guitao; Ma, Hongmei; Hu, Zhengyi; An, Chunlei; Jiang, Su; Li, Yuansheng; Ma, Tianming; Yu, Jinhai; Lu, Siyu; Sun, Bo] Polar Res Inst China, Shanghai 200062, Peoples R China; [Hastings, Meredith G.] Brown Univ, Dept Earth Environm &amp; Planetary Sci, Providence, RI 02912 USA; [Hastings, Meredith G.] Brown Univ, Brown Environm &amp; Soc, Providence, RI 02912 USA</t>
  </si>
  <si>
    <t>Shi, GT (corresponding author), East China Normal Univ, Key Lab Geog Informat Sci, Minist Educ, Sch Geog Sci, Shanghai 200241, Peoples R China.;Shi, GT (corresponding author), East China Normal Univ, State Key Lab Estuarine &amp; Coastal Res, Shanghai 200241, Peoples R China.;Shi, GT (corresponding author), Polar Res Inst China, Shanghai 200062, Peoples R China.</t>
  </si>
  <si>
    <t>gtshi@geo.ecnu.edu.cn</t>
  </si>
  <si>
    <t>; Hastings, Meredith/C-6199-2008</t>
  </si>
  <si>
    <t>Shi, Guitao/0000-0003-1702-6322; Hastings, Meredith/0000-0001-6716-6783</t>
  </si>
  <si>
    <t>National Natural Science Foundation of China [41922046, 41876225, 41576190]; National Key Research and Development Program of China [2016YFA0302204, 2019YFC1509102]</t>
  </si>
  <si>
    <t>This research has been supported by the National Natural Science Foundation of China (grant nos. 41922046, 41876225, and 41576190), and the National Key Research and Development Program of China (grant nos. 2016YFA0302204 and 2019YFC1509102).</t>
  </si>
  <si>
    <t>10.5194/tc-15-1087-2021</t>
  </si>
  <si>
    <t>WOS:000625879400002</t>
  </si>
  <si>
    <t>Jones, RS; Whitmore, RJ; Mackintosh, AN; Norton, KP; Eaves, SR; Stutz, J; Christl, M</t>
  </si>
  <si>
    <t>Jones, R. S.; Whitmore, R. J.; Mackintosh, A. N.; Norton, K. P.; Eaves, S. R.; Stutz, J.; Christl, M.</t>
  </si>
  <si>
    <t>Regional-scale abrupt Mid-Holocene ice sheet thinning in the western Ross Sea, Antarctica</t>
  </si>
  <si>
    <t>GEOLOGY</t>
  </si>
  <si>
    <t>RETREAT; GLACIER; MODEL; DEGLACIATION; RATES</t>
  </si>
  <si>
    <t>Outlet glaciers drain the majority of ice flow in the Antarctic ice sheet. Theory and numerical models indicate that local bed topography can play a key role in modulating outlet glacier response to climate warming, potentially resulting in delayed, asynchronous, or enhanced retreat. However, the period of modern observations is too short to assess whether local or regional controls dominate ice sheet response on time scales that are critical for understanding ice sheet mass loss over this century and beyond. The recent geological past allows for insight into such centennial-scale ice sheet behavior. We present a cosmogenic surface-exposure chronology from Mawson Glacier, adjacent to a region of the Ross Sea that underwent dynamic marine-based ice sheet retreat following the Last Glacial Maximum. Our data record at least 220 m of abrupt ice thinning between 7.5 and 4.5 ka, followed by more gradual thinning until the last millennium. The timing, rates, and magnitudes of thinning at Mawson Glacier are remarkably similar to that documented 100 km to the south at Mackay Glacier. Together, both outlet glaciers demonstrate that abrupt deglaciation occurred across a broad region in the Mid-Holocene. This happened despite the complex bed topography of the western Ross Sea and implies an overarching external driver of retreat. When compared to regional sea-level and ocean-temperature changes, our data indicate that ocean warming most likely drove grounding-line retreat and ice drawdown, which then accelerated as a result of marine ice sheet instability.</t>
  </si>
  <si>
    <t>[Jones, R. S.; Whitmore, R. J.; Mackintosh, A. N.] Monash Univ, Sch Earth Atmosphere &amp; Environm, Wellington Rd, Melbourne, Vic 3800, Australia; [Jones, R. S.] Univ Durham, Dept Geog, Sci Labs, South Rd, Durham DH1 3LE, England; [Whitmore, R. J.; Eaves, S. R.; Stutz, J.] Victoria Univ Wellington, Antarctic Res Ctr, Wellington 6012, New Zealand; [Whitmore, R. J.; Norton, K. P.; Eaves, S. R.] Victoria Univ Wellington, Sch Geog Environm &amp; Earth Sci, Wellington 6012, New Zealand; [Christl, M.] Swiss Fed Inst Technol, Dept Phys, Lab Ion Beam Phys, Otto Stern Weg, CH-8093 Zurich, Switzerland</t>
  </si>
  <si>
    <t>Monash University; Melbourne Genomics Health Alliance; Durham University; Victoria University Wellington; Victoria University Wellington; Swiss Federal Institutes of Technology Domain; ETH Zurich</t>
  </si>
  <si>
    <t>Jones, RS (corresponding author), Monash Univ, Sch Earth Atmosphere &amp; Environm, Wellington Rd, Melbourne, Vic 3800, Australia.;Jones, RS (corresponding author), Univ Durham, Dept Geog, Sci Labs, South Rd, Durham DH1 3LE, England.</t>
  </si>
  <si>
    <t>Christl, Marcus/J-4769-2016; Jones, Richard Selwyn/AAJ-3949-2021; Norton, Kevin/CAF-1290-2022</t>
  </si>
  <si>
    <t>Christl, Marcus/0000-0002-3131-6652; Jones, Richard Selwyn/0000-0003-2988-0999; Norton, Kevin/0000-0002-7995-6464; Whitmore, Ross/0000-0002-3922-7777; Mackintosh, Andrew/0000-0002-6430-4711</t>
  </si>
  <si>
    <t>New Zealand Ministry of Business, Innovation and Employment (MBIE) Past Antarctic Climate and Future Implications program; New Zealand Antarctic Research Institute (NZARI); Durham University (UK) [609412]; European Union [609412]; Victoria Doctoral Scholarship</t>
  </si>
  <si>
    <t>New Zealand Ministry of Business, Innovation and Employment (MBIE) Past Antarctic Climate and Future Implications program(New Zealand Ministry of Business, Innovation and Employment (MBIE)); New Zealand Antarctic Research Institute (NZARI); Durham University (UK); European Union(European Union (EU)); Victoria Doctoral Scholarship</t>
  </si>
  <si>
    <t>This project was supported by the New Zealand Ministry of Business, Innovation and Employment (MBIE) Past Antarctic Climate and Future Implications program, with field support from Antarctica New Zealand. We acknowledge the PRIME Lab at Purdue University (Indiana, USA) for conducting some of the 10Be measurements. Additionally, Jones was supported by a New Zealand Antarctic Research Institute (NZARI) grant and a Junior Research Fellowship cofunded between Durham University (UK) and the European Union (609412), and Whitmore was supported by a Victoria Doctoral Scholarship. We also thank Lauren Simkins and two anonymous reviewers, who helped to improve the quality of the manuscript.</t>
  </si>
  <si>
    <t>0091-7613</t>
  </si>
  <si>
    <t>1943-2682</t>
  </si>
  <si>
    <t>10.1130/G48347.1</t>
  </si>
  <si>
    <t>QP5NB</t>
  </si>
  <si>
    <t>WOS:000623882300009</t>
  </si>
  <si>
    <t>Azzaro, M; Maimone, G; La Ferla, R; Cosenza, A; Rappazzo, AC; Caruso, G; Paranhos, R; Cabral, AS; Forte, E; Guglielmin, M</t>
  </si>
  <si>
    <t>Azzaro, Maurizio; Maimone, Giovanna; La Ferla, Rosabruna; Cosenza, Alessandro; Rappazzo, Alessandro Ciro; Caruso, Gabriella; Paranhos, Rodolfo; Cabral, Anderson S.; Forte, Emanuele; Guglielmin, Mauro</t>
  </si>
  <si>
    <t>The prokaryotic community in an extreme Antarctic environment: the brines of Boulder Clay lakes (Northern Victoria Land)</t>
  </si>
  <si>
    <t>Prokaryotes; Viruses; Metabolic potentials; Brines; Antarctica</t>
  </si>
  <si>
    <t>MICROBIAL COMMUNITIES; FUNCTIONAL DIVERSITY; CLIMATE-CHANGE; PERMAFROST; VIRUSES; SIZE; BACTERIOPLANKTON; BIODIVERSITY; ASSEMBLAGES; POPULATIONS</t>
  </si>
  <si>
    <t>During summer 2014, three hypersaline brines were discovered in two frozen lakes of Boulder Clay (Northern Victoria Valley, Antarctica). Ongoing research seeks to gain novel insights on the microbial ecology of such environments, in order to further the understanding of life adaptation to extreme conditions. To this aim, the abundance of prokaryotic cells (including cell morphologies and size for biomass conversion), the amount of viable cells (in terms of membrane-intact cells and respiring cells), the viral count, the physiological profiles at community level and the main microbial enzymatic activities were described. The brines differed each other in terms of prokaryotic cells' abundance, size, and viability as well as viral abundance. Cell morphotypes and metabolic responses also varied among the brine samples. Underground interconnections were likely to occur, with the microbial community becoming more abundant and structured to better exploit the limited resource availability. Overall, complex interactions among multiple environmental factors, including marine water origin, depth horizon, isolation time of the brines, and climatic variations, reflected on the microbial community distribution patterns and highlighted the need to preserve these niches of extreme life.</t>
  </si>
  <si>
    <t>[Azzaro, Maurizio; Maimone, Giovanna; La Ferla, Rosabruna; Cosenza, Alessandro; Rappazzo, Alessandro Ciro; Caruso, Gabriella] CNR, Inst Polar Sci, Spianata S Raineri 86, I-98122 Messina, Italy; [Paranhos, Rodolfo; Cabral, Anderson S.] Univ Fed Rio de Janeiro, Inst Biol, Av Prof Rodolpho Rocco 211, Rio de Janeiro, Brazil; [Cabral, Anderson S.] Univ Fed Rio de Janeiro, Inst Microbiol Paulo Goes, Av Carlos Chagas Filho 373, Rio de Janeiro, Brazil; [Forte, Emanuele] Univ Trieste, Dept Math &amp; Geosciencies, Via Weiss 2, I-34128 Trieste, Italy; [Guglielmin, Mauro] Univ Insubria, Dept Theoret &amp; Appl Sci, Via JH Dunant 3, I-21100 Varese, Italy</t>
  </si>
  <si>
    <t>Consiglio Nazionale delle Ricerche (CNR); Istituto di Scienze Polari (ISP-CNR); Universidade Federal do Rio de Janeiro; Universidade Federal do Rio de Janeiro; University of Trieste; University of Insubria</t>
  </si>
  <si>
    <t>Azzaro, M (corresponding author), CNR, Inst Polar Sci, Spianata S Raineri 86, I-98122 Messina, Italy.</t>
  </si>
  <si>
    <t>maurizio.azzaro@cnr.it</t>
  </si>
  <si>
    <t>azzaro, Maurizio/AAE-6784-2019; Caruso, Gabriella/F-5450-2013</t>
  </si>
  <si>
    <t>azzaro, Maurizio/0000-0001-7885-2340; Caruso, Gabriella/0000-0002-3819-5486</t>
  </si>
  <si>
    <t>National Antarctic Research Program (PNRA); Italian Ministry of Education and Research [PNRA 2013/AZ1.05, PNRA 2016_00194-A1, PNRA 2018_00186-E]; National Council of Research in the frame of the Short Term Mobility program (STM AMMCNT. CNR) [0058167-02/09/2015]; STM AMMCNT. CNR [0070784-15/10/2019]; Coordenacao de Aperfeicoamento de Pessoal de Nivel Superior - Brasil (CAPES) [001]</t>
  </si>
  <si>
    <t>National Antarctic Research Program (PNRA); Italian Ministry of Education and Research(Ministry of Education, Universities and Research (MIUR)); National Council of Research in the frame of the Short Term Mobility program (STM AMMCNT. CNR); STM AMMCNT. CNR; Coordenacao de Aperfeicoamento de Pessoal de Nivel Superior - Brasil (CAPES)(Coordenacao de Aperfeicoamento de Pessoal de Nivel Superior (CAPES))</t>
  </si>
  <si>
    <t>The authors want to thank the Associated Editor for his punctual and precise advice and the reviewers for their relevant suggestions. This research was supported by grants from the National Antarctic Research Program (PNRA), the Italian Ministry of Education and Research (Research Project PNRA 2013/AZ1.05, PNRA 2016_00194-A1; PNRA 2018_00186-E) and from the National Council of Research in the frame of the Short Term Mobility program (STM AMMCNT. CNR protocol n. 0058167-02/09/2015 and STM AMMCNT. CNR protocol n.0070784-15/10/2019). Dr. Anderson S. Cabral was funded by the Coordenacao de Aperfeicoamento de Pessoal de Nivel Superior - Brasil (CAPES) - Finance Code 001. The authors thank Dr. Michele Dalle Fratte for his role in the drilling and sampling procedures as well as all the staff at Mario Zucchelli'' Station in Antarctica who made this research possible, thanks to his logistic help and support. Thanks are also due to Dr. Anderson Aquino, Laboratory of Hidrobiologia of UFRJ (Brazil) for his technical assistance in the flow cytometry analyses.</t>
  </si>
  <si>
    <t>10.1007/s10750-021-04557-2</t>
  </si>
  <si>
    <t>RK2WH</t>
  </si>
  <si>
    <t>WOS:000623718100001</t>
  </si>
  <si>
    <t>Palombi, L; Raimondi, V</t>
  </si>
  <si>
    <t>Palombi, Lorenzo; Raimondi, Valentina</t>
  </si>
  <si>
    <t>A Compact LIF Spectrometer for in-Field Operation in Polar Environments</t>
  </si>
  <si>
    <t>spectrometer; laser-induced fluorescence; polar environment; biological soil crusts; microorganisms</t>
  </si>
  <si>
    <t>We present a compact laser-induced fluorescence (LIF) spectrometer prototype (SFIDA-405) designed for in-field operation in polar environments. It uses 405 nm excitation to acquire LIF spectra in the 450-930 nm spectral range on a solid surface via an optical-fiber coupled measurement head. The prototype (battery powered; module + measurement head weight: &lt;1.6 kg) is controlled via a military-grade smartphone and has a limit of detection for chlorophyll better than 5 ng/cm(2). The instrument was successfully tested during two summer field campaigns in the Arctic (Svalbard Islands) and Antarctic (Southern Victoria Land) regions for studying biological soil crusts. To the best of the authors' knowledge, this represents the first LIF spectrometer used in situ in Antarctica to acquire LIF spectra directly on biological soil crusts. Finally, the paper also suggests the use of the SFIDA-405 prototype for different application fields.</t>
  </si>
  <si>
    <t>[Palombi, Lorenzo; Raimondi, Valentina] CNR, Nello Carrara Inst Appl Phys, I-50019 Sesto Fiorentino, FI, Italy</t>
  </si>
  <si>
    <t>Consiglio Nazionale delle Ricerche (CNR); Istituto di Fisica Applicata Nello Carrara (IFAC-CNR)</t>
  </si>
  <si>
    <t>Raimondi, V (corresponding author), CNR, Nello Carrara Inst Appl Phys, I-50019 Sesto Fiorentino, FI, Italy.</t>
  </si>
  <si>
    <t>l.palombi@ifac.cnr.it; v.raimondi@ifac.cnr.it</t>
  </si>
  <si>
    <t>Raimondi, Valentina/AAX-1080-2020; Palombi, Lorenzo/AAW-7372-2020</t>
  </si>
  <si>
    <t>Raimondi, Valentina/0000-0002-8951-0888; Palombi, Lorenzo/0000-0001-9219-564X</t>
  </si>
  <si>
    <t>Italian National Research Program in Antarctica [PNRA 2013/AZ1.12]</t>
  </si>
  <si>
    <t>Italian National Research Program in Antarctica</t>
  </si>
  <si>
    <t>This research was funded by the Italian National Research Program in Antarctica, grant number PNRA 2013/AZ1.12.</t>
  </si>
  <si>
    <t>10.3390/s21051729</t>
  </si>
  <si>
    <t>QW5BX</t>
  </si>
  <si>
    <t>WOS:000628666200001</t>
  </si>
  <si>
    <t>Suárez, R; Ghiglione, MC; Sue, C; Quezada, P; Roy, S; Rojo, D; Calderón, M</t>
  </si>
  <si>
    <t>Suarez, Rodrigo; Ghiglione, Matias C.; Sue, Christian; Quezada, Paulo; Roy, Sandrine; Rojo, Diego; Calderon, Mauricio</t>
  </si>
  <si>
    <t>Paleozoic-early Mesozoic structural evolution of the West Gondwana accretionary margin in southern Patagonia, Argentina</t>
  </si>
  <si>
    <t>Metasedimentary rocks; Stages of structure development; Accretionary orogenesis; South Patagonian Andes; Gondwanide orogeny; Chonide orogeny; Fold-and-thrust belts</t>
  </si>
  <si>
    <t>CHONOS METAMORPHIC COMPLEX; DE-DIOS ARCHIPELAGO; PB SHRIMP AGES; U-PB; DETRITAL ZIRCONS; ANTARCTIC PENINSULA; GRAHAM LAND; HF-ISOTOPE; PROVENANCE; MAGMATISM</t>
  </si>
  <si>
    <t>The Upper Devonian-Upper Triassic low-grade metasedimentary rocks exposed along the South Patagonian Andes preserve the structural record of deformation associated with pre-Andean orogenic phases that predated the inception of the Jurassic rift during Gondwana fragmentation. Through the structural analysis at different scales, we identified deformation structures mainly with cratonward vergence, produced at two stages of structure development for the Bahia de la Lancha (early Carboniferous) and Rio L ' acteo (Middle Devonian-early Carboniferous) formations, and in a single one, for the Nunatak Viedma Unit (Late Triassic). The structural features were integrated with available U-Pb detrital zircon ages and fission-track cooling ages from those units. It leads us to identify a westward younging of sedimentation (i.e. protolith deposition) and widening of the continental margin throughout Paleozoic-early Mesozoic times, tectonically stabilized during the late Carboniferous-middle Permian Gondwanide orogeny and the Late Triassic-Early Jurassic Chonide orogeny. The structural style holds features of fold-and-thrust belts, which is discussed in a context of accretionary tectonics inherent to the Terra Australis exterior orogen.</t>
  </si>
  <si>
    <t>[Suarez, Rodrigo; Ghiglione, Matias C.] Univ Buenos Aires, CONICET, Inst Estudios Andinos IDEAN, Intendente Guiraldes 2160,Ciudad Univ, Buenos Aires, DF, Argentina; [Sue, Christian] Univ Franche Comte, CNRS, UMR6249, Chronoenvironm, 16 Route Gray, F-25030 Besancon, France; [Sue, Christian; Roy, Sandrine] Univ Savoie Mt Blanc, ISTerre, F-73376 Le Bourget Du Lac, France; [Quezada, Paulo] Univ Aysen, Dept Ciencias Nat &amp; Tecnol, Obispo Vielmo 62, Coyhaique, Chile; [Rojo, Diego] Univ Arturo Prat, Fac Ingn &amp; Arquitectura, Iquique, Chile; [Calderon, Mauricio] Univ Andres Bello, Fac Ingn, Geol, Santiago 2119, Chile; [Quezada, Paulo] Univ Fed Parana, Inst LAMIR, Ctr Politecn, BR-81531980 Curtiba, PR, Brazil</t>
  </si>
  <si>
    <t>Consejo Nacional de Investigaciones Cientificas y Tecnicas (CONICET); University of Buenos Aires; Universite de Franche-Comte; Centre National de la Recherche Scientifique (CNRS); Communaute Universite Grenoble Alpes; Universite Grenoble Alpes (UGA); Centre National de la Recherche Scientifique (CNRS); Institut de Recherche pour le Developpement (IRD); Universite Gustave-Eiffel; Universite Savoie Mont Blanc; Universidad Arturo Prat; Universidad Andres Bello; Universidade Federal do Parana</t>
  </si>
  <si>
    <t>Suárez, R (corresponding author), Univ Buenos Aires, CONICET, Inst Estudios Andinos IDEAN, Intendente Guiraldes 2160,Ciudad Univ, Buenos Aires, DF, Argentina.</t>
  </si>
  <si>
    <t>rodrigo_s_37@hotmail.com</t>
  </si>
  <si>
    <t>Ghiglione, Matias C/A-9413-2010; Suarez, Rodrigo/J-1529-2014</t>
  </si>
  <si>
    <t>Rojo, Diego/0000-0002-5764-2819; sue, christian/0000-0002-2472-5001; Roy, Sandrine/0000-0003-3541-7765</t>
  </si>
  <si>
    <t>French projects SYSTER (CNRS-INSU); ArgentinianFrench ECOS-SUD project [A15U02]; [PICT-2013-1291]</t>
  </si>
  <si>
    <t>French projects SYSTER (CNRS-INSU); ArgentinianFrench ECOS-SUD project;</t>
  </si>
  <si>
    <t>This work has been carried out in the frame of the ArgentinianFrench ECOS-SUD project A15U02 (C. S., and M. G.), and thanks to the financial support of grants projects from Agencia PICT-2013-1291 directed by M.G., French projects SYSTER (CNRS-INSU) directed by C.S. The authors are grateful to Administraci ' on de Parques Nacionales for granting access to Patagonian National Parks, and Pedro and Ivonne from the La Lila Farm for hospitality. RS is grateful to Pablo Gonz ' alez for technical assistance for developing fieldwork. Discussions with Gerson Greco, Raul Giacosa, Lucia Sagripanti, Miguel Ramos, and Santiago Gonz ' alez, drove to improve this article. Thanks to Dr. Cesar Navarrete and Dr. Eber Cristofolini for constructive and positive reviews and Dr. Sebastian Oriolo by editorial handling.</t>
  </si>
  <si>
    <t>10.1016/j.jsames.2020.103062</t>
  </si>
  <si>
    <t>PY7NG</t>
  </si>
  <si>
    <t>WOS:000612228200001</t>
  </si>
  <si>
    <t>Weerarathne, IA; Monk, J; Barrett, N</t>
  </si>
  <si>
    <t>Weerarathne, Illangarathne Arachchige; Monk, Jacquomo; Barrett, Neville</t>
  </si>
  <si>
    <t>Sample-size requirements for accurate length-frequency distributions of mesophotic reef fishes from baited remote underwater stereo video</t>
  </si>
  <si>
    <t>ECOLOGICAL INDICATORS</t>
  </si>
  <si>
    <t>Demersal fish monitoring; Fisheries monitoring; No-take marine reserve monitoring; Size structure; Stereo BRUV; Mesophotic temperate reef</t>
  </si>
  <si>
    <t>BIODIVERSITY; POPULATIONS; PRECISION; GROWTH</t>
  </si>
  <si>
    <t>Accurate descriptions of size structure are important for adaptive management of marine fish populations subject to anthropogenic and environmental pressures. This requires monitoring programs that can measure the length of enough individuals within each focal fish population. This study assessed the number of length measurements required to accurately describe the size structure in a range of common mesophotic demersal fish species observed from baited remote underwater stereo video (stereo BRUV) sampling programs. Here, we use a resampling approach from an empirical length dataset collected as a part of ongoing monitoring efforts to characterize mesophotic reef fish assemblages across the continental shelf of eastern and southern Tasmania, Australia. The results suggest that, on average, between 60 and 120 individuals length measurements are needed from at least 20 to 2000 independent deployments to be 95% confident that samples reflected the real size structure of fishes captured using stereo BRUVs. It is important to note that the real size-structure of each fish species here is unknown but was parameterized by pooling all measurements across the stereo BRUV dataset. It should also be noted that the exact number of length measurements differs across species, with some less abundant species requiring substantial sampling effort. This study helps to inform initial sampling requirements for length measurements for monitoring programs using stereo BRUVs. It provides a methodology that can aid researchers to further refine the overall sampling effort for future fisheries and marine park monitoring applications.</t>
  </si>
  <si>
    <t>[Weerarathne, Illangarathne Arachchige; Monk, Jacquomo; Barrett, Neville] Univ Tasmania, Inst Marine &amp; Antarctic Studies, Private Bag 49, Hobart, Tas 7001, Australia</t>
  </si>
  <si>
    <t>Monk, J (corresponding author), Univ Tasmania, Inst Marine &amp; Antarctic Studies, Private Bag 49, Hobart, Tas 7001, Australia.</t>
  </si>
  <si>
    <t>jacquomo.monk@utas.edu.au</t>
  </si>
  <si>
    <t>Barrett, Neville/J-7593-2014</t>
  </si>
  <si>
    <t>Barrett, Neville/0000-0002-6167-1356</t>
  </si>
  <si>
    <t>FRDC [2014-012]; National Environmental Science Program's Marine Biodiversity Hub; Australian Government's National Environmental Science Program (NESP)</t>
  </si>
  <si>
    <t>FRDC; National Environmental Science Program's Marine Biodiversity Hub; Australian Government's National Environmental Science Program (NESP)(Australian Government)</t>
  </si>
  <si>
    <t>This work was supported by FRDC (project number: 2014-012) and the National Environmental Science Program's Marine Biodiversity Hub. The Marine Biodiversity Hub, a collaborative partnership supported through funding from the Australian Government's National Environmental Science Program (NESP). NESP Marine Biodiversity Hub partners include the University of Tasmania; CSIRO, Geoscience Australia, Australian Institute of Marine Science, Museum Victoria, Charles Darwin University, The University of Western Australia, Integrated Marine Observing System, NSW Office of Environment and Heritage, and NSW Department of Primary Industries. Justin Hulls, Bastien Taormina, Lainey James and Richard Zavalas for participating in fieldwork and assisting in stereo BRUV annotations. Nicole Hill and Jeremy Lyle are thanked for their input in the coordination of the FRDC project. Author contributions: IAW-Analysis, Writing (Original draft preparation). JM -Conceptualization, Methodology, Data curation, Analysis, Supervision, Writing (Reviewing and Editing). NB - Methodology, Funding acquisition, Supervision, Writing (Reviewing and Editing).</t>
  </si>
  <si>
    <t>1470-160X</t>
  </si>
  <si>
    <t>1872-7034</t>
  </si>
  <si>
    <t>ECOL INDIC</t>
  </si>
  <si>
    <t>Ecol. Indic.</t>
  </si>
  <si>
    <t>10.1016/j.ecolind.2020.107262</t>
  </si>
  <si>
    <t>Biodiversity Conservation; Environmental Sciences</t>
  </si>
  <si>
    <t>QA1TR</t>
  </si>
  <si>
    <t>WOS:000613232500008</t>
  </si>
  <si>
    <t>Brea, M; Iglesias, A; Wilf, P; Moya, E; Gandolfo, MA</t>
  </si>
  <si>
    <t>Brea, Mariana; Iglesias, Ari; Wilf, Peter; Moya, Eliana; Gandolfo, Maria A.</t>
  </si>
  <si>
    <t>First South American Record of Winteroxylon, Eocene of Laguna del Hunco (Chubut, Patagonia, Argentina): New Link to Australasia and Malesia</t>
  </si>
  <si>
    <t>INTERNATIONAL JOURNAL OF PLANT SCIENCES</t>
  </si>
  <si>
    <t>wood anatomy; early Eocene; Huitrera Formation; Winteraceae; Winteroxylon; Zygogynum s; l; clade</t>
  </si>
  <si>
    <t>Premise of research. Winteraceae, a family within the Canellales, is composed of tropical trees and shrubs broadly distributed in the Southern Hemisphere. The family is found today in eastern Australia, New Zealand, Malesia, Oceania, Madagascar, and the Neotropics across a range of dry to wet tropical to temperate climate regions. The fossil record of woods related to the Winteraceae in the Southern Hemisphere is limited to the Late Cretaceous of the Antarctic Peninsula. Here, we present a detailed anatomical description of the secondary xylem of a well-preserved trunk from the early Eocene Laguna del Hunco site, Huitrera Formation, Patagonia (Chubut Province, Argentina), that is referable to a new species of the genus Winteroxylon (Gottwald) Poole and Francis. Methodology. The wood is preserved as a siliceous permineralization; it was sectioned using standard petrographic techniques and observed under both light and scanning electron microscopy. The anatomy was compared with that of extant and fossil species of Winteraceae. Pivotal results. The diagnostic anatomical features of Winteraceae preserved in the fossil include an absence of growth rings, a lack of vessels, tracheids that are rectangular in cross section with circular bordered pits, diffuse axial parenchyma, rays showing two distinct size ranges (uniseriate-biseriate or multiseriate, 3-15 cells wide), and the presence of heterocellular rays containing sclerotic nests, cells with dark contents, and oil cells. The new fossil species most resembles extant genera within the Zygogynum s.l. clade from Australasian and Malesian rain forests; its anatomy is very similar to that of the extant genus Bubbia. The new Patagonian Winteraceae fossil wood is characterized by the presence of sclerotic nests and oil cells in the rays, which differ from those of previously described species of Winteroxylon. Conclusions. On the basis of the distinctive characters preserved, we erect Winteroxylon oleiferum sp. nov. The new fossil is the first reliable macrofossil record of Winteraceae from South America, supporting the abundant palynological record of the family from the continent, and it is the oldest record of the Zygogynum s.l. clade, adding to the long list of southern biogeographic connections between South America and Australasia via Antarctica during the warm early Cenozoic.</t>
  </si>
  <si>
    <t>[Brea, Mariana; Moya, Eliana] Univ Autonoma Entre Rios, Ctr Invest Cient &amp; Transferencia Tecnol Prod, Consejo Nacl Invest Cient &amp; Tecn, Lab Paleobot, Espana 149,E3105BWA, Diamante, Entre Rios, Argentina; [Brea, Mariana; Moya, Eliana] Univ Autonoma Entre Rios, Fac Ciencia &amp; Tecnol, Espana 149,E3105BWA, Diamante, Entre Rios, Argentina; [Brea, Mariana] Univ Nacl La Plata, Fac Ciencias Nat &amp; Museo, Catedra Paleobot, Calle 122 &amp; 60 S-N, RA-1900 La Plata, Buenos Aires, Argentina; [Iglesias, Ari] Univ Nacl Comahue, Consejo Nacl Invest Cient &amp; Tecn, Inst Invest Biodiversidad &amp; Medioambiente, Quintral 1250, RA-8400 San Carlos De Bariloche, Rio Negro, Argentina; [Wilf, Peter] Penn State Univ, Dept Geosci, University Pk, PA 16802 USA; [Wilf, Peter] Penn State Univ, Earth &amp; Environm Syst Inst, University Pk, PA 16802 USA; [Gandolfo, Maria A.] Cornell Univ, Sch Integrat Plant Sci, LH Bailey Hortorium, Plant Biol Sect, Ithaca, NY 14850 USA</t>
  </si>
  <si>
    <t>Consejo Nacional de Investigaciones Cientificas y Tecnicas (CONICET); National University of La Plata; Museo La Plata; Consejo Nacional de Investigaciones Cientificas y Tecnicas (CONICET); Universidad Nacional del Comahue; Pennsylvania Commonwealth System of Higher Education (PCSHE); Pennsylvania State University; Pennsylvania State University - University Park; Pennsylvania Commonwealth System of Higher Education (PCSHE); Pennsylvania State University; Pennsylvania State University - University Park; Cornell University</t>
  </si>
  <si>
    <t>Brea, M (corresponding author), Univ Autonoma Entre Rios, Ctr Invest Cient &amp; Transferencia Tecnol Prod, Consejo Nacl Invest Cient &amp; Tecn, Lab Paleobot, Espana 149,E3105BWA, Diamante, Entre Rios, Argentina.;Brea, M (corresponding author), Univ Autonoma Entre Rios, Fac Ciencia &amp; Tecnol, Espana 149,E3105BWA, Diamante, Entre Rios, Argentina.;Brea, M (corresponding author), Univ Nacl La Plata, Fac Ciencias Nat &amp; Museo, Catedra Paleobot, Calle 122 &amp; 60 S-N, RA-1900 La Plata, Buenos Aires, Argentina.</t>
  </si>
  <si>
    <t>cidmbrea@gmail.com</t>
  </si>
  <si>
    <t>Moya, Eliana/JAC-8957-2023</t>
  </si>
  <si>
    <t>Moya, Eliana/0000-0002-7059-6837</t>
  </si>
  <si>
    <t>National Science Foundation [DEB-0345750, DEB-0919071, DEB-0918932, DEB-1556666, DEB-1556136, EAR-1925755, EAR-1925481]</t>
  </si>
  <si>
    <t>For exceptional assistance in the field and laboratory, we are grateful to M. Caffa, L. Canessa, P. Puerta, and E. Ruigomez, and we thank the Nahueltripay family and the Secretaria de Cultura of the Chubut Province Government for land access. We thank Laboratorio de Microscopia, Grupo de Caracterizacion de Materiales, Centro Atomico Bariloche for SEM imaging, M. Medina from the LABGEO-Cordoba University (CICTERRA-CONICET) for making the petrographic sections, and two anonymous reviewers and Editor Alexandru M.F. Tomescu for helpful comments on the manuscript. We acknowledge financial support from National Science Foundation grants DEB-0345750, DEB-0919071, DEB-0918932, DEB-1556666, DEB-1556136, EAR-1925755, and EAR-1925481.</t>
  </si>
  <si>
    <t>UNIV CHICAGO PRESS</t>
  </si>
  <si>
    <t>CHICAGO</t>
  </si>
  <si>
    <t>1427 E 60TH ST, CHICAGO, IL 60637-2954 USA</t>
  </si>
  <si>
    <t>1058-5893</t>
  </si>
  <si>
    <t>1537-5315</t>
  </si>
  <si>
    <t>INT J PLANT SCI</t>
  </si>
  <si>
    <t>Int. J. Plant Sci.</t>
  </si>
  <si>
    <t>10.1086/712427</t>
  </si>
  <si>
    <t>QM5IM</t>
  </si>
  <si>
    <t>WOS:000615958300001</t>
  </si>
  <si>
    <t>Flores-Rojas, JL; Silva, Y; Suárez-Salas, L; Estevan, R; Valdivia-Prado, J; Saavedra, M; Giraldez, L; Piñas-Laura, M; Scipión, D; Milla, M; Kumar, S; Martinez-Castro, D</t>
  </si>
  <si>
    <t>Flores-Rojas, Jose Luis; Silva, Yamina; Suarez-Salas, Luis; Estevan, Rene; Valdivia-Prado, Jairo; Saavedra, Miguel; Giraldez, Lucy; Pinas-Laura, Manuel; Scipion, Danny; Milla, Marco; Kumar, Sheilendra; Martinez-Castro, Daniel</t>
  </si>
  <si>
    <t>Analysis of Extreme Meteorological Events in the Central Andes of Peru Using a Set of Specialized Instruments</t>
  </si>
  <si>
    <t>LAMAR instruments; Huancayo observatory; intense rainfall events; frost events; pollution events; mantaro valley; central Andes of Peru</t>
  </si>
  <si>
    <t>BOUNDARY-LAYER; PRECIPITATION; IMERG; PRODUCTS</t>
  </si>
  <si>
    <t>A set of instruments to measure several physical, microphysical, and radiative properties of the atmosphere and clouds are essential to identify, understand and, subsequently, forecast and prevent the effects of extreme meteorological events, such as severe rainfall, hailstorms, frost events and high pollution events, that can occur with some regularity in the central Andes of Peru. However, like many other Latin American countries, Peru lacks an adequate network of meteorological stations to identify and analyze extreme meteorological events. To partially remedy this deficiency, the Geophysical Institute of Peru has installed a set of specialized sensors (LAMAR) on the Huancayo observatory (12.04 degrees S, 75.32 degrees W, 3350 m ASL), located in the Mantaro river basin, which is a part of the central Andes of Peru, especially in agricultural areas. LAMAR consists of a set of sensors that are used to measure the main atmosphere and soil variables located in a 30-meter-high tower. It also has a set of high-quality radiation sensors (BSRN station) that helps measure the components of short-wave (SW) (global, diffuse, direct and reflected) and long-wave (LW) (emitted and incident) irradiance mounted in a 6-meter-high tower. Moreover, to analyze the microphysics properties of clouds and rainfall, LAMAR includes a set of profiler radars: A Ka-band cloud profiler (MIRA-35c), a UHF wind profiler (CLAIRE), and a VHF wind profiler (BLTR), along with two disdrometers (PARSIVEL2) and two rain gauges pluviometers. The present study performs a detailed dynamic and energetic analysis of two extreme rainfall events, two intense frost events, and three high-pollution events occurring on the Huancayo observatory between 2018 and 2019. The results show that the rainfall events are similar to the 1965-2019 climatological 90th percentile of the daily accumulated rainfall. The results also highlighted the patterns of reflectivity in function of height for both events, which is measured by highlighting the presence of convective and stratiform rainfall types for both events. The first intense rainfall event was associated with strong easterly circulations at high levels of the atmosphere, and the second one was associated with the presence of strong westerly circulations and the absence of BH-NL system around the central Andes. The first frost event was mainly associated with continuous clear sky conditions in the few previous days, corresponding to a radiative frost event. The second one was mainly associated with the intrusion of cold surges from extra-tropical South America. For both events, the energy budget components were strong-lower in comparison to the mean monthly values during early morning hours. Finally, for the high pollution events, the study identified that the main source of aerosols were the forest fires that took place in Peru with certain contributions from the fires in the northern area of Bolivia.</t>
  </si>
  <si>
    <t>[Flores-Rojas, Jose Luis; Silva, Yamina; Suarez-Salas, Luis; Estevan, Rene; Valdivia-Prado, Jairo; Saavedra, Miguel; Giraldez, Lucy; Pinas-Laura, Manuel; Scipion, Danny; Milla, Marco; Kumar, Sheilendra; Martinez-Castro, Daniel] Geophys Inst Peru, Lima 15012, Peru; [Flores-Rojas, Jose Luis; Silva, Yamina; Suarez-Salas, Luis; Estevan, Rene; Valdivia-Prado, Jairo; Saavedra, Miguel; Giraldez, Lucy; Pinas-Laura, Manuel; Scipion, Danny; Milla, Marco; Kumar, Sheilendra; Martinez-Castro, Daniel] Calle Badajoz 169 Urb Mayorazgo IV Etapa Ate, Lima 15012, Peru</t>
  </si>
  <si>
    <t>Flores-Rojas, JL (corresponding author), Geophys Inst Peru, Lima 15012, Peru.;Flores-Rojas, JL (corresponding author), Calle Badajoz 169 Urb Mayorazgo IV Etapa Ate, Lima 15012, Peru.</t>
  </si>
  <si>
    <t>jflores@igp.gob.pe; fsilva@igp.gob.pe; lsuarez@igp.gob.pe; realcmw@gmail.com; jvaldivia@igp.gob.pe; msaavedra@igp.gob.pe; lgiraldez@igp.gob.pe; mpinaslaura@gmail.com; dscipion@igp.gob.pe; mmilla@igp.gob.pe; shailendrak89@gmail.com; danielmartinezc53@gmail.com</t>
  </si>
  <si>
    <t>Suarez-Salas, Luis/AAB-3339-2020; Scipion, Danny E/D-4477-2014; Estevan, René/KCK-2689-2024; Martinez-Castro, Daniel/AAB-8315-2019; Milla, Marco Antonio/L-9345-2013</t>
  </si>
  <si>
    <t>Suarez-Salas, Luis/0000-0003-1857-8399; Estevan, René/0000-0003-0170-3616; Martinez-Castro, Daniel/0000-0002-5957-4637; Milla, Marco Antonio/0000-0001-9067-863X; flores rojas, Jose luis/0000-0002-7205-322X; Saavedra, Miguel/0000-0002-4773-0647; Silva, Yamina/0000-0003-0653-0224; Scipion, Danny/0000-0002-6807-0238; Valdivia Prado, Jairo Michael/0000-0003-0709-1163</t>
  </si>
  <si>
    <t>[010-2017-FONDECYT]; [101-2014-FONDECYT]</t>
  </si>
  <si>
    <t>Present study comes under the project MAGNET-IGP: Strengthening the research line in physics and microphysics of the atmosphere (Agreement No 010-2017-FONDECYT) This work was done using instruments of the Laboratory of Physics, Microphysics and Radiation (LAMAR) and computational resources, HPC-Linux -Cluster, from Laboratorio de Dinamica de Fluidos Geofisicos Computacionales at Instituto Geofisico del Peru (grants 101-2014-FONDECYT, SPIRALES2012 IRD-IGP, Manglares IGP-IDRCPP068 program). Also, thanks to the Office of Antarctic Affairs of Ministry of External Affairs of Peru and WMO/GCOS programme for facilitating the implementation of BSRN station. We thank NASA Headquarters for their continuing support and long-term commitment to the AERONET project.</t>
  </si>
  <si>
    <t>10.3390/atmos12030408</t>
  </si>
  <si>
    <t>RD2PC</t>
  </si>
  <si>
    <t>WOS:000633325800001</t>
  </si>
  <si>
    <t>Ouyang, ZX; Qi, D; Zhong, WL; Chen, LQ; Gao, ZY; Lin, HM; Sun, H; Li, T; Cai, WJ</t>
  </si>
  <si>
    <t>Ouyang, Zhangxian; Qi, Di; Zhong, Wenli; Chen, Liqi; Gao, Zhongyong; Lin, Hongmei; Sun, Heng; Li, Tao; Cai, Wei-Jun</t>
  </si>
  <si>
    <t>Summertime Evolution of Net Community Production and CO2 Flux in the Western Arctic Ocean</t>
  </si>
  <si>
    <t>Arctic Ocean; CO2; NCP; O-2; Ar; pCO(2)</t>
  </si>
  <si>
    <t>PHYTOPLANKTON BLOOMS; GAS-EXCHANGE; UPTAKE CAPACITY; SURFACE WATERS; LONG-TERM; SEA; DRIVERS; OXYGEN; VARIABILITY; SOLUBILITY</t>
  </si>
  <si>
    <t>To examine seasonal and regional variabilities in metabolic status and the coupling of net community production (NCP) and air-sea CO2 fluxes in the western Arctic Ocean, we collected underway measurements of surface O-2/Ar and partial pressure of CO2 (pCO(2)) in the summers of 2016 and 2018. With a box-model, we demonstrate that accounting for local sea ice history (in addition to wind history) is important in estimating NCP from biological oxygen saturation (Delta(O-2/Ar)) in polar regions. Incorporating this sea ice history correction, we found that most of the western Arctic exhibited positive Delta(O-2/Ar) and negative pCO(2) saturation, Delta(pCO(2)), indicative of net autotrophy but with the relationship between the two parameters varying regionally. In the heavy ice-covered areas, where air-sea gas exchange was suppressed, even minor NCP resulted in relatively high Delta(O-2/Ar) and low pCO(2) in water due to limited gas exchange. Within the marginal ice zone, NCP and CO2 flux magnitudes were strongly inversely correlated, suggesting an air to sea CO2 flux induced primarily by biological CO2 removal from surface waters. Within ice-free waters, the coupling of NCP and CO2 flux varied according to nutrient supply. In the oligotrophic Canada Basin, NCP and CO2 flux were both small, controlled mainly by air-sea gas exchange. On the nutrient-rich Chukchi Shelf, NCP was strong, resulting in great O-2 release and CO2 uptake. This regional overview of NCP and CO2 flux in the western Arctic Ocean, in its various stages of ice-melt and nutrient status, provides useful insight into the possible biogeochemical evolution of rapidly changing polar oceans.</t>
  </si>
  <si>
    <t>[Ouyang, Zhangxian; Cai, Wei-Jun] Univ Delaware, Sch Marine Sci &amp; Policy, Newark, DE 19716 USA; [Qi, Di; Chen, Liqi; Gao, Zhongyong; Lin, Hongmei; Sun, Heng] Minist Nat Resources MNR, Key Lab Global Change &amp; Marine Atmospher Chem, Inst Oceanog 3, Xiamen, Peoples R China; [Zhong, Wenli] Ocean Univ China, Key Lab Phys Oceanog, Qingdao, Peoples R China; [Li, Tao] Ocean Univ China, Coll Ocean &amp; Atmospher Sci, Qingdao, Peoples R China</t>
  </si>
  <si>
    <t>University of Delaware; Ministry of Natural Resources of the People's Republic of China; Third Institute of Oceanography, Ministry of Natural Resources; Ocean University of China; Ocean University of China</t>
  </si>
  <si>
    <t>Cai, WJ (corresponding author), Univ Delaware, Sch Marine Sci &amp; Policy, Newark, DE 19716 USA.</t>
  </si>
  <si>
    <t>wcai@udel.edu</t>
  </si>
  <si>
    <t>Cai, Wei-Jun/C-1361-2013; LIU, JIALIN/JXN-8034-2024</t>
  </si>
  <si>
    <t>Qi, Di/0000-0003-4762-266X; Cai, Wei-Jun/0000-0003-3606-8325; Zhong, Wenli/0000-0002-1571-9902</t>
  </si>
  <si>
    <t>United States National Science Foundation [PLR-1304337, OPP-1926158]; National Key Research and Development Program of China [2019YFE0114800, 2019YFA0607003]; National Natural Science Foundation of China [41941013, 41806222, 41630969]; Chinese Projects for Investigations and Assessments of the Arctic and Antarctic (CHINARE 2017-2020); Key Deployment Project of Centre for Ocean Mega-Research of Science, CAS [COMS2020Q12]; Scientific Research Foundation of Third Institute of Oceanography, MNR [2017029, 2018005]; Natural Science Foundation of Fujian Province, China [2019Jo5148]; Fujian science and technology innovation leader project 2016</t>
  </si>
  <si>
    <t>United States National Science Foundation(National Science Foundation (NSF)); National Key Research and Development Program of China; National Natural Science Foundation of China(National Natural Science Foundation of China (NSFC)); Chinese Projects for Investigations and Assessments of the Arctic and Antarctic (CHINARE 2017-2020); Key Deployment Project of Centre for Ocean Mega-Research of Science, CAS; Scientific Research Foundation of Third Institute of Oceanography, MNR; Natural Science Foundation of Fujian Province, China(Natural Science Foundation of Fujian Province); Fujian science and technology innovation leader project 2016</t>
  </si>
  <si>
    <t>We would like to thank Wei Li, Kui Chen, Xiuyuan Qin, and the R/V Xuelong crews for helping to collect the data used in this study. This work was supported by the United States National Science Foundation (PLR-1304337 and OPP-1926158), the National Key Research and Development Program of China (2019YFE0114800, 2019YFA0607003), the National Natural Science Foundation of China (41941013, 41806222, 41630969), the Chinese Projects for Investigations and Assessments of the Arctic and Antarctic (CHINARE 2017-2020), Key Deployment Project of Centre for Ocean Mega-Research of Science, CAS (Grant No. COMS2020Q12), the Scientific Research Foundation of Third Institute of Oceanography, MNR (No. 2017029 and 2018005), Natural Science Foundation of Fujian Province, China (2019Jo5148), and Fujian science and technology innovation leader project 2016.</t>
  </si>
  <si>
    <t>e2020GB006651</t>
  </si>
  <si>
    <t>10.1029/2020GB006651</t>
  </si>
  <si>
    <t>RG0IV</t>
  </si>
  <si>
    <t>WOS:000635221000005</t>
  </si>
  <si>
    <t>Audouin, O; Roehrig, R; Couvreux, F; Williamson, D</t>
  </si>
  <si>
    <t>Audouin, O.; Roehrig, R.; Couvreux, F.; Williamson, D.</t>
  </si>
  <si>
    <t>Modeling the GABLS4 Strongly-Stable Boundary Layer With a GCM Turbulence Parameterization: Parametric Sensitivity or Intrinsic Limits?</t>
  </si>
  <si>
    <t>LAND-SURFACE; SIMULATIONS; SCHEME</t>
  </si>
  <si>
    <t>The representation of stable boundary layers (SBLs) still challenges turbulence parameterization implemented in current weather or climate models. The present work assesses whether these model deficiencies reflect calibration choices or intrinsic limits in currently-used turbulence parameterization formulations and implementations. This question is addressed for the CNRM atmospheric model ARPEGE-Climat 6.3 in a single-column model/large-eddy simulation (SCM/LES) comparison framework, using the history matching with iterative refocusing statistical approach. The GABLS4 case, which samples a nocturnal strong SBL observed at Dome C, Antarctic Plateau, is used. The standard calibration of the ARPEGE-Climat 6.3 turbulence parameterization leads to a too deep SBL, a too high low-level jet and misses the nocturnal wind rotation. This behavior is found for low and high vertical resolution model configurations. The statistical tool then proves that these model deficiencies reflect a poor parameterization calibration rather than intrinsic limits of the parameterization formulation itself. In particular, the role of two lower bounds that were heuristically introduced during the parameterization implementation to increase mixing in the free troposphere and to avoid runaway cooling in snow- or ice-covered region is emphasized. The statistical tool identifies the space of the parameterization free parameters compatible with the LES reference, accounting for the various sources of uncertainty. This space is non-empty, thus proving that the ARPEGE-Climat 6.3 turbulence parameterization contains the required physics to capture the GABLS4 SBL. The SCM framework is also used to validate the statistical framework and a few guidelines for its use in parameterization development and calibration are discussed. Plain Language Summary During the night or in snow- or ice-covered region, a stable atmospheric boundary layer (SBL) often develops. Their representation still challenges turbulence parameterization implemented in numerical weather or climate models. The present work assesses whether the ARPEGE-Climat atmospheric model deficiencies reflect calibration choices or intrinsic limits in its turbulence parameterization using a statistical approach from the Uncertainty Quantification community. A single-column version of the model is evaluated on the GABLS4 case, a nocturnal strong SBL observed at Dome C, Antarctic plateau, and compared to high-resolution simulations. The standard calibration of the ARPEGE-Climat 6.3 turbulence parameterization leads to a too deep SBI, and an incorrect wind pattern and so for different vertical resolutions. The statistical tool proves that these model deficiencies are rectified with proper calibration of the turbulence parameterization. In particular, it is shown that two lower bounds, introduced to increase turbulent mixing, are key to capture the GABLS4 SRI,. Finally, the potential and relevance of the Uncertainty Quantification approach applied to the single-column model/large-eddy simulation comparison framework for the calibration of climate models are highlighted and few guidelines for its use are proposed.</t>
  </si>
  <si>
    <t>[Audouin, O.; Roehrig, R.; Couvreux, F.] Univ Toulouse, CNRS, CNRM, Toulouse, France; [Williamson, D.] Exeter Univ, Exeter, Devon, England; [Williamson, D.] Alan Turing Inst, London, England</t>
  </si>
  <si>
    <t>Centre National de la Recherche Scientifique (CNRS); Universite de Toulouse; University of Exeter</t>
  </si>
  <si>
    <t>Audouin, O (corresponding author), Univ Toulouse, CNRS, CNRM, Toulouse, France.</t>
  </si>
  <si>
    <t>olivier.audouin@meteo.fr</t>
  </si>
  <si>
    <t>Audouin, Olivier/0000-0003-0478-284X; Couvreux, Fleur/0000-0002-8440-3362</t>
  </si>
  <si>
    <t>grant HIGH-TUNE [ANR-16-CE01-0010]; DEPHY2 project - French national program LEFE/INSU; GDR-DEPHY; NERC [NE/N018486/1]; Alan Turing Institute project Uncertainty Quantification of multi-scale and multiphysics computer models: applications to hazard and climate models by EPSRC [EP/N510129/1]; Natural Environment Research Council [NE/N018486/1] Funding Source: researchfish; Agence Nationale de la Recherche (ANR) [ANR-16-CE01-0010] Funding Source: Agence Nationale de la Recherche (ANR)</t>
  </si>
  <si>
    <t>grant HIGH-TUNE; DEPHY2 project - French national program LEFE/INSU; GDR-DEPHY; NERC(UK Research &amp; Innovation (UKRI)Natural Environment Research Council (NERC)); Alan Turing Institute project Uncertainty Quantification of multi-scale and multiphysics computer models: applications to hazard and climate models by EPSRC; Natural Environment Research Council(UK Research &amp; Innovation (UKRI)Natural Environment Research Council (NERC)); Agence Nationale de la Recherche (ANR)(Agence Nationale de la Recherche (ANR))</t>
  </si>
  <si>
    <t>The authors are grateful for helpful comments and suggestions from two anonymous reviewers and from the associate editor T. Mauritsen. This work received funding from grant HIGH-TUNE ANR-16-CE01-0010. It was supported by the DEPHY2 project, funded by the French national program LEFE/INSU and the GDR-DEPHY. Daniel Williamson was funded by NERC grant: NE/N018486/1 and by the Alan Turing Institute project Uncertainty Quantification of multi-scale and multiphysics computer models: applications to hazard and climate models as part of the grant EP/N510129/1 made to the Alan Turing Institute by EPSRC. The LESs of the GABLS4-stage3-10 h have been kindly provided by G. Matheou, B. Maronga, C. Van Heerwaarden, and J. Edwards.</t>
  </si>
  <si>
    <t>e2020MS002269</t>
  </si>
  <si>
    <t>10.1029/2020MS002269</t>
  </si>
  <si>
    <t>WOS:000635263700005</t>
  </si>
  <si>
    <t>Liu, W; Tang, H; You, XX; Dong, SC; Xu, LX; Hu, FX</t>
  </si>
  <si>
    <t>Liu, Wei; Tang, Hao; You, Xinxing; Dong, Shuchuang; Xu, Liuxiong; Hu, Fuxiang</t>
  </si>
  <si>
    <t>Effect of Cutting Ratio and Catch on Drag Characteristics and Fluttering Motions of Midwater Trawl Codend</t>
  </si>
  <si>
    <t>cutting ratio; codend; hydrodynamic characteristics; fluttering motions; the Fourier series</t>
  </si>
  <si>
    <t>HYDRODYNAMIC CHARACTERISTICS; FLOW; SIZE; PERFORMANCE; SIMULATION; GEOMETRY</t>
  </si>
  <si>
    <t>The codend of a trawl net is the rearmost and crucial part of the net for selective fish catch and juvenile escape. To ensure efficient and sustainable midwater trawl fisheries, it is essential to better understand the drag characteristics and fluttering motions of a midwater trawl codend. These are generally affected by catch, cutting ratio, mesh size, and twine diameter. In this study, six nylon codend models with different cutting ratios (no cutting, 6:1, 5:1, 4:1, 7:2, and 3:1) were designed and tested in a professional flume tank under two conditions (empty codends and codends with catch) and five current speeds to obtain the drag force, spatial geometry, and movement trend. As the cutting ratio of empty codends decreased, the drag force decreased, and the drag coefficient increased. The unfolding degree of codend netting and the height of empty codends were found to be directly proportional to the current speed and inversely proportional to the cutting ratio. The positional amplitude of codend with cutting ratio 4:1 was the smallest for catch. The drag force of codends with catch increased as the current speed increased, and first decreased and then increased as the cutting ratio decreased. To ensure the best stability and minimum drag force of the codend, it is recommended to use the 4:1 cutting ratio codend.</t>
  </si>
  <si>
    <t>[Liu, Wei; Tang, Hao; Xu, Liuxiong] Shanghai Ocean Univ, Coll Marine Sci,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 Minist Educ, Shanghai 201306, Peoples R China; [Tang, Hao; Xu, Liuxiong] Minist Agr &amp; Rural Affairs, Sci Observing &amp; Expt Stn Ocean Fishery Resources, Shanghai 201306, Peoples R China; [You, Xinxing; Hu, Fuxiang] Tokyo Univ Marine Sci &amp; Technol, Fac Marine Sci, Minato Ku, Tokyo 1088477, Japan; [Dong, Shuchuang] Univ Tokyo, Inst Ind Sci, 5-1-5 Kashiwanoha, Kashiwa, Chiba 2778574, Japan</t>
  </si>
  <si>
    <t>Shanghai Ocean University; National Engineering Research Center for Oceanic Fisheries; Ministry of Agriculture &amp; Rural Affairs; Shanghai Ocean University; Ministry of Agriculture &amp; Rural Affairs; Tokyo University of Marine Science &amp; Technology; University of Tokyo</t>
  </si>
  <si>
    <t>Tang, H (corresponding author), Shanghai Ocean Univ, Coll Marine Sci, Shanghai 201306, Peoples R China.;Tang, H (corresponding author), Natl Engn Res Ctr Ocean Fisheries, Shanghai 201306, Peoples R China.;Tang, H (corresponding author), Minist Agr &amp; Rural Affairs, Key Lab Ocean Fisheries Explorat, Shanghai 201306, Peoples R China.;Tang, H (corresponding author), Shanghai Ocean Univ, Key Lab Sustainable Exploitat Ocean Fisheries Res, Minist Educ, Shanghai 201306, Peoples R China.;Tang, H (corresponding author), Minist Agr &amp; Rural Affairs, Sci Observing &amp; Expt Stn Ocean Fishery Resources, Shanghai 201306, Peoples R China.</t>
  </si>
  <si>
    <t>d190200047@st.shou.edu.cn; htang@shou.edu.cn; yuukinsei@gmail.com; dongsc@iis.u-tokyo.ac.jp; lxxu@shou.edu.cn; fuxiang@kaiyodai.ac.jp</t>
  </si>
  <si>
    <t>XIE, WANYING/JNR-9259-2023; Dong, Shuchuang/HSI-4481-2023; xu, liu/KCL-1154-2024; wen, liang/JNR-7720-2023; Tang, Hao/GXH-6097-2022; LU, CX/KFB-9510-2024</t>
  </si>
  <si>
    <t>Tang, Hao/0000-0002-3393-1683; You, Xinxing/0000-0002-1253-6799</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</si>
  <si>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</si>
  <si>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</si>
  <si>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This study was financially sponsored by the National Natural Science Foundation of China (Grand No. 31902426), Shanghai Sailing Program (19YF1419800), and Special project for the exploitation and utilization of Antarctic biological resources of Ministry of Agriculture and Rural Affairs (D-8002-18-0097).</t>
  </si>
  <si>
    <t>10.3390/jmse9030256</t>
  </si>
  <si>
    <t>RD9CN</t>
  </si>
  <si>
    <t>WOS:000633766400001</t>
  </si>
  <si>
    <t>González-Wevar, CA; Segovia, NI; Rosenfeld, S; Noll, D; Maturana, CS; Hüne, M; Naretto, J; Gérard, K; Díaz, A; Spencer, HG; Saucède, T; Féral, JP; Morley, SA; Brickle, P; Wilson, NG; Poulin, E</t>
  </si>
  <si>
    <t>Gonzalez-Wevar, C. A.; Segovia, N. I.; Rosenfeld, S.; Noll, D.; Maturana, C. S.; Hune, M.; Naretto, J.; Gerard, K.; Diaz, A.; Spencer, H. G.; Saucede, T.; Feral, J. -P.; Morley, S. A.; Brickle, P.; Wilson, N. G.; Poulin, E.</t>
  </si>
  <si>
    <t>Contrasting biogeographical patterns in Margarella (Gastropoda: Calliostomatidae: Margarellinae) across the Antarctic Polar Front</t>
  </si>
  <si>
    <t>MOLECULAR PHYLOGENETICS AND EVOLUTION</t>
  </si>
  <si>
    <t>Southern Ocean; Antarctic Polar Front; Long-distance dispersal; Benthic-protected development; Rafting; Margarella</t>
  </si>
  <si>
    <t>LONG-DISTANCE DISPERSAL; SOUTHERN-OCEAN; PROMACHOCRINUS-KERGUELENSIS; MITOCHONDRIAL LINEAGES; MOLECULAR SYSTEMATICS; LARVAL DISPERSAL; DRAKE PASSAGE; DIVERSITY; KELP; CONNECTIVITY</t>
  </si>
  <si>
    <t>Members of the trochoidean genus Margarella (Calliostomatidae) are broadly distributed across Antarctic and sub-Antarctic ecosystems. Here we used novel mitochondrial and nuclear gene sequences to clarify species boundaries and phylogenetic relationships among seven nominal species distributed on either side of the Antarctic Polar Front (APF). Molecular reconstructions and species-delimitation analyses recognized only four species: M. antarctica (the Antarctic Peninsula), M. achilles (endemic to South Georgia), M. steineni (South Georgia and Crozet Island) and the morphologically variable M. violacea (=M. expansa, M. porcellana and M. pruinosa), with populations in southern South America, the Falkland/Malvinas, Crozet and Kerguelen Islands. Margarella violacea and M. achilles are sister species, closely related to M. steineni, with M. antarctica sister to all these. This taxonomy reflects contrasting biogeographic patterns on either side of the APF in the Southern Ocean. Populations of Margarella north of the APF (M. violacea) showed significant genetic variation but with many shared haplotypes between geographically distant populations. By contrast, populations south of the APF (M. antarctica, M. steineni and M. achilles) exhibited fewer haplotypes and comprised three distinct species, each occurring across a separate geographical range. We hypothesize that the biogeographical differences may be the consequence of the presence north of the APF of buoyant kelps - potential long-distance dispersal vectors for these vetigastropods with benthic-protected development - and their near-absence to the south. Finally, we suggest that the low levels of genetic diversity within higher-latitude Margarella reflect the impact of Quaternary glacial cycles that exterminated local populations during their maxima.</t>
  </si>
  <si>
    <t>[Gonzalez-Wevar, C. A.] Univ Austral Chile, Fac Ciencias, Inst Ciencias Marinas &amp; Limnol ICML, Casilla 567, Valdivia, Chile; [Gonzalez-Wevar, C. A.; Segovia, N. I.; Rosenfeld, S.; Noll, D.; Maturana, C. S.; Hune, M.; Naretto, J.; Poulin, E.] Inst Milenio Ecol &amp; Biodiversidad IEB, Las Palmeras 3425, Santiago, Chile; [Gonzalez-Wevar, C. A.] Univ Austral Chile, Ctr FONDAP Invest Dinam Ecosistemas Marinos Altas, Casilla 567, Valdivia, Chile; [Rosenfeld, S.; Gerard, K.] Univ Magallanes, Lab Ecosistemas Marinos Antartico &amp; Subantarticos, Punta Arenas, Chile; [Diaz, A.] Univ Concepcion, Dept Zool, Barrio Univ S-N, Concepcion, Chile; [Spencer, H. G.] Univ Otago, Dept Zool, Dunedin, New Zealand; [Saucede, T.] Univ Bourgogne, UMR CNRS 6282, Biogeosci, 6 Blvd Gabriel, F-21000 Dijon, France; [Feral, J. -P.] AMU CNRS IRD AU IMBE, Inst Mediterraneen Biodiversite &amp; Ecol Marine &amp; C, UMR 7263, Stn Marine Endoume, Chemin Batterie Lions, F-13007 Marseille, France; [Morley, S. A.] British Antarctic Survey BAS, Nat Environm Res Council, Madingley Rd, Cambridge CB3 0ET, England; [Brickle, P.] South Atlantic Environm Res Inst SAERI, POB 609, Stanley, Falkland Island; [Wilson, N. G.] Western Australian Museum, Collect &amp; Res, 49 Kew St, Perth, WA 6106, Australia; [Wilson, N. G.] Univ Western Australia, 35 Stirling Highway, Crawley, WA 6009, Australia</t>
  </si>
  <si>
    <t>Universidad Austral de Chile; Universidad Austral de Chile; Universidad de Magallanes; Universidad de Concepcion; University of Otago; Universite de Bourgogne; Centre National de la Recherche Scientifique (CNRS); CNRS - Institute of Ecology &amp; Environment (INEE); Aix-Marseille Universite; Centre National de la Recherche Scientifique (CNRS); Institut de Recherche pour le Developpement (IRD); CNRS - Institute of Ecology &amp; Environment (INEE); UK Research &amp; Innovation (UKRI); Natural Environment Research Council (NERC); NERC British Antarctic Survey; Western Australian Museum; University of Western Australia</t>
  </si>
  <si>
    <t>González-Wevar, CA (corresponding author), Univ Austral Chile, Fac Ciencias, Inst Ciencias Marinas &amp; Limnol ICML, Casilla 567, Valdivia, Chile.</t>
  </si>
  <si>
    <t>claudio.gonzalez@uach.cl</t>
  </si>
  <si>
    <t>Maturana, Claudia/JOK-7975-2023; Spencer, Hamish G/B-9637-2008; Poulin, Elie/C-2654-2012; Gérard, Karin/AAC-4911-2021; Hüne, Mathias/ABE-6000-2020; FERAL, Jean-Pierre/N-1895-2018; Wilson, Nerida/G-8433-2011</t>
  </si>
  <si>
    <t>Maturana, Claudia/0000-0002-4427-8093; Spencer, Hamish G/0000-0001-7531-597X; Poulin, Elie/0000-0001-7736-0969; Gérard, Karin/0000-0003-0596-1348; Rosenfeld, Sebastian/0000-0002-4363-8018; Noll, Daly/0000-0003-3733-8817; FERAL, Jean-Pierre/0000-0001-7627-0160; Wilson, Nerida/0000-0002-0784-0200</t>
  </si>
  <si>
    <t>Fondecyt Initiation Project [11140087]; Program FONDAP [15150003]; INACH Office Project [RG_18-17]; Instituto de Ecologia y Biodiversidad IEB, Universidad de Chile [P05-002 ICM, PFB 023]; project GAB [ACT172065]; Fondecyt Regular Project [1151336]; postdoctoral ANID fellowship [3190482]; ACE Foundation; Ferring Pharmaceuticals; French Polar Institute-IPEV [1044]; UKRI-NERC; LTSER Zone Atelier Antarctique et Subantarctique (ZATA), France; NERC [bas0100036] Funding Source: UKRI</t>
  </si>
  <si>
    <t>Fondecyt Initiation Project(Comision Nacional de Investigacion Cientifica y Tecnologica (CONICYT)CONICYT FONDECYT); Program FONDAP; INACH Office Project; Instituto de Ecologia y Biodiversidad IEB, Universidad de Chile; project GAB; Fondecyt Regular Project(Comision Nacional de Investigacion Cientifica y Tecnologica (CONICYT)CONICYT FONDECYT); postdoctoral ANID fellowship; ACE Foundation; Ferring Pharmaceuticals(Ferring Pharmaceuticals); French Polar Institute-IPEV; UKRI-NERC; LTSER Zone Atelier Antarctique et Subantarctique (ZATA), France; NERC(UK Research &amp; Innovation (UKRI)Natural Environment Research Council (NERC))</t>
  </si>
  <si>
    <t>This study was supported by Fondecyt Initiation Project 11140087, Program FONDAP, Project N. 15150003 and INACH Office Project RG_18-17 to C.A.G-W; Projects P05-002 ICM, PFB 023 (Instituto de Ecologia y Biodiversidad IEB, Universidad de Chile), and project GAB (ACT172065) to C.A.G-W, N.I.S., S.R, C.S.M., K.G., A.D and E.P. Fondecyt Regular Project 1151336 to E.P and C.A.G-W and postdoctoral ANID fellowship 3190482 to N.I.S. Part of the field work was carried out during the Chilean Antarctic Expeditions (ECA 53-ECA56) and the Antarctic Circumnavigation Expedition (carried out by the Swiss Polar Institute, supported by the ACE Foundation and Ferring Pharmaceuticals) to N.G.W. and J.N. Field access facilities to Crozet and Kerguelen Islands were supported by the French Polar Institute-IPEV (program no1044-Proteker) and the LTSER Zone Atelier Antarctique et Subantarctique (ZATA), France to T.S., J-P. F., E.P, and C.A.G-W. British Antarctic Survey were supported by core funds from UKRI-NERC to the BEA Team.</t>
  </si>
  <si>
    <t>1055-7903</t>
  </si>
  <si>
    <t>1095-9513</t>
  </si>
  <si>
    <t>MOL PHYLOGENET EVOL</t>
  </si>
  <si>
    <t>Mol. Phylogenet. Evol.</t>
  </si>
  <si>
    <t>10.1016/j.ympev.2020.107039</t>
  </si>
  <si>
    <t>Biochemistry &amp; Molecular Biology; Evolutionary Biology; Genetics &amp; Heredity</t>
  </si>
  <si>
    <t>PZ5YY</t>
  </si>
  <si>
    <t>WOS:000612817100005</t>
  </si>
  <si>
    <t>Galkin, SV; Minin, KV; Udalov, AA; Chikina, MV; Frey, DI; Molodtsova, TN; Simakov, MI; Golovan, OA; Soshnina, VA; Neretin, NY; Spiridonov, VA</t>
  </si>
  <si>
    <t>Galkin, S., V; Minin, K., V; Udalov, A. A.; Chikina, M., V; Frey, D., I; Molodtsova, T. N.; Simakov, M., I; Golovan, O. A.; Soshnina, V. A.; Neretin, N. Yu; Spiridonov, V. A.</t>
  </si>
  <si>
    <t>Benthic Assemblages of the Powell Basin</t>
  </si>
  <si>
    <t>Southern Ocean; Powell Basin; benthic fauna; benthic assemblages; trophic groups; bottom currents; indicators of vulnerable marine ecosystems</t>
  </si>
  <si>
    <t>ATLANTIC SECTOR; CLIMATE-CHANGE; COMMUNITIES; ANTARCTICA; WEDDELL; VARIABILITY; PATTERNS; FUTURE; BIODIVERSITY; MACROBENTHOS</t>
  </si>
  <si>
    <t>-During 79th cruise of R/V Akademik Mstislav Keldysh twelve trawl hauls were collected in Powell Basin and adjacent area at depths 370-3771 m. The structure of the benthic assemblages was highly variable when considered at the macrotaxon level. The main factors shaping the taxonomical structure of the sampled assemblages were depth, near-bottom current velocities and proportion of the hard fraction of the sediment. Hard substrate assemblages of the Antarctic peninsula slope and Philip Ridge with high percentage of filter-feeders (mainly sponges) were associated with the highest values of the near-bottom tide currents (up to 55.6 cm/s). In several trawl hauls indicator species of vulnerable marine ecosystems-mainly Demospongiae sponges, deep-sea corals Stylasteridae (Hydrozoa) and Primnoidae (Octocorallia)-were collected.</t>
  </si>
  <si>
    <t>[Galkin, S., V; Minin, K., V; Udalov, A. A.; Chikina, M., V; Frey, D., I; Molodtsova, T. N.; Simakov, M., I; Spiridonov, V. A.] Russian Acad Sci, Shirshov Inst Oceanol, Moscow, Russia; [Golovan, O. A.] Russian Acad Sci, Natl Sci Ctr Marine Biol, Far Eastern Branch, Vladivostok, Russia; [Soshnina, V. A.] Russian Fed Res Inst Fisheries &amp; Oceanog, Moscow, Russia; [Soshnina, V. A.] Moscow MV Lomonosov State Univ, Dept Ichthyol, Biol Fac, Moscow, Russia; [Neretin, N. Yu] Moscow MV Lomonosov State Univ, White Sea Biol Stn, Biol Fac, Moscow, Russia</t>
  </si>
  <si>
    <t>Russian Academy of Sciences; Shirshov Institute of Oceanology; Russian Academy of Sciences; National Scientific Center of Marine Biology, Far East Branch of the Russian Academy of Sciences; Research lnstitute of Fisheries &amp; Oceanography; Lomonosov Moscow State University; Lomonosov Moscow State University</t>
  </si>
  <si>
    <t>Galkin, SV (corresponding author), Russian Acad Sci, Shirshov Inst Oceanol, Moscow, Russia.</t>
  </si>
  <si>
    <t>galkin@ocean.ru</t>
  </si>
  <si>
    <t>Soshnina, Valeriia/AAJ-1345-2021; Chikina, Margarita/ABD-5036-2020; Udalov, Alexey/GYD-8008-2022; Molodtsova, Tina/E-1838-2015</t>
  </si>
  <si>
    <t>Soshnina, Valeriia/0000-0002-4919-7890; Udalov, Alexey/0000-0003-1266-2602; Minin, Kirill/0000-0003-3900-612X; Molodtsova, Tina/0000-0001-7171-6952; Golovan, Olga/0000-0002-3731-3081</t>
  </si>
  <si>
    <t>Minobrnauki of the Russian Federation State Assignment [0128-2019-0008, 0208-2019-0013]</t>
  </si>
  <si>
    <t>Minobrnauki of the Russian Federation State Assignment</t>
  </si>
  <si>
    <t>The study was carried out under the Minobrnauki of the Russian Federation State Assignment nos. 0128-2019-0008 (IO RAS) and 0208-2019-0013 (NSCMB FEB RAS).</t>
  </si>
  <si>
    <t>10.1134/S0001437021020053</t>
  </si>
  <si>
    <t>WOS:000646943500006</t>
  </si>
  <si>
    <t>Leis, JM</t>
  </si>
  <si>
    <t>Leis, Jeffrey M. M.</t>
  </si>
  <si>
    <t>Perspectives on Larval Behaviour in Biophysical Modelling of Larval Dispersal in Marine, Demersal Fishes</t>
  </si>
  <si>
    <t>OCEANS-SWITZERLAND</t>
  </si>
  <si>
    <t>dispersal; larva; marine fish; behaviour; biophysical model; swimming; orientation; vertical distribution; mortality; pelagic egg; pelagic larval duration</t>
  </si>
  <si>
    <t>CORAL-REEF FISH; GREAT-BARRIER-REEF; SUSTAINED SWIMMING ABILITIES; IN-SITU; VERTICAL-DISTRIBUTION; SETTLEMENT BEHAVIOR; PELAGIC LARVAE; POPULATION CONNECTIVITY; STAGE LARVAE; ONTOGENY</t>
  </si>
  <si>
    <t>Biophysical dispersal models for marine fish larvae are widely used by marine ecologists and managers of fisheries and marine protected areas to predict movement of larval fishes during their pelagic larval duration (PLD). Over the past 25 years, it has become obvious that behaviour-primarily vertical positioning, horizontal swimming and orientation-of larvae during their PLD can strongly influence dispersal outcomes. Yet, most published models do not include even one of these behaviours, and only a tiny fraction include all three. Furthermore, there is no clarity on how behaviours should be incorporated into models, nor on how to obtain the quantitative, empirical data needed to parameterize models. The PLD is a period of morphological, physiological and behavioural change, which presents challenges for modelling. The present paper aims to encourage the inclusion of larval behaviour in biophysical dispersal models for larvae of marine demersal fishes by providing practical suggestions, advice and insights about obtaining and incorporating behaviour of larval fishes into such models based on experience. Key issues are features of different behavioural metrics, incorporation of ontogenetic, temporal, spatial and among-individual variation, and model validation. Research on behaviour of larvae of study species should be part of any modelling effort.</t>
  </si>
  <si>
    <t>[Leis, Jeffrey M. M.] Univ Tasmania, Inst Marine &amp; Antarctic Studies, Hobart, Tas 7001, Australia; [Leis, Jeffrey M. M.] Australian Museum Res Inst, William St, Sydney, NSW 2001, Australia</t>
  </si>
  <si>
    <t>University of Tasmania; Australian Museum</t>
  </si>
  <si>
    <t>Leis, JM (corresponding author), Univ Tasmania, Inst Marine &amp; Antarctic Studies, Hobart, Tas 7001, Australia.;Leis, JM (corresponding author), Australian Museum Res Inst, William St, Sydney, NSW 2001, Australia.</t>
  </si>
  <si>
    <t>jeffrey.leis@utas.edu.au</t>
  </si>
  <si>
    <t>Leis, Jeffrey/0000-0003-0603-3447</t>
  </si>
  <si>
    <t>2673-1924</t>
  </si>
  <si>
    <t>OCEANS-BASEL</t>
  </si>
  <si>
    <t>Oceans-Basel</t>
  </si>
  <si>
    <t>10.3390/oceans2010001</t>
  </si>
  <si>
    <t>J2TI5</t>
  </si>
  <si>
    <t>WOS:001008182200001</t>
  </si>
  <si>
    <t>Beal, M; Dias, MP; Phillips, RA; Oppel, S; Hazin, C; Pearmain, EJ; Adams, J; Anderson, DJ; Antolos, M; Arata, JA; Arcos, JM; Arnould, JPY; Awkerman, J; Bell, E; Bell, M; Carey, M; Carle, R; Clay, TA; Cleeland, J; Colodro, V; Conners, M; Cruz-Flores, M; Cuthbert, R; Delord, K; Deppe, L; Dilley, B; Dinis, H; Elliott, G; De Felipe, F; Felis, J; Forero, MG; Freeman, A; Fukuda, A; González-Solís, J; Granadeiro, JP; Hedd, A; Hodum, P; Igual, JM; Jaeger, A; Landers, TJ; Le Corre, M; Makhado, A; Metzger, B; Militao, T; Montevecchi, WA; Morera-Pujol, V; Navarro-Herrero, L; Nel, D; Nicholls, D; Oro, D; Ouni, R; Ozaki, K; Quintana, F; Ramos, R; Reid, T; Reyes-González, JM; Robertson, C; Robertson, G; Romdhane, MS; Ryan, PG; Sagar, P; Sato, F; Schoombie, S; Scofield, RP; Shaffer, SA; Shah, NJ; Stevens, KL; Surman, C; Suryan, RM; Takahashi, A; Tatayah, V; Taylor, G; Thompson, DR; Torres, L; Walker, K; Wanless, R; Waugh, SM; Weimerskirch, H; Yamamoto, T; Zajkova, Z; Zango, L; Catry, P</t>
  </si>
  <si>
    <t>Beal, Martin; Dias, Maria P.; Phillips, Richard A.; Oppel, Steffen; Hazin, Carolina; Pearmain, Elizabeth J.; Adams, Josh; Anderson, David J.; Antolos, Michelle; Arata, Javier A.; Manuel Arcos, Jose; Arnould, John P. Y.; Awkerman, Jill; Bell, Elizabeth; Bell, Mike; Carey, Mark; Carle, Ryan; Clay, Thomas A.; Cleeland, Jaimie; Colodro, Valentina; Conners, Melinda; Cruz-Flores, Marta; Cuthbert, Richard; Delord, Karine; Deppe, Lorna; Dilley, Ben J.; Dinis, Herculano; Elliott, Graeme; De Felipe, Fernanda; Felis, Jonathan; Forero, Manuela G.; Freeman, Amanda; Fukuda, Akira; Gonzalez-Solis, Jacob; Granadeiro, Jose Pedro; Hedd, April; Hodum, Peter; Manuel Igual, Jose; Jaeger, Audrey; Landers, Todd J.; Le Corre, Matthieu; Makhado, Azwianewi; Metzger, Benjamin; Militao, Teresa; Montevecchi, William A.; Morera-Pujol, Virginia; Navarro-Herrero, Leia; Nel, Deon; Nicholls, David; Oro, Daniel; Ouni, Ridha; Ozaki, Kiyoaki; Quintana, Flavio; Ramos, Raul; Reid, Tim; Manuel Reyes-Gonzalez, Jose; Robertson, Christopher; Robertson, Graham; Romdhane, Mohamed Salah; Ryan, Peter G.; Sagar, Paul; Sato, Fumio; Schoombie, Stefan; Scofield, R. Paul; Shaffer, Scott A.; Shah, Nirmal Jivan; Stevens, Kim L.; Surman, Christopher; Suryan, Robert M.; Takahashi, Akinori; Tatayah, Vikash; Taylor, Graeme; Thompson, David R.; Torres, Leigh; Walker, Kath; Wanless, Ross; Waugh, Susan M.; Weimerskirch, Henri; Yamamoto, Takashi; Zajkova, Zuzana; Zango, Laura; Catry, Paulo</t>
  </si>
  <si>
    <t>Global political responsibility for the conservation of albatrosses and large petrels</t>
  </si>
  <si>
    <t>MARINE; FISHERIES; OCEAN; AREAS; BIODIVERSITY; MANAGEMENT; MIGRATION; MOVEMENTS; TRACKING</t>
  </si>
  <si>
    <t>Migratory marine species cross political borders and enter the high seas, where the lack of an effective global management framework for biodiversity leaves them vulnerable to threats. Here, we combine 10,108 tracks from 5775 individual birds at 87 sites with data on breeding population sizes to estimate the relative year-round importance of national jurisdictions and high seas areas for 39 species of albatrosses and large petrels. Populations from every country made extensive use of the high seas, indicating the stake each country has in the management of biodiversity in international waters. We quantified the links among national populations of these threatened seabirds and the regional fisheries management organizations (RFMOs) which regulate fishing in the high seas. This work makes explicit the relative responsibilities that each country and RFMO has for the management of shared biodiversity, providing invaluable information for the conservation and management of migratory species in the marine realm.</t>
  </si>
  <si>
    <t>[Beal, Martin; Dias, Maria P.; Catry, Paulo] ISPAI nst Univ, MARE Marine &amp; Environm Sci Ctr, Lisbon, Portugal; [Beal, Martin; Dias, Maria P.; Hazin, Carolina; Pearmain, Elizabeth J.] BirdLife Int, David Attenborough Bldg,Pembroke St, Cambridge CB2 3QZ, England; [Phillips, Richard A.] British Antarctic Survey, Nat Environm Res Council, Madingley Rd, Cambridge CB3 0ET, England; [Oppel, Steffen] Royal Soc Protect Birds, RSPB Ctr Conservat Sci, David Attenborough Bldg,Pembroke St, Cambridge CB2 3QZ, England; [Adams, Josh; Felis, Jonathan] US Geol Survey, Santa Cruz Field Stn, Western Ecol Res Ctr, 2885 Mission St, Santa Cruz, CA 95060 USA; [Anderson, David J.] Wake Forest Univ, Dept Biol, Winston Salem, NC 27109 USA; [Antolos, Michelle] Oregon State Univ, Dept Fisheries &amp; Wildlife, 104 Nash Hall, Corvallis, OR 97331 USA; [Arata, Javier A.] 204-100 Coe Hill Dr, Toronto, ON M6S 3E1, Canada; [Manuel Arcos, Jose] SEO BirdLife, Marine Programme, C Murcia 2-8,Local 13, Barcelona 08026, Spain; [Arnould, John P. Y.] Deakin Univ, Sch Life &amp; Environm Sci, 221 Burwood Highway, Burwood, Vic 3125, Australia; [Awkerman, Jill] US EPA, Gulf Ecol Div, Gulf Breeze, FL 32561 USA; [Bell, Elizabeth; Bell, Mike] Wildlife Management Int Ltd, POB 607, Blenheim 7240, New Zealand; [Carey, Mark] La Trobe Univ, Dept Environm Management &amp; Ecol, Albury Wodonga Campus, Wodonga, Vic 3689, Australia; [Carle, Ryan; Colodro, Valentina; Hodum, Peter] Oikonos Ecosyst Knowledge, Yerbas Buenas 498, Valparaiso, Chile; [Clay, Thomas A.] Univ Liverpool, Sch Environm Sci, Liverpool, Merseyside, England; [Cleeland, Jaimie; Dilley, Ben J.; Makhado, Azwianewi; Ryan, Peter G.; Schoombie, Stefan; Stevens, Kim L.; Wanless, Ross] Univ Cape Town, DST NRF Ctr Excellence, FitzPatrick Inst African Ornithol, ZA-7701 Rondebosch, South Africa; [Conners, Melinda] Univ Calif Santa Cruz, Dept Ocean Sci, Santa Cruz, CA 95064 USA; [Cruz-Flores, Marta; De Felipe, Fernanda; Gonzalez-Solis, Jacob; Militao, Teresa; Morera-Pujol, Virginia; Navarro-Herrero, Leia; Ramos, Raul; Manuel Reyes-Gonzalez, Jose; Zajkova, Zuzana; Zango, Laura] Univ Barcelona, Inst Recerca Biodiversitat IRBio, Av Diagonal 643, E-08028 Barcelona, Spain; [Cruz-Flores, Marta; De Felipe, Fernanda; Gonzalez-Solis, Jacob; Militao, Teresa; Morera-Pujol, Virginia; Navarro-Herrero, Leia; Ramos, Raul; Manuel Reyes-Gonzalez, Jose; Zajkova, Zuzana; Zango, Laura] Univ Barcelona, Dept Biol Evolut Ecol &amp; Ciencies Ambientals BEECA, Av Diagonal 643, E-08028 Barcelona, Spain; [Cuthbert, Richard] World Land Trust, Blyth House,Bridge St, Halesworth IP19 8AB, Suffolk, England; [Delord, Karine; Weimerskirch, Henri] La Rochelle Univ, Ctr Etud Biol Chize, CNRS, F-79360 Villiers En Bois, France; [Deppe, Lorna] Huttons Shearwater Charitable Trust, 100 Watsons Rd, Blenheim 7273, New Zealand; [Dinis, Herculano] Assoc Projecto Vito, Sao Filipe, Fogo, Cape Verde; [Elliott, Graeme; Walker, Kath] Dept Conservat, Private Bag 5, Nelson, New Zealand; [Forero, Manuela G.] Consejo Super Invest Cient EBD CSIC, Estn Biol Donana, Dept Conservat Biol, Ave Americo Vespucio,26 Isla Cartuja, Seville 41092, Spain; [Freeman, Amanda] Nat North, POB 1536, Atherton, Qld 4883, Australia; [Fukuda, Akira] Shizuoka Univ, Johoku 3-5-1, Hamamatsu, Shizuoka, Japan; [Granadeiro, Jose Pedro] Univ Lisbon, Dept Biol Anim, CESAM, Fac Ciencias, Rua Ernesto Vasconcelos, P-1749016 Lisbon, Portugal; [Hedd, April] Environm &amp; Climate Change Canada, Wildlife Res Div, 6 Bruce St, Mt Pearl, NF A1N 4T3, Canada; [Hodum, Peter] Univ Puget Sound, Biol Dept, 1500 N Warner St, Tacoma, WA 98416 USA; [Manuel Igual, Jose] CSIC UIB, Anim Demog &amp; Ecol Unit, Inst Mediterrani Estudis Avancats IMEDEA, Miquel Marques 21, Esporles 07190, Balears, Spain; [Jaeger, Audrey; Le Corre, Matthieu] Univ La Reunion, Univ Nouvelle Caledonie, IFREMER, IRD,CNRS,UMR ENTROPIE, 15 Ave Rene Cassin,C592003, F-97744 St Denis Messag 9, La Reunion, France; [Landers, Todd J.] Univ Auckland, Sch Biol Sci, Private Bag 92019, Auckland 1142, New Zealand; [Landers, Todd J.] Auckland Museum, Auckland 1052, New Zealand; [Landers, Todd J.] Auckland Council, Private Bag 92300,Victoria St West, Auckland 1142, New Zealand; [Makhado, Azwianewi] Dept Environm Agr &amp; Fisheries, Oceans &amp; Coasts, Cape Town, South Africa; [Metzger, Benjamin] BirdLife Malta, 57-28 Marina Court,Abate Rigord St, Taxbiex 1120, Xbx, Malta; [Montevecchi, William A.] Mem Univ, Psychol Dept, St John, NF A1B 3X9, Canada; [Nel, Deon] WWF Netherlands, Driebergseweg 10, NL-3708 JB Zeist, Netherlands; [Nicholls, David] Chisholm Inst, Bonbeach Campus,Breeze St, Carmm, Vic 3197, Australia; [Oro, Daniel] Ctr Estudis Avancats Blanes CEAB CSIC, Acces Cala St Francesc 14, Blanes 17300, Spain; [Ouni, Ridha] Tunisian Wildlife Conservat Soc, Fac Sci Math Phys &amp; Biol Tunis FST, Campus Univ, Tunis 2092, Tunisia; [Ozaki, Kiyoaki; Sato, Fumio] Yamashina Inst Ornithol, Div Avian Conservat, 115 Konoyama, Abiko, Chiba 27011, Japan; [Quintana, Flavio] Natl Res Council Argentina CONICET, Inst Biol Organismos Marinos IBIOMAR, Bv Almte Brown 2915, Puerto Madryn, Chubut, Argentina; [Reid, Tim] Univ Tasmania, Inst Marine &amp; Antarctic Studies, Commonwealth Sci &amp; Ind Res Org, CSIRO, Hobart, Tas 7000, Australia; [Robertson, Christopher] Wild Press, POB 12-397, Wellington, New Zealand; [Robertson, Graham] 9 Roba Court, Kingston, Tas 7050, Australia; [Romdhane, Mohamed Salah] Univ Carthage, Inst Natl Agron Tunisie, 43 Ave Charles Nicole, Tunis 1082, Tunisia; [Sagar, Paul] Natl Inst Water &amp; Atmospher Res Ltd, 10 Kyle St, Christchurch 8011, New Zealand; [Scofield, R. Paul] Canterbury Museum, Rolleston Ave, Christchurch 8053, New Zealand; [Shaffer, Scott A.] San Jose State Univ, Dept Biol Sci, One Washington Sq, San Jose, CA 95192 USA; [Shah, Nirmal Jivan] Sanctuary Roche Caiman, Nat Seychelles Ctr Environm &amp; Educ, Mahe, Seychelles; [Surman, Christopher] Halfmoon Biosci, 45 Heather Rd, Ocean Beach, WA 6333, Australia; [Suryan, Robert M.] Oregon State Univ, Hatfield Marine Sci Ctr, Dept Fisheries &amp; Wildlife, Newport, OR 97365 USA; [Takahashi, Akinori] Natl Inst Polar Res, Tachikawa, Tokyo 1908518, Japan; [Tatayah, Vikash] Mauritian Wildlife Fdn, Grannum Rd, Vacoas, Mauritius; [Taylor, Graeme] Dept Conservat, POB 10420, Wellington 6143, New Zealand; [Thompson, David R.] Natl Inst Water &amp; Atmospher Res Ltd, 301 Evans Bay Parade, Wellington 6021, New Zealand; [Torres, Leigh] Oregon State Univ, Marine Mammal Inst, Dept Fisheries &amp; Wildlife, Newport, OR 97365 USA; [Wanless, Ross] Natl Taiwan Ocean Univ, Inst Marine Affairs &amp; Resources Management, Keelung, Taiwan; [Waugh, Susan M.] Off Parliamentary Commissioner Environm, 2 Terrace, Wellington 6011, New Zealand; [Yamamoto, Takashi] Meiji Inst Adv Study Math Sci, Nakano Ku, Tokyo 1648525, Japan; [Antolos, Michelle] WebMD Hlth Serv, 2701 NW Vaughn St 700, Portland, OR 97210 USA; [Clay, Thomas A.] Univ Calif Santa Cruz, Inst Marine Sci, Santa Cruz, CA 95064 USA; [Conners, Melinda] SUNY Stony Brook, Sch Marine &amp; Atmospher Sci, 100 Nicolls Rd, Stony Brook, NY 11794 USA; [Suryan, Robert M.] NOAA Fisheries, Alaska Fisheries Sci Ctr, Auke Bay Labs, Ted Stevens Marine Res Inst, 17109 Pt Lena Loop Rd, Juneau, AK 99801 USA</t>
  </si>
  <si>
    <t>BirdLife International; UK Research &amp; Innovation (UKRI); Natural Environment Research Council (NERC); NERC British Antarctic Survey; Royal Society for Protection of Birds; United States Department of the Interior; United States Geological Survey; Wake Forest University; Oregon State University; Deakin University; United States Environmental Protection Agency; La Trobe University; University of Liverpool; National Research Foundation - South Africa; University of Cape Town; University of California System; University of California Santa Cruz; University of Barcelona; University of Barcelona; Centre National de la Recherche Scientifique (CNRS); Consejo Superior de Investigaciones Cientificas (CSIC); CSIC - Estacion Biologica de Donana (EBD); Shizuoka University; Universidade de Lisboa; Environment &amp; Climate Change Canada; Canadian Wildlife Service; Wildlife Research Division - Environment Canada; Consejo Superior de Investigaciones Cientificas (CSIC); ATTITUS Educacao; Universitat de les Illes Balears; University of Barcelona; University of La Reunion; Ifremer; Centre National de la Recherche Scientifique (CNRS); Institut de Recherche pour le Developpement (IRD); University of Auckland; Memorial University Newfoundland; Consejo Superior de Investigaciones Cientificas (CSIC); CSIC - Centre d'Estudis Avancats de Blanes (CEAB); Universite de Tunis-El-Manar; Faculte des Sciences de Tunis (FST); University of Tasmania; Commonwealth Scientific &amp; Industrial Research Organisation (CSIRO); Universite de Carthage; National Institute of Water &amp; Atmospheric Research (NIWA) - New Zealand; California State University System; San Jose State University; Oregon State University; Research Organization of Information &amp; Systems (ROIS); National Institute of Polar Research (NIPR) - Japan; National Institute of Water &amp; Atmospheric Research (NIWA) - New Zealand; Oregon State University; National Taiwan Ocean University; University of California System; University of California Santa Cruz; State University of New York (SUNY) System; State University of New York (SUNY) Stony Brook; National Oceanic Atmospheric Admin (NOAA) - USA</t>
  </si>
  <si>
    <t>Beal, M (corresponding author), ISPAI nst Univ, MARE Marine &amp; Environm Sci Ctr, Lisbon, Portugal.;Beal, M (corresponding author), BirdLife Int, David Attenborough Bldg,Pembroke St, Cambridge CB2 3QZ, England.</t>
  </si>
  <si>
    <t>martinbeal88@gmail.com</t>
  </si>
  <si>
    <t>Navarro-Herrero, Leia/AGU-5814-2022; Igual, Jose/N-3975-2014; Jaeger, Audrey/HMD-6340-2023; Militao, Teresa/AAA-6151-2019; González-Solís, Jacob/AAB-1161-2019; Ramos, Raül/S-3112-2016; Zajková, Zuzana/AAS-5094-2021; Gonzalez-Solis, Jacob/C-3942-2008; Cruz-Flores, Marta/AAA-8817-2021; Oppel, Steffen/H-2771-2019; Dias, Maria P./D-1331-2012; Granadeiro, José Pedro/E-8060-2011; Arcos, Jose Manuel Pep/GRJ-0631-2022; Beal, Martin/GRE-9504-2022; Clay, Tommy/W-4867-2019; Morera-Pujol, Virginia/AAE-6412-2020; Weimerskirch, Henri/F-5562-2013; Romdhane, Mohamed Salah/GTB-5864-2022; Arata, Javier A./U-9754-2017; REYES-GONZALEZ, JOSE MANUEL/N-9182-2017; Catry, Paulo/I-5408-2013; Shaffer, Scott/D-5015-2009</t>
  </si>
  <si>
    <t>Igual, Jose/0000-0002-8369-3150; Jaeger, Audrey/0000-0002-5649-0315; Militao, Teresa/0000-0002-2862-1592; Ramos, Raül/0000-0002-0551-8605; Zajková, Zuzana/0000-0002-7540-3651; Gonzalez-Solis, Jacob/0000-0002-8691-9397; Cruz-Flores, Marta/0000-0001-9905-4727; Oppel, Steffen/0000-0002-8220-3789; Dias, Maria P./0000-0002-7281-4391; Granadeiro, José Pedro/0000-0002-7207-3474; Arcos, Jose Manuel Pep/0000-0001-7486-4475; Beal, Martin/0000-0003-1654-1410; Clay, Tommy/0000-0002-0644-6105; Morera-Pujol, Virginia/0000-0001-6500-5548; Romdhane, Mohamed Salah/0000-0002-3343-7554; Arata, Javier A./0000-0001-7320-0511; Adams, Josh/0000-0003-3056-925X; Hedd, April/0000-0003-2222-2627; REYES-GONZALEZ, JOSE MANUEL/0000-0001-8311-3235; Gonzalez Forero, Manuela/0000-0001-9157-9705; Pearmain, Elizabeth/0000-0002-6600-1482; Catry, Paulo/0000-0003-3000-0522; Carle, Ryan/0000-0002-8213-4306; Anderson, David/0000-0002-0826-7784; Ryan, Peter/0000-0002-3356-2056; Cleeland, Jaimie/0000-0003-2196-3968; Antolos, Michelle/0000-0003-0626-6021; Shaffer, Scott/0000-0002-7751-5059; Navarro-Herrero, Leia/0000-0001-6725-8354</t>
  </si>
  <si>
    <t>European Union's Horizon 2020 Research and Innovation Programme under the Marie Sklodowska-Curie grant [766417]; Marine Conservation Program of DPIPWE Tasmania; American Bird Conservancy; Bureau of Ocean Energy Management; Environment Canada; National Fish and Wildlife Foundation; National Geographic Society; ProDelphinus; Wallis Foundation; NSF [DEB 9304579, DEB 9629539, DEB9806606, DEB0235818, DEB 0842199]; U.S. Fish and Wildlife Service; U.S. Geological Survey Ecosystems Mission Area; State of Baden-Wuerttemberg Innovation; Colorado State University International Programs; Swiss Friends of Galapagos; Instituto Antartico Chileno (INACH); Australian Antarctic Division (AAD); LIFE Marine IBAs IN Spain [LIFE04NAT/ES/000049]; LIFE+ INDEMARES; Sea World Research and Rescue Foundation Inc.; Holsworth Wildlife Research Endowment; Winifred Violet Scott Trust; FCT-Portugal [UIDB/04292/2020, UIDP/04292/2020, UIDP/50017/2020, UIDB/50017/2020]; Falklands Islands Government; Natural Environmental Research Council (NERC) [NE/R000 107/1]; French Polar Institute [109]; Reserve Naturelle Nationale des Terres Australes Francaises; Zones Atelier Antarctique (LTSER France); (CNRS-INEE); European funds through the European Commission Training and Mobility of Researchers Programme [ERBFMBICT983030]; Spanish funds through the Ministerio de Ciencia y Tecnologia [(REN2002-01164/GLO)]; Ministerio de Educacion y Ciencia [CGL200601315/BOS, CGL2009-11278/BOS]; Ministerio de Economia y Competitividad [CGL2013-42585-P]; Catalan funds through the Generalitat de Catalunya [2001SGR00091]; SEO/BirdLife; Fundacion Banco Bilbao Vizcaya Argentaria [BIOCON04/099]; Fundacion Biodiversidad [18PCA4328]; NSERC Discovery Grant; Government of Canada's Program for International Polar Year; ACAP AC Grant [BES-2017-079874]; Spanish Ministerio de Industria, Economia y Competitividad; Spanish Foundation for Biodiversity and Spanish Ministry of Science [CGL2013-42203-R]; Pew Environment Group via the Pew Fellowship Award in Marine Conservation; National Research Foundation; South Africa and Oceans and Coasts [LIFE10NAT/MT/090]; LIFE program of the European Commission; Maltese Ministry for the Environment, Sustainable Development and Climate Change; Portuguese Society for the Study of Birds [BES-2014-068025]; Scientific Expert PIM initiative (Petites Iles de Mediterranee); PIM initiative (Petites Iles de Mediterranee); Tunisian Coastal Protection and Planning Agency (APAL); Ministry of the Environment, Japan; Fundacion Ecocentro, Argentina; Ministerio de Ciencia, Tecnologia e Innovacion, Argentina; Centro Nacional Patagonico (CONICET) [2010-BP_A-00173, JCI-2009-05426, 2017/2349, RYC-2017-22055]; European Commission [618841]; Agence de Protection et d'Amenagement du Littoral (APAL-Tunisia); Killam Postdoctoral fellowship from Dalhousie University; South African National Antarctic Programme; Japan Society for the Promotion of Science Kakenhi [19651100, 15H02857, APIF/2012]; University of Barcelona; U.S. Geological Survey Ecosystems Mission Area, U.S. Bureau of Ocean Energy Management, Pacific OCS Region; MRC [MR/J000914/1] Funding Source: UKRI; NERC [NE/T012439/1, bas0100035] Funding Source: UKRI; Grants-in-Aid for Scientific Research [19651100, 15H02857] Funding Source: KAKEN</t>
  </si>
  <si>
    <t>European Union's Horizon 2020 Research and Innovation Programme under the Marie Sklodowska-Curie grant(Marie Curie Actions); Marine Conservation Program of DPIPWE Tasmania; American Bird Conservancy; Bureau of Ocean Energy Management; Environment Canada(CGIAR); National Fish and Wildlife Foundation; National Geographic Society(National Geographic Society); ProDelphinus; Wallis Foundation; NSF(National Science Foundation (NSF)); U.S. Fish and Wildlife Service(US Fish &amp; Wildlife Service); U.S. Geological Survey Ecosystems Mission Area; State of Baden-Wuerttemberg Innovation; Colorado State University International Programs; Swiss Friends of Galapagos; Instituto Antartico Chileno (INACH); Australian Antarctic Division (AAD); LIFE Marine IBAs IN Spain; LIFE+ INDEMARES; Sea World Research and Rescue Foundation Inc.; Holsworth Wildlife Research Endowment; Winifred Violet Scott Trust; FCT-Portugal(Fundacao para a Ciencia e a Tecnologia (FCT)); Falklands Islands Government; Natural Environmental Research Council (NERC)(UK Research &amp; Innovation (UKRI)Natural Environment Research Council (NERC)); French Polar Institute; Reserve Naturelle Nationale des Terres Australes Francaises; Zones Atelier Antarctique (LTSER France); (CNRS-INEE); European funds through the European Commission Training and Mobility of Researchers Programme; Spanish funds through the Ministerio de Ciencia y Tecnologia; Ministerio de Educacion y Ciencia(Spanish Government); Ministerio de Economia y Competitividad(Spanish Government); Catalan funds through the Generalitat de Catalunya(Generalitat de Catalunya); SEO/BirdLife; Fundacion Banco Bilbao Vizcaya Argentaria; Fundacion Biodiversidad; NSERC Discovery Grant(Natural Sciences and Engineering Research Council of Canada (NSERC)); Government of Canada's Program for International Polar Year; ACAP AC Grant; Spanish Ministerio de Industria, Economia y Competitividad; Spanish Foundation for Biodiversity and Spanish Ministry of Science; Pew Environment Group via the Pew Fellowship Award in Marine Conservation; National Research Foundation; South Africa and Oceans and Coasts; LIFE program of the European Commission; Maltese Ministry for the Environment, Sustainable Development and Climate Change; Portuguese Society for the Study of Birds; Scientific Expert PIM initiative (Petites Iles de Mediterranee); PIM initiative (Petites Iles de Mediterranee); Tunisian Coastal Protection and Planning Agency (APAL); Ministry of the Environment, Japan(Ministry of the Environment, Japan); Fundacion Ecocentro, Argentina; Ministerio de Ciencia, Tecnologia e Innovacion, Argentina; Centro Nacional Patagonico (CONICET)(Consejo Nacional de Investigaciones Cientificas y Tecnicas (CONICET)); European Commission(European Union (EU)European Commission Joint Research Centre); Agence de Protection et d'Amenagement du Littoral (APAL-Tunisia); Killam Postdoctoral fellowship from Dalhousie University; South African National Antarctic Programme; Japan Society for the Promotion of Science Kakenhi(Ministry of Education, Culture, Sports, Science and Technology, Japan (MEXT)Japan Society for the Promotion of ScienceGrants-in-Aid for Scientific Research (KAKENHI)); University of Barcelona; U.S. Geological Survey Ecosystems Mission Area, U.S. Bureau of Ocean Energy Management, Pacific OCS Region; MRC(UK Research &amp; Innovation (UKRI)Medical Research Council UK (MRC));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</si>
  <si>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project has received funding from the European Union's Horizon 2020 Research and Innovation Programme under the Marie Sklodowska-Curie grant agreement no. 766417. Research made possible with the support, permissions, and funding granted by the following organizations, institutions, and grant agreements: Marine Conservation Program of DPIPWE Tasmania; American Bird Conservancy; Bureau of Ocean Energy Management; communities of Isla Mocha and Islas Juan Fernandez; Corporacion Nacional Forestal and Servicio Agricola y Ganaderia (Chile); Environment Canada; the National Fish and Wildlife Foundation; the National Geographic Society; ProDelphinus; and the Wallis Foundation; NSF grants DEB 9304579, DEB 9629539, DEB9806606, DEB0235818, and DEB 0842199 to D.J.A.; the National Geographic Society; the U.S. Fish and Wildlife Service; U.S. Geological Survey Ecosystems Mission Area, Wake Forest University; Max-Planck Society and State of Baden-Wuerttemberg Innovation funding; Colorado State University International Programs; Swiss Friends of Galapagos; the International Center for Tropical Ecology at University of Missouri-St. Louis; the Instituto Antartico Chileno (INACH) and the Australian Antarctic Division (AAD); LIFE Marine IBAs IN Spain (LIFE04NAT/ES/000049, 2004-2009) and LIFE+ INDEMARES (2009-2014); Sea World Research and Rescue Foundation Inc.; Holsworth Wildlife Research Endowment; and Winifred Violet Scott Trust; FCT-Portugal through projects (UIDB/04292/2020 and UIDP/04292/2020 and UIDP/50017/2020 and UIDB/50017/2020, granted to MARE and CESAM, respectively); the Falklands Islands Government; Natural Environmental Research Council (NERC) core funding to British Antarctic Survey Ecosystems Programme and Official Development Assistance Atlantic Islands project (NE/R000 107/1); the New Zealand Department of Conservation; Ministry for Primary Industries; Ngati Rehua Ngati Wai ki Aotea; Falklands Island Conservation; University of Barcelona (APIF/2015, to M.C.-F.); the French Polar Institute (program IPEV n degrees 109 to H.W.); Reserve Naturelle Nationale des Terres Australes Francaises; and the Zones Atelier Antarctique (LTSER France, CNRS-INEE); European funds through the European Commission Training and Mobility of Researchers Programme (ERBFMBICT983030); Spanish funds through the Ministerio de Ciencia y Tecnologia (REN2002-01164/GLO), Ministerio de Educacion y Ciencia (CGL200601315/BOS), Ministerio de Ciencia e Innovacion (CGL2009-11278/BOS), and Ministerio de Economia y Competitividad (CGL2013-42585-P); Catalan funds through the Generalitat de Catalunya (2001SGR00091); and additional funding from SEO/BirdLife (programa Migra &amp; proyecto LIFE+ Indemares), Fundacion Banco Bilbao Vizcaya Argentaria (BIOCON04/099) and Fundacion Biodiversidad (18PCA4328, 2012-2013); NSERC Discovery Grant and Government of Canada's Program for International Polar Year to W.A.M.; and an ACAP AC Grant in 2013-14, predoctoral contract BES-2017-079874 of the Spanish Ministerio de Industria, Economia y Competitividad (to L.N.-H.); Spanish Foundation for Biodiversity and Spanish Ministry of Science grant ref. CGL2013-42203-R; the Pew Environment Group via the Pew Fellowship Award in Marine Conservation (to M.L.C.; ); National Research Foundation; South Africa and Oceans and Coasts; Department of Environment, Agriculture and Fisheries; Malta Seabird Project (LIFE10NAT/MT/090) co-funded by the LIFE program of the European Commission and the Maltese Ministry for the Environment, Sustainable Development and Climate Change, in partnership with the Royal Society for the Protection of Bird and the Portuguese Society for the Study of Birds; predoctoral contract BES-2014-068025 of the Spanish Ministerio de Industria, Economia y Competitividad (to V.M.-P.); Scientific Expert PIM initiative (Petites Iles de Mediterranee); the PIM initiative (Petites Iles de Mediterranee); the Tunisian Coastal Protection and Planning Agency (APAL); Ministry of the Environment, Japan; Funding by Fundacion Ecocentro, Argentina; Wildlife Conservation Society, USA; and Ministerio de Ciencia, Tecnologia e Innovacion, Argentina; Centro Nacional Patagonico (CONICET), postdoctoral contracts by Beatriu de Pinos (2010-BP_A-00173), Juan de la Cierva (JCI-2009-05426), PLEAMAR (2017/2349), and Ramon y Cajal (RYC-2017-22055) programme (to R.R.); Seventh Framework Programme (Research Executive Agency of the European Commission, 618841, FP7-PEOPLE-2013-CIG); Fondation Total pour la Biodiversite (project: Trophic ecology and impacts of bycatch on the avifauna communities of Zembra archipelago); Agence de Protection et d'Amenagement du Littoral (APAL-Tunisia); Killam Postdoctoral fellowship from Dalhousie University; South African National Antarctic Programme; ACAP; Papahanaumokuakea Marine National Monument; NOAA; Japan Society for the Promotion of Science Kakenhi grant 19651100 and 15H02857; National Parks and Conservation Service (Mauritius) (to M.L.C.); IPEV Prog 109; and NASA. The use of trade, product, or firm names in this publication is for descriptive purposes only and does not imply endorsement by the U.S. government. The scientific results and conclusions, as well as any views or opinions expressed herein, are those of the authors and do not necessarily reflect those of the NOAA or the Department of Commerce. This communication reflects only the authors' view, and the Research Executive Agency of the European Union is not responsible for any use that may be made of the information it contains. Z.Z. acknowledges funding from a predoctoral grant (APIF/2012) from the University of Barcelona. J.Ad. acknowledges funding from the U.S. Geological Survey Ecosystems Mission Area, U.S. Bureau of Ocean Energy Management, Pacific OCS Region.</t>
  </si>
  <si>
    <t>eabd7225</t>
  </si>
  <si>
    <t>10.1126/sciadv.abd7225</t>
  </si>
  <si>
    <t>QR7RL</t>
  </si>
  <si>
    <t>Green Published, Green Accepted, gold, Green Submitted</t>
  </si>
  <si>
    <t>WOS:000625411900005</t>
  </si>
  <si>
    <t>Burgay, F; Barbaro, E; Cappelletti, D; Turetta, C; Gallet, JC; Isaksson, E; Stenni, B; Dreossi, G; Scoto, F; Barbante, C; Spolaor, A</t>
  </si>
  <si>
    <t>Burgay, Francois; Barbaro, Elena; Cappelletti, David; Turetta, Clara; Gallet, Jean-Charles; Isaksson, Elisabeth; Stenni, Barbara; Dreossi, Giuliano; Scoto, Federico; Barbante, Carlo; Spolaor, Andrea</t>
  </si>
  <si>
    <t>First discrete iron(II) records from Dome C (Antarctica) and the Holtedahlfonna glacier (Svalbard)</t>
  </si>
  <si>
    <t>Chemiluminescence; Iron speciation; Ice core; Svalbard; Dome C</t>
  </si>
  <si>
    <t>CLIMATIC MASS-BALANCE; RARE-EARTH-ELEMENTS; OXIDATION-KINETICS; ORGANIC-COMPOUNDS; FE(II) OXIDATION; HIGH-RESOLUTION; VOLCANIC ASH; ARCTIC SNOW; ICE CORES; SEA-ICE</t>
  </si>
  <si>
    <t>Fe(II) is more soluble and bioavailable than Fe(III) species, therefore the investigation of their relative abundance and redox processes is relevant to better assess the supply of bioavailable iron to the ocean and its impact on marine productivity. In this context, we present a discrete chemiluminescence-based method for the determination of Fe(II) in firn matrices. The method was applied on discrete samples from a snow pit collected at Dome C (DC, Antarctica) and on a shallow firn core from the Holtedahlfonna glacier (HDF, Svalbard), providing the first Fe(II) record from both Antarctica and Svalbard. The method showed low detection limits (0.006 ng g(-1) for DC and 0.003 ng g(-1) for the HDF) and a precision ranging from 3% to 20% RSD. Fe(II) concentrations ranged between the LoD and 0.077 ng g(-1) and between the LoD and 0.300 ng g(-1) for the Antarctic and Arctic samples, respectively. The Fe(II) contribution with respect to the total dissolved Fe was comparable in both sites accounting, on average, for 5% and 3%, respectively. We found that Fe(II) correctly identified the Pinatubo/Cerro Hudson eruption in the DC record, demonstrating its reliability as volcanic tracer, while, on the HDF core, we provided the first preliminary insight on the processes that might influence Fe speciation in firn matrices (i.e. organic ligands and pH influences). (C) 2020 Elsevier Ltd. All rights reserved.</t>
  </si>
  <si>
    <t>[Burgay, Francois; Barbaro, Elena; Stenni, Barbara; Barbante, Carlo; Spolaor, Andrea] CaFoscari Univ Venice, Dept Environm Sci Informat &amp; Stat, Via Torino 155, Venice, Italy; [Burgay, Francois; Barbaro, Elena; Turetta, Clara; Stenni, Barbara; Dreossi, Giuliano; Barbante, Carlo; Spolaor, Andrea] CNR, Inst Polar Sci, Campus Sci,Via Torino 155, Venice, Italy; [Gallet, Jean-Charles; Isaksson, Elisabeth] Norwegian Polar Res Inst, NO-9296 Tromso, Norway; [Cappelletti, David] Univ Perugia, Dipartimento Chim Biol &amp; Biotecnol, Via Elce Sotto 8, Perugia, Italy; [Scoto, Federico] CNR, Inst Atmospher Sci &amp; Climate, Lecce, Italy</t>
  </si>
  <si>
    <t>Universita Ca Foscari Venezia; Consiglio Nazionale delle Ricerche (CNR); Istituto di Scienze Polari (ISP-CNR); Norwegian Polar Institute; University of Perugia; Consiglio Nazionale delle Ricerche (CNR); Istituto di Scienze dell'Atmosfera e del Clima (ISAC-CNR)</t>
  </si>
  <si>
    <t>Burgay, F (corresponding author), Paul Scherrer Inst, Lab Environm Chem LUC, Forschungsstr 111, CH-5232 Villigen, Switzerland.</t>
  </si>
  <si>
    <t>francois.burgay@unive.it</t>
  </si>
  <si>
    <t>BARBARO, ELENA/AAK-3106-2021; Barbante, Carlo/B-3195-2011; Turetta, Clara/O-2849-2015; Barbaro, Elena/AAX-8809-2020; Cappelletti, David/C-5782-2009</t>
  </si>
  <si>
    <t>Turetta, Clara/0000-0003-3130-2901; Barbaro, Elena/0000-0003-2639-7475; Gallet, Jean-Charles/0000-0002-6153-1361; Scoto, Federico/0000-0003-2498-3227; Barbante, Carlo/0000-0003-4177-2288; Spolaor, Andrea/0000-0001-8635-9193; Burgay, Francois/0000-0002-2657-6900</t>
  </si>
  <si>
    <t>Svalbard Science Forum [10632, 269944/E10]; Programma Nazionale per la Ricerca in Antartide (PNRA) [PNRA16 00295]</t>
  </si>
  <si>
    <t>Svalbard Science Forum; Programma Nazionale per la Ricerca in Antartide (PNRA)</t>
  </si>
  <si>
    <t>The samples from the Holtedahlfonna glacier were collected thanks to an Arctic Field Grant 2017 financed by the Svalbard Science Forum for the Iron Speciation on Svalbard Ice Core and Snow (ISSICoS) project (RiS ID: 10632; NFR contract 269944/E10). This work was also supported by the Programma Nazionale per la Ricerca in Antartide (PNRA, project number PNRA16 00295 Linea A2).</t>
  </si>
  <si>
    <t>10.1016/j.chemosphere.2020.129335</t>
  </si>
  <si>
    <t>PT7OW</t>
  </si>
  <si>
    <t>WOS:000608802100129</t>
  </si>
  <si>
    <t>Bertlich, J; Gussone, N; Berndt, J; Arlinghaus, HF; Dieckmann, GS</t>
  </si>
  <si>
    <t>Bertlich, Jacqueline; Gussone, Nikolaus; Berndt, Jasper; Arlinghaus, Heinrich F.; Dieckmann, Gerhard S.</t>
  </si>
  <si>
    <t>Salinity effects on cultured Neogloboquadrina pachyderma (sinistral) from high latitudes: new paleoenvironmental insights</t>
  </si>
  <si>
    <t>GEO-MARINE LETTERS</t>
  </si>
  <si>
    <t>ANTARCTIC SEA-ICE; PLANKTONIC-FORAMINIFERA; NA INCORPORATION; WEDDELL SEA; SEAWATER TEMPERATURE; MG/CA VARIABILITY; CALCITE; BIOMINERALIZATION; DELTA-O-18; MAGNESIUM</t>
  </si>
  <si>
    <t>This study presents culture experiments of the cold water species Neogloboquadrina pachyderma (sinistral) and provides new insights into the incorporation of elements in foraminiferal calcite of common and newly established proxies for paleoenvironmental applications (shell Mg/Ca, Sr/Ca and Na/Ca). Specimens were collected from sea ice during the austral winter in the Antarctic Weddell Sea and subsequently cultured at different salinities and a constant temperature. Incorporation of the fluorescent dye calcein showed new chamber formation in the culture at salinities of 30, 31, and 69. Cultured foraminifers at salinities of 46 to 83 only revealed chamber wall thickening, indicated by the fluorescence of the whole shell. Signs of reproduction and the associated gametogenic calcite were not observed in any of the culture experiments. Trace element analyses were performed using an electron microprobe, which revealed increased shell Mg/Ca, Sr/Ca, and Na/Ca values at higher salinities, with Mg/Ca showing the lowest sensitivity to salinity changes. This study enhances the knowledge about unusually high element concentrations in foraminifera shells from high latitudes. Neogloboquadrina pachyderma appears to be able to calcify in the Antarctic sea ice within brine channels, which have low temperatures and exceptionally high salinities due to ongoing sea ice formation.</t>
  </si>
  <si>
    <t>[Bertlich, Jacqueline; Gussone, Nikolaus; Berndt, Jasper] Westfalische Wilhelms Univ Munster, Inst Mineral, Corrensstr 24, D-48149 Munster, Germany; [Bertlich, Jacqueline] GEOMAR Helmholtz Ctr Ocean Res Kiel, Wischhofstr 1-3, D-24148 Kiel, Germany; [Gussone, Nikolaus] Wessling GmbH, Oststr 7, D-48341 Altenberge, Germany; [Arlinghaus, Heinrich F.] Westfalische Wilhelms Univ Munster, Phys Inst, Wilhelm Klemm Str 10, D-48149 Munster, Germany; [Dieckmann, Gerhard S.] Helmholtz Zentrum Polar &amp; Meeresforsch, Alfred Wegener Inst, Marine Biogeosci, Handelshafen 12, D-27570 Bremerhaven, Germany</t>
  </si>
  <si>
    <t>University of Munster; Helmholtz Association; GEOMAR Helmholtz Center for Ocean Research Kiel; University of Munster; Helmholtz Association; Alfred Wegener Institute, Helmholtz Centre for Polar &amp; Marine Research</t>
  </si>
  <si>
    <t>Bertlich, J; Gussone, N (corresponding author), Westfalische Wilhelms Univ Munster, Inst Mineral, Corrensstr 24, D-48149 Munster, Germany.;Bertlich, J (corresponding author), GEOMAR Helmholtz Ctr Ocean Res Kiel, Wischhofstr 1-3, D-24148 Kiel, Germany.;Gussone, N (corresponding author), Wessling GmbH, Oststr 7, D-48341 Altenberge, Germany.</t>
  </si>
  <si>
    <t>jbertlich@geomar.de; nikolaus.gussone@uni-muenster.de</t>
  </si>
  <si>
    <t>Bertlich, Jacqueline/0000-0001-8578-7751</t>
  </si>
  <si>
    <t>Deutsche Forschungsgemeinschaft (DFG) [SPP 1158]; Helmholtz Research School for Ocean System Science and Technology (HOSST) at GEOMAR Helmholtz Centre for Ocean Research Kiel [VH-KO-601]; Projekt DEAL</t>
  </si>
  <si>
    <t>Deutsche Forschungsgemeinschaft (DFG)(German Research Foundation (DFG)); Helmholtz Research School for Ocean System Science and Technology (HOSST) at GEOMAR Helmholtz Centre for Ocean Research Kiel; Projekt DEAL</t>
  </si>
  <si>
    <t>Open Access funding enabled and organized by Projekt DEAL. Participation of Nikolaus Gussone on the research expedition ANT-XXIX/6 was supported by a travel grant from SPP 1158 Antarctic Research with comparative investigations in Arctic ice areas of the Deutsche Forschungsgemeinschaft (DFG). During the time of manuscript preparation, Jacqueline Bertlich was funded by a Ph.D. fellowship of the Helmholtz Research School for Ocean System Science and Technology (HOSST) at GEOMAR Helmholtz Centre for Ocean Research Kiel (VH-KO-601).</t>
  </si>
  <si>
    <t>0276-0460</t>
  </si>
  <si>
    <t>1432-1157</t>
  </si>
  <si>
    <t>GEO-MAR LETT</t>
  </si>
  <si>
    <t>Geo-Mar. Lett.</t>
  </si>
  <si>
    <t>10.1007/s00367-020-00677-1</t>
  </si>
  <si>
    <t>PS5AO</t>
  </si>
  <si>
    <t>WOS:000607934000001</t>
  </si>
  <si>
    <t>Li, CX; Chen, K; Sun, X; Wang, BD; Yang, GP; Li, Y; Liu, L</t>
  </si>
  <si>
    <t>Li, Cheng-Xuan; Chen, Kan; Sun, Xia; Wang, Bao-Dong; Yang, Gui-Peng; Li, Yan; Liu, Lu</t>
  </si>
  <si>
    <t>Occurrence, distribution, and sea-air fluxes of volatile halocarbons in the upper ocean off the northern Antarctic Peninsula in summer</t>
  </si>
  <si>
    <t>Volatile halocarbons (VHCs); Northern Antarctic Peninsula (NAP); Dicothermal layer (DL); Assemblage layer (AL); Sea-to-air flux</t>
  </si>
  <si>
    <t>SHORT-LIVED HALOCARBONS; MARINE-PHYTOPLANKTON; METHYL HALIDES; SOUTHERN-OCEAN; ATLANTIC-OCEAN; YELLOW SEA; ICE ALGAE; IODINE; TRICHLOROETHYLENE; HYDROCARBONS</t>
  </si>
  <si>
    <t>We studied the spatial variations of six volatile halocarbons (VHCs), namely, iodomethane (CH3I), chloroform (CHCl3), tetrachloroethylene (C2Cl4), bromodichloromethane (CHBrCl2), dibromomethane (CH2Br2), and carbon tetrachloride (CCl4), and the environmental influencing factors involved in the cycling of VHCs in the upper ocean (0-500 m) off the Northern Antarctic Peninsula (NAP) during the summer of 2018. About 5%-10% of the total biogenic VHCs in the upper ocean were accumulated in the assemblage layer (AL) with high chlorophyll a. However, higher VHCs levels were observed in the dicothermal layer (DL) compared with the AL because of the preservation from winter and production from dinoflagellates and chlorophytes. Owing to the co-existence occurrence of sharp seasonal pycnocline and thick permanent pycnocline, DL could be an important VHCs reservoir in the upper water column during summer. In response to melting of sea ice and glacier, decreased salinity was responsible for ca. 50% of the variation in the CH2Br2 and CCl4 concentrations, which corresponded with increased CH2Br2 and CCl4 concentrations in the less saline water mass. Anthropogenic CCl4 was found with an average concentration of 44.9 pmol/ L, and there was a strong positive relationship between CCl4 and CHCl3 in the upper water, indicating their similar source of pollutant transport caused by anthropogenic activities. Calculated sea- to-air fluxes of CCl4, C2Cl4, CHBrCl2, and CH2Br2 averaged 478.7, 93.7, 33.7, and 61.8 nmol/(m(2).d) in summer, respectively, indicating that the waters off the NAP are important sources of VHCs for the atmosphere and exert potentially adverse impacts on the Antarctica ozone depletion. (C) 2020 Elsevier B.V. All rights reserved.</t>
  </si>
  <si>
    <t>[Li, Cheng-Xuan; Chen, Kan; Sun, Xia; Wang, Bao-Dong; Liu, Lu] Minist Nat Resources, Inst Oceanog 1, Key Lab Marine Ecoenvironm Sci &amp; Technol, Qingdao 266061, Peoples R China; [Li, Cheng-Xuan; Wang, Bao-Dong; Yang, Gui-Peng] Qingdao Natl Lab Marine Sci &amp; Technol, Lab Marine Ecol &amp; Environm Sci, Qingdao 266237, Peoples R China; [Yang, Gui-Peng; Li, Yan] Ocean Univ China, Frontiers Sci Ctr Deep Ocean Multispheres &amp; Earth, Key Lab Marine Chem Theory &amp; Technol, Minist Educ, Qingdao 266100, Peoples R China</t>
  </si>
  <si>
    <t>First Institute of Oceanography, Ministry of Natural Resources; Ministry of Natural Resources of the People's Republic of China; Laoshan Laboratory; Ocean University of China</t>
  </si>
  <si>
    <t>Wang, BD (corresponding author), Minist Nat Resources, Inst Oceanog 1, Key Lab Marine Ecoenvironm Sci &amp; Technol, Qingdao 266061, Peoples R China.;Yang, GP (corresponding author), Ocean Univ China, Minist Educ, Key Lab Marine Chem Theory &amp; Technol, Qingdao 266100, Peoples R China.</t>
  </si>
  <si>
    <t>wangbd@fio.org.cn; gpyang@ouc.edu.cn</t>
  </si>
  <si>
    <t>Yang, Gui-Peng/GZG-6468-2022</t>
  </si>
  <si>
    <t>Yang, Gui-Peng/0000-0002-0107-4568</t>
  </si>
  <si>
    <t>National Natural Science Foundation of China [41676074, 42076045, 41830534]; Distinguished Young Scholars Program of Ministry of Natural Resources [12110600000018003928]; National Key Research and Development Program of China [2017YFA0603204]; Basic Scientific Fund for National Public Research Institutes of China [2016Q04]; [01]</t>
  </si>
  <si>
    <t>National Natural Science Foundation of China(National Natural Science Foundation of China (NSFC)); Distinguished Young Scholars Program of Ministry of Natural Resources; National Key Research and Development Program of China; Basic Scientific Fund for National Public Research Institutes of China;</t>
  </si>
  <si>
    <t>We appreciate the great help and cooperation from the captain and all crews of R/V `Xiang Yang Hong No.01' during the in situ investigation. We gratefully acknowledge Ying Li (the First Institute of Oceanography, Ministry of Natural Resources of China) for providing the CTD data. This workwas financially supported by the National Natural Science Foundation of China (Grant Nos. 41676074, 42076045, and 41830534), the Distinguished Young Scholars Program of Ministry of Natural Resources (Grant No. 12110600000018003928), the National Key Research and Development Program of China (Grant No. 2017YFA0603204), and the Basic Scientific Fund for National Public Research Institutes of China (Grant No. 2016Q04).</t>
  </si>
  <si>
    <t>10.1016/j.scitotenv.2020.143947</t>
  </si>
  <si>
    <t>PP1JB</t>
  </si>
  <si>
    <t>WOS:000605623800128</t>
  </si>
  <si>
    <t>Cao, L; Qi, D; Li, QL; Yang, B; Zhang, YY; Zhang, SW; Qi, SB; Zhang, YY; Liu, Y</t>
  </si>
  <si>
    <t>Cao, Lu; Qi, Di; Li, Quanlong; Yang, Bo; Zhang, Yunyan; Zhang, Shuwei; Qi, Shengbo; Zhang, Yingying; Liu, Yan</t>
  </si>
  <si>
    <t>Spectrophotometric loop flow analyzer for high-precision measurement of seawater pH</t>
  </si>
  <si>
    <t>TALANTA</t>
  </si>
  <si>
    <t>pH analyzer; Spectrophotometry; Loop flow analysis; In situ; Underway</t>
  </si>
  <si>
    <t>OCEAN-ACIDIFICATION; IN-SITU; INORGANIC CARBON; SENSOR; CO2</t>
  </si>
  <si>
    <t>Automated instrument for long-term measurement of seawater pH is important for documenting the changes of the marine carbonate system and the impacts of ocean acidification. An automated pH analyzer based on loop flow analysis (LFA-pH) was developed to achieve precise and accurate measurements of seawater pH. The circulating loop allows complete mixing of an indicator and seawater, constant mixing volume of two solutions, and correcting indicator perturbation for each measurement. During laboratory testing, the LFA-pH precision achieved 0.0004, and the accuracy was 0.0017 +/- 0.0038 compared with the certified standard buffer at different temperatures. During the 59 day underway measurement across the mid and high latitudes, more than 2500 pH measurements were carried out. LFA-pH showed good stability with high temperature and salinity changes, and measurement results were consistent with the discrete surface seawater pH measurement data. In situ testing of two LFA-pHs was completed near the Zhongyuan pier in Qingdao. The average pH offset between the two LFApHs was 0.0010 +/- 0.0032 (n = 788), with the accuracies of the two LFA-pHs of 0.0012 +/- 0.0033 and 0.0005 +/- 0.0035 compared to discrete measurements. For continuous measurement, the average power consumption is 3.6 W at a 10 min measurement frequency. Given its low power consumption, high precision, and accuracy, FLApH could be adapted for underway and in situ measurements of ocean acidification observations.</t>
  </si>
  <si>
    <t>[Cao, Lu; Zhang, Yunyan; Zhang, Shuwei; Zhang, Yingying; Liu, Yan] Qilu Univ Technol, Inst Oceanog Instrumentat, Shandong Acad Sci,Natl Engn &amp; Technol Res Ctr Mar, Shandong Prov Key Lab Ocean Environm Monitoring T, Qingdao 266061, Peoples R China; [Qi, Di] Minist Nat Resources MNR, Key Lab Global Change &amp; Marine Atmospher Chem, Inst Oceanog 3, MNR, Xiamen 361005, Peoples R China; [Li, Quanlong; Yang, Bo] Xiamen Univ, Coll Environm &amp; Ecol, State Key Lab Marine Environm Sci, Xiamen 361102, Peoples R China; [Yang, Bo] Univ Virginia, Dept Environm Sci, Charlottesville, VA 22094 USA; [Qi, Shengbo] Ocean Univ China, Coll Engn, Qingdao 266100, Peoples R China</t>
  </si>
  <si>
    <t>Qilu University of Technology; Third Institute of Oceanography, Ministry of Natural Resources; Ministry of Natural Resources of the People's Republic of China; Xiamen University; University of Virginia; Ocean University of China</t>
  </si>
  <si>
    <t>Zhang, YY; Liu, Y (corresponding author), Qilu Univ Technol, Inst Oceanog Instrumentat, Shandong Acad Sci,Natl Engn &amp; Technol Res Ctr Mar, Shandong Prov Key Lab Ocean Environm Monitoring T, Qingdao 266061, Peoples R China.;Li, QL (corresponding author), Xiamen Univ, Coll Environm &amp; Ecol, State Key Lab Marine Environm Sci, Xiamen 361102, Peoples R China.</t>
  </si>
  <si>
    <t>liql@xmu.edu.cn; triciayyz@163.com; sdqdliuyan@qlu.edu.cn</t>
  </si>
  <si>
    <t>z, y/HPC-0477-2023; Li, QL/G-4579-2010</t>
  </si>
  <si>
    <t>Qi, Di/0000-0003-4762-266X; Yang, Bo/0000-0001-5617-5748; Cao, Lu/0000-0002-1993-1986</t>
  </si>
  <si>
    <t>National Key Research and Development Plan [2016YFC1400800]; Natural Science Foundation of Shandong Province [ZR2018ZB0523]; Chinese Projects for Investigations and Assessments of the Arctic and Antarctic [CHI-NARE2017-2020]</t>
  </si>
  <si>
    <t>National Key Research and Development Plan; Natural Science Foundation of Shandong Province(Natural Science Foundation of Shandong Province); Chinese Projects for Investigations and Assessments of the Arctic and Antarctic</t>
  </si>
  <si>
    <t>This work was supported by the National Key Research and Development Plan (No. 2016YFC1400800), Natural Science Foundation of Shandong Province (No. ZR2018ZB0523) and Chinese Projects for Investigations and Assessments of the Arctic and Antarctic (CHI-NARE2017-2020). We thank Zhangxian Ouyang for the fieldwork.</t>
  </si>
  <si>
    <t>0039-9140</t>
  </si>
  <si>
    <t>1873-3573</t>
  </si>
  <si>
    <t>Talanta</t>
  </si>
  <si>
    <t>10.1016/j.talanta.2020.121775</t>
  </si>
  <si>
    <t>Chemistry, Analytical</t>
  </si>
  <si>
    <t>Chemistry</t>
  </si>
  <si>
    <t>PI0JU</t>
  </si>
  <si>
    <t>WOS:000600787800014</t>
  </si>
  <si>
    <t>Riboni, N; Fornari, F; Bianchi, F; Careri, M</t>
  </si>
  <si>
    <t>Riboni, N.; Fornari, F.; Bianchi, F.; Careri, M.</t>
  </si>
  <si>
    <t>A simple and efficient Solid-Phase Microextraction - Gas Chromatography - Mass Spectrometry method for the determination of fragrance materials at ultra-trace levels in water samples using multi-walled carbon nanotubes as innovative coating</t>
  </si>
  <si>
    <t>Solid-phase microextraction; Fragrance materials; Personal care products; Multi-walled carbon nanotubes; Emerging contaminants; Water sample</t>
  </si>
  <si>
    <t>PERSONAL CARE PRODUCTS; LIQUID-LIQUID MICROEXTRACTION; POLYCYCLIC MUSKS; EXTRACTION; ALLERGENS; PHARMACEUTICALS; CONTAMINANTS; DISPERSION; SORBENTS; SEAWATER</t>
  </si>
  <si>
    <t>The occurrence of emerging contaminants is becoming of increasing importance to assess the impact of anthropogenic activities onto the environment. The present study reports for the first time the development and validation of an efficient method for the simultaneous determination of fragrance materials in water samples based on the use of a novel multiwalled carbon nanotubes (MWCNTs)-based solid-phase microextraction coating. Helical MWCNTs were selected as adsorbent material due to their outstanding extraction performance. The multicriteria method of desirability functions allowed the optimization of the experimental conditions in terms of extraction time and extraction temperature. Validation proved the reliability of the method for the determination of the analytes at ultra-trace levels, obtaining detection limits in the 0.2-13 ng/L range, good precision, with relative standard deviations lower than 20% and recovery rates in the 80 +/- 12%-111 +/- 11%. Superior enrichment factors compared to commercial fibers were also calculated. Finally, applicability to real sample analysis was demonstrated.</t>
  </si>
  <si>
    <t>[Riboni, N.; Fornari, F.; Bianchi, F.; Careri, M.] Univ Parma, Dept Chem Life Sci &amp; Environm Sustainabil, Parco Area Sci 17-A, I-43124 Parma, Italy; [Riboni, N.; Bianchi, F.; Careri, M.] Univ Parma, Ctr Energy &amp; Environm CIDEA, Parco Area Sci 42, I-43124 Parma, Italy</t>
  </si>
  <si>
    <t>University of Parma; University of Parma</t>
  </si>
  <si>
    <t>Bianchi, F (corresponding author), Univ Parma, Dept Chem Life Sci &amp; Environm Sustainabil, Parco Area Sci 17-A, I-43124 Parma, Italy.;Riboni, N (corresponding author), Univ Parma, Ctr Energy &amp; Environm CIDEA, Parco Area Sci 42, I-43124 Parma, Italy.</t>
  </si>
  <si>
    <t>nicolo.riboni@unipr.it; federica.bianchi@unipr.it</t>
  </si>
  <si>
    <t>Bianchi, Federica/J-4912-2012; Riboni, Nicolò/ADR-7872-2022</t>
  </si>
  <si>
    <t>Bianchi, Federica/0000-0001-7880-5624; Fornari, Fabio/0000-0001-8150-5382; Riboni, Nicolo/0000-0002-0789-3812</t>
  </si>
  <si>
    <t>'Departments of Excellence' program of the Italian Ministry for Education, University and Research (MIUR, 2018-2022); project Emerging COntaminants in Antarctic Snow: sources and TRAnsport (ECO AS:TRA) - MIUR Programma Nazionale di Ricerca in Antartide (PNRA) grant [PNRA18_00229]</t>
  </si>
  <si>
    <t>'Departments of Excellence' program of the Italian Ministry for Education, University and Research (MIUR, 2018-2022); project Emerging COntaminants in Antarctic Snow: sources and TRAnsport (ECO AS:TRA) - MIUR Programma Nazionale di Ricerca in Antartide (PNRA) grant</t>
  </si>
  <si>
    <t>This work has benefited from the equipment and framework of the COMP-HUB Initiative, funded by the 'Departments of Excellence' program of the Italian Ministry for Education, University and Research (MIUR, 2018-2022).; This work was also supported by the project Emerging COntaminants in Antarctic Snow: sources and TRAnsport (ECO AS:TRA) funded by the MIUR Programma Nazionale di Ricerca in Antartide (PNRA) grant PNRA18_00229.</t>
  </si>
  <si>
    <t>10.1016/j.talanta.2020.121891</t>
  </si>
  <si>
    <t>WOS:000600787800103</t>
  </si>
  <si>
    <t>Li, YF; Zeng, QH; Liu, G; Peng, ZY; Wang, YX; Zhu, YH; Liu, HQ; Zhao, Y; Wang, JJ</t>
  </si>
  <si>
    <t>Li, Yufeng; Zeng, Qiao-Hui; Liu, Guang; Peng, Zhiyun; Wang, Yixiang; Zhu, Yongheng; Liu, Haiquan; Zhao, Yong; Wang, Jing Jing</t>
  </si>
  <si>
    <t>Effects of ultrasound-assisted basic electrolyzed water (BEW) extraction on structural and functional properties of Antarctic krill (Euphausia superba) proteins</t>
  </si>
  <si>
    <t>ULTRASONICS SONOCHEMISTRY</t>
  </si>
  <si>
    <t>Ultrasound; Basic electrolyzed water; Antarctic krill protein; Structural properties; Emulsions</t>
  </si>
  <si>
    <t>HIGH-INTENSITY ULTRASOUND; N-TERMINAL DOMAIN; BOVINE SERUM-ALBUMIN; HMW 1DX5; VIBRIO-PARAHAEMOLYTICUS; EMULSIFYING PROPERTIES; RHEOLOGICAL PROPERTIES; PHYSICAL-PROPERTIES; OLIVE OIL; ISOLATE</t>
  </si>
  <si>
    <t>A novel protein extraction method of ultrasound-assisted basic electrolyzed water (BEW) was proposed, and its effects on the structural and functional properties of Antarctic krill proteins were investigated. Results showed that BEW reduced 30.9% (w/w) NaOH consumption for the extraction of krill proteins, and its negative redox potential (-800 similar to -900 mV) protected the active groups (carbonyl, free sulfhydryl, etc.) of the proteins from oxidation compared to deionized water (DW). Moreover, the ultrasound-assisted BEW increased the extraction yield (9.4%), improved the solubility (8.5%), reduced the particle size (57 nm), favored the transition of a-helix and beta-turn to beta-sheet, promoted the surface hydrophobicity and disulfide bonds formation of krill proteins when compared to BEW without ultrasound. These changes contributed to the enhanced foam capacity, foam stability and emulsifying capacity of the krill proteins. Notably, all the physicochemical, structural and functional properties of the krill proteins were comparable to those extracted by the traditional ultrasound-assisted DW. This study suggests that the ultrasound-assisted BEW can be a potential candidate to extract proteins, especially offering an alternative way to produce marine proteins with high nutritional quality.</t>
  </si>
  <si>
    <t>[Li, Yufeng; Peng, Zhiyun; Zhu, Yongheng; Liu, Haiquan; Zhao, Yong; Wang, Jing Jing] Shanghai Ocean Univ, Coll Food Sci &amp; Technol, Shanghai 201306, Peoples R China; [Zeng, Qiao-Hui; Wang, Jing Jing] Foshan Univ, Dept Food Sci, Foshan 528000, Peoples R China; [Liu, Guang] Minist Agr &amp; Rural Affairs, Sericultural &amp; Agrifood Res Inst, Key Lab Funct Foods, Guangdong Acad Agr Sci,Guangdong Key Lab Agr Prod, Guangzhou 510610, Guangdong, Peoples R China; [Wang, Yixiang] McGill Univ, Dept Food Sci &amp; Agr Chem, Ste Anne De Bellevue, PQ H9X 3V9, Canada; [Zhu, Yongheng; Liu, Haiquan; Zhao, Yong] Minist Agr, Lab Qual &amp; Safety Risk Assessment Aquat Prod Stor, Shanghai 201306, Peoples R China</t>
  </si>
  <si>
    <t>Shanghai Ocean University; Foshan University; Ministry of Agriculture &amp; Rural Affairs; Guangdong Academy of Agricultural Sciences; McGill University; Ministry of Agriculture &amp; Rural Affairs</t>
  </si>
  <si>
    <t>Zhao, Y; Wang, JJ (corresponding author), Shanghai Ocean Univ, Coll Food Sci &amp; Technol, Shanghai 201306, Peoples R China.</t>
  </si>
  <si>
    <t>yzhao@shou.edu.cn; w_j2010@126.com</t>
  </si>
  <si>
    <t>Li, yu/HHZ-5236-2022; Wang, Yixiang/AAD-5388-2020; wang, jing/GRS-7509-2022; wang, jiajun/JRW-6032-2023; wang, jian/HRB-9588-2023; wang, dan/JEF-0836-2023; Liu, Guang/AAB-9356-2022; liang, liang/IAO-8518-2023; Peng, Zhiyun/HHS-8382-2022; wang, juan/IUO-6218-2023; wang, jie/HTQ-4920-2023; Wang, Zhonglin/JVZ-9007-2024; wang, jing/GVT-8700-2022; wang, jing/HJA-5384-2022; Wang, Jin/GYA-2019-2022; Wang, Xiaogang/B-2439-2013; WANG, JINGYI/GSJ-1241-2022; wang, jiahui/IXD-1197-2023</t>
  </si>
  <si>
    <t>Wang, Yixiang/0000-0001-8386-7491; Peng, Zhiyun/0000-0002-0390-2662; Wang, Xiaogang/0000-0002-7929-5889;</t>
  </si>
  <si>
    <t>National Key R&amp;D Program of China [2018YFC1602205]; National Natural Science Foundation of China [31571917]; Key Project of Shanghai Agriculture Prosperity through Science and Technology [2019-02-08-00-15-F01147]; Shanghai Agriculture Applied Technology Development Program [T20170404]</t>
  </si>
  <si>
    <t>National Key R&amp;D Program of China; National Natural Science Foundation of China(National Natural Science Foundation of China (NSFC)); Key Project of Shanghai Agriculture Prosperity through Science and Technology; Shanghai Agriculture Applied Technology Development Program</t>
  </si>
  <si>
    <t>This research was supported by the National Key R&amp;D Program of China (2018YFC1602205), the National Natural Science Foundation of China (31571917), Key Project of Shanghai Agriculture Prosperity through Science and Technology (2019-02-08-00-15-F01147), Shanghai Agriculture Applied Technology Development Program (T20170404).</t>
  </si>
  <si>
    <t>1350-4177</t>
  </si>
  <si>
    <t>1873-2828</t>
  </si>
  <si>
    <t>ULTRASON SONOCHEM</t>
  </si>
  <si>
    <t>Ultrason. Sonochem.</t>
  </si>
  <si>
    <t>10.1016/j.ultsonch.2020.105364</t>
  </si>
  <si>
    <t>Acoustics; Chemistry, Multidisciplinary</t>
  </si>
  <si>
    <t>Acoustics; Chemistry</t>
  </si>
  <si>
    <t>PP0XC</t>
  </si>
  <si>
    <t>WOS:000605592400012</t>
  </si>
  <si>
    <t>Goyal, R; Jucker, M; Sen Gupta, A; England, MH</t>
  </si>
  <si>
    <t>Goyal, Rishav; Jucker, Martin; Sen Gupta, Alex; England, Matthew H.</t>
  </si>
  <si>
    <t>Generation of the Amundsen Sea Low by Antarctic Orography</t>
  </si>
  <si>
    <t>Amundsen Sea Low; Antarctic topography; Nonzonal atmospheric circulation; Southern Hemisphere circulation</t>
  </si>
  <si>
    <t>WEST ANTARCTICA; ICE; VARIABILITY; CIRCULATION; CLIMATE</t>
  </si>
  <si>
    <t>The Amundsen Sea Low (ASL) is a distinctive feature of the Southern Hemisphere high latitude atmospheric circulation, regulating regional Antarctic climate, meridional heat transport, ocean circulation, and sea-ice in the Amundsen-Bellingshausen Seas. Most previous research on the ASL has focused on its variability with only a few studies attempting to understand why the climatological ASL exists. These studies have proposed different hypotheses to explain the presence of the ASL, however, a clear understanding of the mechanisms responsible for the generation of the ASL remains uncertain. Here we use an atmospheric general circulation model to show that the ASL is a consequence of the interaction between Antarctic topography and the westerly wind jet, with negligible influence from low-latitude teleconnections. A nonrotating fluid flow simulation further suggests that the ASL can be explained by flow separation resulting from the interaction of westerly winds with the topography of Antarctica.</t>
  </si>
  <si>
    <t>[Goyal, Rishav; Jucker, Martin; Sen Gupta, Alex; England, Matthew H.] Univ New South Wales, Climate Change Res Ctr, Sydney, NSW, Australia; [Goyal, Rishav; Jucker, Martin; Sen Gupta, Alex; England, Matthew H.] Univ New South Wales, ARC Ctr Excellence Climate Extremes, Sydney, NSW, Australia; [Sen Gupta, Alex; England, Matthew H.] Univ New South Wales, Australian Ctr Excellence Antarctic Sci ACEAS, Sydney, NSW, Australia</t>
  </si>
  <si>
    <t>University of New South Wales Sydney; University of New South Wales Sydney; University of New South Wales Sydney</t>
  </si>
  <si>
    <t>Goyal, R (corresponding author), Univ New South Wales, Climate Change Res Ctr, Sydney, NSW, Australia.;Goyal, R (corresponding author), Univ New South Wales, ARC Ctr Excellence Climate Extremes, Sydney, NSW, Australia.</t>
  </si>
  <si>
    <t>rishav.goyal@unsw.edu.au</t>
  </si>
  <si>
    <t>England, Matthew/A-7539-2011; Jucker, Martin/C-3914-2014; Sen Gupta, Alexander/B-7995-2011</t>
  </si>
  <si>
    <t>England, Matthew/0000-0001-9696-2930; Jucker, Martin/0000-0002-4227-315X; Sen Gupta, Alexander/0000-0001-5226-871X; Goyal, Rishav/0000-0002-0307-4692</t>
  </si>
  <si>
    <t>Australian Research Council [CE170100023, FL150100035]; University of New South Wales; Earth Science and Climate Change Hub of the Australian Government's National Environmental Science Program (NESP); Center for Southern Hemisphere Oceans Research (CSHOR); QNLM; CSIRO; UNSW; UTAS; Australian Research Council [FL150100035] Funding Source: Australian Research Council</t>
  </si>
  <si>
    <t>Australian Research Council(Australian Research Council); University of New South Wales; Earth Science and Climate Change Hub of the Australian Government's National Environmental Science Program (NESP); Center for Southern Hemisphere Oceans Research (CSHOR); QNLM; CSIRO(Commonwealth Scientific &amp; Industrial Research Organisation (CSIRO)); UNSW; UTAS; Australian Research Council(Australian Research Council)</t>
  </si>
  <si>
    <t>This study was supported by the Australian Research Council (grants CE170100023, FL150100035). The authors would like to thank Andrea Taschetto from the Climate Change Research Center for generously providing the monthly varying SSTs and sea-ice data used to force the atmospheric model simulations. R. Goyal is supported by the Scientia PhD scholarship from the University of New South Wales. M. H. England is also supported by the Earth Science and Climate Change Hub of the Australian Government's National Environmental Science Program (NESP) and the Center for Southern Hemisphere Oceans Research (CSHOR), a joint research center between QNLM, CSIRO, UNSW, and UTAS. Analysis were conducted on the National Computational Infrastructure (NCI) facility based in Canberra, Australia.</t>
  </si>
  <si>
    <t>FEB 28</t>
  </si>
  <si>
    <t>e2020GL091487</t>
  </si>
  <si>
    <t>10.1029/2020GL091487</t>
  </si>
  <si>
    <t>QP4JP</t>
  </si>
  <si>
    <t>WOS:000623802900043</t>
  </si>
  <si>
    <t>C</t>
  </si>
  <si>
    <t>Muthaiyan, J; Nusari, MS; Muthunarayanan, V</t>
  </si>
  <si>
    <t>Muthaiyan, Jeganathan; Nusari, Mohammed Saleh; Muthunarayanan, Vasanthy</t>
  </si>
  <si>
    <t>Determination of physical and chemical materials of marine water</t>
  </si>
  <si>
    <t>MATERIALS TODAY-PROCEEDINGS</t>
  </si>
  <si>
    <t>Proceedings Paper</t>
  </si>
  <si>
    <t>International Conference on Newer Trends and Innovations in Mechanical Engineering (ICONTIME) - Materials Science</t>
  </si>
  <si>
    <t>OCT 15-16, 2020</t>
  </si>
  <si>
    <t>Physical parameters; Chemical parameters Marin water; Quality Analysis; Cuddalore</t>
  </si>
  <si>
    <t>An ocean is a body of saline water that composes much of a planet's hydrosphere. On Earth, an ocean is one of the major conventional divisions of the World Ocean, which occupies two-thirds of planet's surface. These are, in descending order by area, the Pacific, Atlantic, Indian, Southern (Antarctic), and Arctic Oceans. The word sea is often used interchangeably with ocean in American English but, strictly speaking, a sea is a body of saline water (generally a division of the World Ocean) that land partly or fully encloses. The sea water consist of an average of 35 g/1000 ml of dissolved compounds collectively called salts or practical salinity units (psu) which include CI- (55.04%), Na+ (30.61%), SO42- (7.68%), Mg2+ (3.69%), Ca2+ (1.16%), K+ (1.10%) as major constituents and HCO3- (0.41%), Br (0.19%), H(3)B0(3) (0.07%) and St(2+) (0.04%) apart from 0.01% of dissolved substances of several inorganic salts needed for the marine organisms living in the ecosystem. (C) 2020 Elsevier Ltd. All rights reserved.</t>
  </si>
  <si>
    <t>[Muthaiyan, Jeganathan] Lincoln Univ Coll, Environm Sci, Kota Baharu, Kelantan, Malaysia; [Nusari, Mohammed Saleh] Lincoln Univ Coll, Kota Baharu, Kelantan, Malaysia; [Muthunarayanan, Vasanthy] Bharathidasan Univ, Dept Environm Biotechnol, Sch Environm Sci, Tiruchirapalli 620024, Tamil Nadu, India</t>
  </si>
  <si>
    <t>Lincoln University College; Lincoln University College; Bharathidasan University</t>
  </si>
  <si>
    <t>Nusari, MS (corresponding author), Lincoln Univ Coll, Kota Baharu, Kelantan, Malaysia.</t>
  </si>
  <si>
    <t>nusari@lincoln.edu.my</t>
  </si>
  <si>
    <t>2214-7853</t>
  </si>
  <si>
    <t>MATER TODAY-PROC</t>
  </si>
  <si>
    <t>Mater. Today-Proc.</t>
  </si>
  <si>
    <t>10.1016/j.matpr.2020.05.243</t>
  </si>
  <si>
    <t>FEB 2021</t>
  </si>
  <si>
    <t>Materials Science, Multidisciplinary</t>
  </si>
  <si>
    <t>Conference Proceedings Citation Index - Science (CPCI-S)</t>
  </si>
  <si>
    <t>Materials Science</t>
  </si>
  <si>
    <t>QQ1VX</t>
  </si>
  <si>
    <t>WOS:000624316000046</t>
  </si>
  <si>
    <t>Goyal, R; Sen Gupta, A; Jucker, M; England, MH</t>
  </si>
  <si>
    <t>Goyal, Rishav; Sen Gupta, Alex; Jucker, Martin; England, Matthew H.</t>
  </si>
  <si>
    <t>Historical and Projected Changes in the Southern Hemisphere Surface Westerlies</t>
  </si>
  <si>
    <t>CMIP6; Ocean modeling; Southern Annular Mode; Southern Ocean; Westerly winds</t>
  </si>
  <si>
    <t>EARTH SYSTEM MODEL; GLOBAL CLIMATE MODEL; COUPLED MODEL; ANNULAR MODE; CMIP5 SIMULATIONS; BASIC EVALUATION; OZONE RECOVERY; SEA-LEVEL; OCEAN; VARIABILITY</t>
  </si>
  <si>
    <t>The Southern Hemisphere (SH) surface westerlies fundamentally control regional patterns of air temperature, storm tracks, and precipitation while also regulating ocean circulation, heat transport and carbon uptake. Wind-forced ocean perturbation experiments commonly apply idealized poleward wind shifts ranging between 0.5 and 10 degrees of latitude and wind intensification factors of between 10% and 300%. In addition, changes in winds are often prescribed ad hoc as a zonally uniform anomaly that neglects important regional and seasonal differences. Here we quantify historical and projected SH westerly wind changes based on examination of CMIP5, CMIP6, and reanalysis data. We find a significant reduction in the location bias of the CMIP6 ensemble and an associated reduction in the projected poleward shift compared to CMIP5. Under a high emission scenario, we find a projected end of 21st Century ensemble mean wind increase of similar to 10% and a poleward shift of similar to 0.8 degrees latitude, although there are important seasonal and regional variations.</t>
  </si>
  <si>
    <t>[Goyal, Rishav; Sen Gupta, Alex; Jucker, Martin; England, Matthew H.] Univ New South Wales, Climate Change Res Ctr, Sydney, NSW, Australia; [Goyal, Rishav; Sen Gupta, Alex; Jucker, Martin; England, Matthew H.] Univ New South Wales, ARC Ctr Excellence Climate Extremes, Sydney, NSW, Australia; [Sen Gupta, Alex; England, Matthew H.] Univ New South Wales, Australian Ctr Excellence Antarctic Sci ACEAS, Sydney, NSW, Australia</t>
  </si>
  <si>
    <t>Jucker, Martin/C-3914-2014; England, Matthew/A-7539-2011; Sen Gupta, Alexander/B-7995-2011</t>
  </si>
  <si>
    <t>Jucker, Martin/0000-0002-4227-315X; England, Matthew/0000-0001-9696-2930; Sen Gupta, Alexander/0000-0001-5226-871X; Goyal, Rishav/0000-0002-0307-4692</t>
  </si>
  <si>
    <t>Australian Research Council [CE170100023, FL150100035]; University of New South Wales; Earth Science and Climate Change Hub of the Australian Government's National Environmental Science Program (NESP); QNLM; CSIRO; UNSW; UTAS; Australian Research Council [FL150100035, CE170100023] Funding Source: Australian Research Council</t>
  </si>
  <si>
    <t>Australian Research Council(Australian Research Council); University of New South Wales; Earth Science and Climate Change Hub of the Australian Government's National Environmental Science Program (NESP); QNLM; CSIRO(Commonwealth Scientific &amp; Industrial Research Organisation (CSIRO)); UNSW; UTAS; Australian Research Council(Australian Research Council)</t>
  </si>
  <si>
    <t>Authors would like to thank Darryn Waugh from the Johns Hopkins University and four anonymous reviewers for their comments which helped improve the quality of the manuscript. This study was supported by the Australian Research Council (grants CE170100023, FL150100035). Rishav Goyal is supported by the Scientia PhD scholarship from the University of New South Wales. Matthew H. England is also supported by the Earth Science and Climate Change Hub of the Australian Government's National Environmental Science Program (NESP) and the Center for Southern Hemisphere Oceans Research (CSHOR), a joint research center between QNLM, CSIRO, UNSW and UTAS. Analysis were conducted on the National Computational Infrastructure (NCI) facility based in Canberra, Australia. The authors acknowledge the World Climate Research Programme's Working Group on Coupled Modeling, which is responsible for CMIP, and the authors thank the climate modeling groups for producing and making their model output available. For CMIP, the U.S. Department of Energy's Program for Climate Model Diagnosis and Intercomparison provides coordinating support and led development of software infrastructure in partnership with the Global Organization for Earth System Science Portals. NCEP-NCAR reanalysis data was provided by the NOAA/OAR/ESRL PSD, Boulder, Colorado. ERA5 data were obtained from the ECMWF Climate Data Store (CDS), JRA-55 data were provided by the Japan Meteorological Agency (JMA) and MERRA-2 data were provided by NASA Goddard Earth Sciences (GES) Data and Information Services Center (DISC).</t>
  </si>
  <si>
    <t>e2020GL090849</t>
  </si>
  <si>
    <t>10.1029/2020GL090849</t>
  </si>
  <si>
    <t>WOS:000623802900036</t>
  </si>
  <si>
    <t>Swain, CJ; Kirby, JF</t>
  </si>
  <si>
    <t>Swain, C. J.; Kirby, J. F.</t>
  </si>
  <si>
    <t>Effective Elastic Thickness Map Reveals Subglacial Structure of East Antarctica</t>
  </si>
  <si>
    <t>DRONNING MAUD LAND; UPPER-MANTLE STRUCTURE; GRENVILLE-AGE; T-E; TRANSANTARCTIC MOUNTAINS; RECYCLED MICROFOSSILS; BASEMENT PROVINCES; DETRITAL ZIRCONS; WILKES LAND; PRYDZ BAY</t>
  </si>
  <si>
    <t>East Antarctica is the least well-exposed Precambrian shield on Earth. What is known, or surmised, of its geological structure comes from extrapolation over large distances and from geophysics. Isere, we present a map of effective elastic thickness, T-e, computed from Antarctic bedrock topography and both terrestrial and satellite gravity data. T-e is directly related to lithospheric strength and can distinguish domains of differing tectonic history. Our map reveals a broad region of high T-e in Wilkes Land, interpreted as a craton, while elsewhere a corridor of low T-e meanders between areas of higher T-e. The low-T-e belt follows the trend of prominent linear magnetic anomalies identified in the Gamburtsev and Dronning Maud Land provinces, two of which have previously been identified as possible Grenville or Pan-African age sutures. Plain Language Summary This paper presents a new, high-resolution map of the effective elastic thickness of the lithosphere of Antarctica. It is interpreted as indicating the tectonic structure of East Antarctica in the form of cratons and orogenic belts.</t>
  </si>
  <si>
    <t>[Swain, C. J.; Kirby, J. F.] Curtin Univ, Sch Earth &amp; Planetary Sci, Perth, WA, Australia</t>
  </si>
  <si>
    <t>Curtin University</t>
  </si>
  <si>
    <t>Swain, CJ (corresponding author), Curtin Univ, Sch Earth &amp; Planetary Sci, Perth, WA, Australia.</t>
  </si>
  <si>
    <t>c_swain@wt.com.au</t>
  </si>
  <si>
    <t>; Kirby, Jonathan/A-5705-2012</t>
  </si>
  <si>
    <t>Swain, Christopher/0000-0002-9422-3525; Kirby, Jonathan/0000-0003-2822-7517</t>
  </si>
  <si>
    <t>e2020GL091576</t>
  </si>
  <si>
    <t>10.1029/2020GL091576</t>
  </si>
  <si>
    <t>WOS:000623802900064</t>
  </si>
  <si>
    <t>Yi, W; Reid, IM; Xue, XH; Murphy, DJ; Vincent, RA; Zou, ZC; Chen, TD; Wang, G; Dou, XK</t>
  </si>
  <si>
    <t>Yi, Wen; Reid, Iain M.; Xue, Xianghui; Murphy, Damian J.; Vincent, Robert A.; Zou, Zicheng; Chen, Tingdi; Wang, Geng; Dou, Xiankang</t>
  </si>
  <si>
    <t>First Observations of Antarctic Mesospheric Tidal Wind Responses to Recurrent Geomagnetic Activity</t>
  </si>
  <si>
    <t>energetic particle precipitation; meteor radar; neutral mesosphericwind; recurrent geomagnetic activity; tides</t>
  </si>
  <si>
    <t>We report an analysis of the response of tides in neutral atmospheric mesospheric winds to recurrent geomagnetic activity in 2005 over Antarctica. The mesospheric winds were observed by the Davis meteor and medium frequency radars (68.5 degrees S, 77.9 degrees E; magnetic latitude, 74.6 degrees S). The zonal component of the daily prevailing winds showed a westward increase as the geomagnetic activity increased, while the meridional prevailing winds did not show a clear response. The semidiurnal tides responded greatly to geomagnetic activity, with significant increases in amplitude. The zonal and meridional semidiurnal tides both showed a clear upward propagating phase but responded differently to geomagnetic activity. The amplitude of the meridional component of the diurnal tides increased significantly, while the zonal diurnal tidal amplitude showed no apparent change. These results indicate that geomagnetic activity can significantly influence mesospheric dynamics.</t>
  </si>
  <si>
    <t>[Yi, Wen; Xue, Xianghui; Zou, Zicheng; Chen, Tingdi; Dou, Xiankang] Univ Sci &amp; Technol China, Dept Geophys &amp; Planetary Sci, CAS Key Lab Geospace Environm, Hefei, Peoples R China; [Yi, Wen; Xue, Xianghui; Zou, Zicheng; Chen, Tingdi] Univ Sci &amp; Technol China, Sch Earth &amp; Space Sci, Mengcheng Natl Geophys Observ, Hefei, Peoples R China; [Reid, Iain M.] ATRAD Pty Ltd, Thebarton, SA, Australia; [Reid, Iain M.; Vincent, Robert A.] Univ Adelaide, Sch Phys Sci, Adelaide, SA, Australia; [Xue, Xianghui; Chen, Tingdi] CAS Ctr Excellence Comparat Planetol, Hefei, Peoples R China; [Murphy, Damian J.] Australian Antarctic Div, Kingston, Tas, Australia; [Wang, Geng] Harbin Inst Technol, Inst Space Sci &amp; Appl Technol, Shenzhen, Peoples R China; [Dou, Xiankang] Wuhan Univ, Wuhan, Peoples R China</t>
  </si>
  <si>
    <t>Chinese Academy of Sciences; University of Science &amp; Technology of China, CAS; Chinese Academy of Sciences; University of Science &amp; Technology of China, CAS; ATRAD Pty Ltd.; University of Adelaide; Australian Antarctic Division; Harbin Institute of Technology; Wuhan University</t>
  </si>
  <si>
    <t>Xue, XH (corresponding author), Univ Sci &amp; Technol China, Dept Geophys &amp; Planetary Sci, CAS Key Lab Geospace Environm, Hefei, Peoples R China.;Xue, XH (corresponding author), Univ Sci &amp; Technol China, Sch Earth &amp; Space Sci, Mengcheng Natl Geophys Observ, Hefei, Peoples R China.;Xue, XH (corresponding author), CAS Ctr Excellence Comparat Planetol, Hefei, Peoples R China.</t>
  </si>
  <si>
    <t>Dou, xiankang/M-9106-2013; Yi, Wen/M-4896-2019; Reid, Iain/B-5681-2012; Xue, Xianghui/S-5789-2019; Vincent, Robert/E-5450-2013</t>
  </si>
  <si>
    <t>Yi, Wen/0000-0003-3717-6811; Reid, Iain/0000-0003-2340-9047; Xue, Xianghui/0000-0002-4541-9900; Murphy, Damian/0000-0003-1738-5560; Vincent, Robert/0000-0001-6559-6544; Zou, Zicheng/0000-0001-8849-3898</t>
  </si>
  <si>
    <t>B-type Strategic Priority Program of CAS [XDB41000000]; National Natural Science Foundation of China [41774158, 41974174, 41831071, 41904135]; CNSA preresearch Project on Civil Aerospace Technologies [D020105]; Fundamental Research Funds for the Central Universities [WK2080000125]; China Postdoctoral Science Foundation [2019M652195]; Joint Open Fund of Mengcheng National Geophysical Observatory [MENGO-202009]; Open Research Project of Large Research Infrastructures of CAS; AAS project [2529, 2668, 4025]</t>
  </si>
  <si>
    <t>B-type Strategic Priority Program of CAS; National Natural Science Foundation of China(National Natural Science Foundation of China (NSFC)); CNSA preresearch Project on Civil Aerospace Technologies; Fundamental Research Funds for the Central Universities(Fundamental Research Funds for the Central Universities); China Postdoctoral Science Foundation(China Postdoctoral Science Foundation); Joint Open Fund of Mengcheng National Geophysical Observatory; Open Research Project of Large Research Infrastructures of CAS; AAS project</t>
  </si>
  <si>
    <t>This work is supported by the B-type Strategic Priority Program of CAS Grant No. XDB41000000, the National Natural Science Foundation of China (41774158, 41974174, 41831071 and 41904135), the CNSA preresearch Project on Civil Aerospace Technologies No. D020105, the Fundamental Research Funds for the Central Universities (WK2080000125), the China Postdoctoral Science Foundation (2019M652195), the Joint Open Fund of Mengcheng National Geophysical Observatory (MENGO-202009), and the Open Research Project of Large Research Infrastructures of CAS. Study on the interaction between low/mid-latitude atmosphere and ionosphere based on the Chinese Meridian Project. The authors also acknowledge support the provision of Davis meteor radar data by the Australian Antarctic Division. Operation of the Davis meteor radar was supported under AAS project 2529, 2668, and 4025.</t>
  </si>
  <si>
    <t>e2020GL089957</t>
  </si>
  <si>
    <t>10.1029/2020GL089957</t>
  </si>
  <si>
    <t>WOS:000623802900026</t>
  </si>
  <si>
    <t>Zheng, MJ; Adolphi, F; Sjolte, J; Aldahan, A; Possnert, G; Wu, MS; Chen, P; Muscheler, R</t>
  </si>
  <si>
    <t>Zheng, Minjie; Adolphi, Florian; Sjolte, Jesper; Aldahan, Ala; Possnert, Goran; Wu, Mousong; Chen, Peng; Muscheler, Raimund</t>
  </si>
  <si>
    <t>Solar Activity of the Past 100 Years Inferred From 10Be in Ice Cores-Implications for Long-Term Solar Activity Reconstructions</t>
  </si>
  <si>
    <t>Dye3; ice core; NEEM; neutron monitor data; seasonally resolved Be-10; solar reconstructions</t>
  </si>
  <si>
    <t>POLAR ICE; CLIMATE; GREENLAND; VARIABILITY; RECORD; FIELD; CYCLE; C-14</t>
  </si>
  <si>
    <t>Differences between Be-10 records from Greenland and Antarctica over the last 100 years have led to different conclusions about past changes in solar activity. The reasons for this disagreement remain unresolved. We analyze a seasonally resolved Be-10 record from a firn core (North Greenland Eemian Ice Drilling [NEEM] ice core project) in Northwestern Greenland for 1887-2002. By comparing the NEEM data to Be-10 data from the NGRIP and Dye3 ice cores, we find that the Dye3 data after 1958 are significantly lower. These low values lead to a normalization problem in solar reconstructions when connecting Be-10 variations to modern observations. Excluding these data strongly reduces the differences between solar reconstructions over the last 2,000 years based on Greenland and Antarctic Be-10 data. Furthermore, Be-10 records from polar regions and group sunspot numbers do not support a substantial increase in solar activity for the 1937-1950 period as proposed by previous extensions of the neutron monitor data.</t>
  </si>
  <si>
    <t>[Zheng, Minjie; Adolphi, Florian; Sjolte, Jesper; Muscheler, Raimund] Lund Univ, Dept Geol, Lund, Sweden; [Adolphi, Florian] Helmholtz Ctr Polar &amp; Marine Res, Alfred Wegener Inst, Bremerhaven, Germany; [Adolphi, Florian] Univ Bremen, Dept Geosci, Bremen, Germany; [Aldahan, Ala] United Arab Emirates Univ, Dept Geol, Al Ain, U Arab Emirates; [Possnert, Goran] Uppsala Univ, Tandem Lab, Uppsala, Sweden; [Wu, Mousong] Nanjing Univ, Int Inst Earth Syst Sci, Nanjing, Peoples R China; [Chen, Peng] Hohai Univ, Sch Earth Sci &amp; Engn, Nanjing, Peoples R China; [Chen, Peng] Hohai Univ, State Key Lab Hydrol Water Resources &amp; Hydraul En, Nanjing, Peoples R China</t>
  </si>
  <si>
    <t>Lund University; Helmholtz Association; Alfred Wegener Institute, Helmholtz Centre for Polar &amp; Marine Research; University of Bremen; United Arab Emirates University; Uppsala University; Nanjing University; Hohai University; Hohai University</t>
  </si>
  <si>
    <t>Zheng, MJ (corresponding author), Lund Univ, Dept Geol, Lund, Sweden.</t>
  </si>
  <si>
    <t>minjie.zheng@geol.lu.se</t>
  </si>
  <si>
    <t>Adolphi, Florian/0000-0003-0014-8753; Wu, Mousong/0000-0003-1141-3022; Zheng, Minjie/0000-0003-2111-9476; Muscheler, Raimund/0000-0003-2772-3631; Sjolte, Jesper/0000-0003-0870-5331</t>
  </si>
  <si>
    <t>China Scholarship Council (CSC) under grant CSC [201606710087]; Royal Physiographic Society of Lund; Swedish Research Council [Dnr: 2016-00218, Dnr: 2013-8421]; strategic research program of ModEling the Regional and Global Earth system (MERGE); UAEU through the UPAR fund; National Key Research and Development Program of China [2016YFA0600204]; National Natural Science Foundation of China [41901266]; Natural Science Foundation of Jiangsu Province [BK20190317]; Belgium (FNRS-CFB); Belgium (FWO); Canada (NRCan/GSC); China (CAS); Denmark (FIST); France (IPEV); France (CNRS/INSU); France (CEA); France (ANR); Germany (AWI); Iceland (RannIs); Japan (NIPR); South Korea (KOPRI); Netherlands (NWO/ALW); Sweden (VR); Switzerland (SNF); United Kingdom (NERC); USA (US NSF, Office of Polar Programs); EU Seventh Framework programs Past4Future and Water under the Ice</t>
  </si>
  <si>
    <t>China Scholarship Council (CSC) under grant CSC(China Scholarship Council); Royal Physiographic Society of Lund; Swedish Research Council(Swedish Research Council); strategic research program of ModEling the Regional and Global Earth system (MERGE); UAEU through the UPAR fund; National Key Research and Development Program of China; National Natural Science Foundation of China(National Natural Science Foundation of China (NSFC)); Natural Science Foundation of Jiangsu Province(Natural Science Foundation of Jiangsu Province);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South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Programs); EU Seventh Framework programs Past4Future and Water under the Ice</t>
  </si>
  <si>
    <t>Minjie Zheng is supported by the China Scholarship Council (CSC) under grant CSC no. 201606710087 (grant to Minjie Zheng) and the Royal Physiographic Society of Lund (2016, 2017, and 2018, grants to Minjie Zheng). This work was partially supported by the Swedish Research Council (Dnr: 2013-8421, grant to Raimund Muscheler). Florian Adolphi is supported by a grant of the Swedish Research Council (Dnr: 2016-00218). Jesper Sjolte is supported by the strategic research program of ModEling the Regional and Global Earth system (MERGE) hosted by the Faculty of Science at Lund University. Ala Aldahan acknowledges the UAEU through the UPAR funding. Mousong Wu is supported by the National Key Research and Development Program of China (2016YFA0600204), the National Natural Science Foundation of China (41901266), and the Natural Science Foundation of Jiangsu Province (BK20190317). The authors thank the many persons involved in logistics, drilling, and ice-core processing and analysis.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USA (US NSF, Office of Polar Programs) and the EU Seventh Framework programs Past4Future and Water under the Ice.</t>
  </si>
  <si>
    <t>e2020GL090896</t>
  </si>
  <si>
    <t>10.1029/2020GL090896</t>
  </si>
  <si>
    <t>WOS:000623802900066</t>
  </si>
  <si>
    <t>Kirchgaessner, A; King, JC; Anderson, PS</t>
  </si>
  <si>
    <t>Kirchgaessner, Amelie; King, John C.; Anderson, Philip S.</t>
  </si>
  <si>
    <t>The Impact of Fohn Conditions Across the Antarctic Peninsula on Local Meteorology Based on AWS Measurements</t>
  </si>
  <si>
    <t>HEMISPHERE ANNULAR MODE; POLAR WEATHER RESEARCH; MCMURDO DRY VALLEYS; C ICE SHELF; CLIMATE-CHANGE; SURFACE MELT; FOEHN WINDS; PART I; TEMPERATURES; SYSTEM</t>
  </si>
  <si>
    <t>Fohn winds are warm, strong, downslope winds on the lee side of mountains, which can last from several hours to a few days. Recently Fohn conditions over the ice shelves on the eastern side of the Antarctic Peninsula (AP) mountains have attracted particular interest in the polar science community. Here, on the Larsen ice shelves (LIS) they provide atmospheric conditions for significant warming over the ice shelf which are thought to have clearly contributed to the collapse of Larsen A and B ice shelves in 1995 and 2002, respectively. We examine the representation of Fohn conditions as observed by measurements at an Automatic Weather Station (AWS) located on Cole Peninsula (CP) on the east of the AP mountain range in 2011. We introduce criteria to identify Fohn conditions and analyze the meteorological conditions at the AWS location with regard to the influence of Fohn overall, and on a seasonal and monthly basis. We consult two cases to highlight the seasonally different effects Fohn can have. We also compare our findings with data obtained in other studies, e.g., an AWS in a comparable location at Flask Glacier (FG). Measurements obtained at a crest AWS on the Avery Plateau (AV), and the analysis of conditions upstream using the Froude number help to put observations at CP into a wider context. Most importantly our data show that Fohn conditions can raise the air temperature to above freezing, and thus trigger melt/sublimation even in winter.</t>
  </si>
  <si>
    <t>[Kirchgaessner, Amelie; King, John C.] British Antarctic Survey, Atmosphere Ice &amp; Climate, Cambridge, England; [Anderson, Philip S.] Scottish Assoc Marine Sci, Marine Technol, Oban, Argyll, Scotland</t>
  </si>
  <si>
    <t>UK Research &amp; Innovation (UKRI); Natural Environment Research Council (NERC); NERC British Antarctic Survey; UHI Millennium Institute</t>
  </si>
  <si>
    <t>Kirchgaessner, A (corresponding author), British Antarctic Survey, Atmosphere Ice &amp; Climate, Cambridge, England.</t>
  </si>
  <si>
    <t>amelie.kirchgaessner@bas.ac.uk</t>
  </si>
  <si>
    <t>Kirchgaessner, Amelie/JGL-9010-2023</t>
  </si>
  <si>
    <t>Kirchgaessner, Amelie/0000-0001-7483-3652; King, John/0000-0003-3315-7568</t>
  </si>
  <si>
    <t>UK Natural Environment Research Council (NERC) [NE/G014124/1]; NERC [NE/G014124/1, bas0100032] Funding Source: UKRI</t>
  </si>
  <si>
    <t>UK Natural Environment Research Council (NERC)(UK Research &amp; Innovation (UKRI)Natural Environment Research Council (NERC)); NERC(UK Research &amp; Innovation (UKRI)Natural Environment Research Council (NERC))</t>
  </si>
  <si>
    <t>The work reported in this paper was supported by the UK Natural Environment Research Council (NERC) under Grant NE/G014124/1 Orographic Flows and the Climate of the Antarctic Peninsula. Also a big Thank You to the team at Rothera for help with deployment, maintenance, and recovery of the AWSs at Cole Peninsula and Avery Plateau.</t>
  </si>
  <si>
    <t>FEB 27</t>
  </si>
  <si>
    <t>e2020JD033748</t>
  </si>
  <si>
    <t>10.1029/2020JD033748</t>
  </si>
  <si>
    <t>QQ2IM</t>
  </si>
  <si>
    <t>WOS:000624348900049</t>
  </si>
  <si>
    <t>López-Ortega, MA; Chavarría-Hernández, N; López-Cuellar, MD; Rodríguez-Hernández, AI</t>
  </si>
  <si>
    <t>Alejandra Lopez-Ortega, Mayra; Chavarria-Hernandez, Norberto; del Rocio Lopez-Cuellar, Ma; Ines Rodriguez-Hernandez, Adriana</t>
  </si>
  <si>
    <t>A review of extracellular polysaccharides from extreme niches: An emerging natural source for the biotechnology. From the adverse to diverse!</t>
  </si>
  <si>
    <t>Thermophiles; Psychrophiles; Halophiles</t>
  </si>
  <si>
    <t>ARCHAEON THERMOCOCCUS-LITORALIS; LAKE CAPE-RUSSELL; ANTARCTIC BACTERIUM; IN-VITRO; EXOPOLYSACCHARIDE PRODUCTION; PSYCHROPHILIC BACTERIUM; HALOMONAS-SMYRNENSIS; POLYMERIC SUBSTANCES; HALOPHILIC ARCHAEON; SP NOV.</t>
  </si>
  <si>
    <t>Every year, new organisms that survive and colonize adverse environments are discovered and isolated. Those organisms, called extremophiles, are distributed throughout the world, both in aquatic and terrestrial environments, such as sulfurous marsh waters, hydrothermal springs, deep waters, volcanos, terrestrial hot springs, marine saltern, salt lakes, among others. According to the ecosystem inhabiting, extremophiles are categorized as thermophiles, psychrophiles, halophiles, acidophiles, alkalophilic, piezophiles, saccharophiles, metallophiles and polyextremophiles. They have developed chemical adaptation strategies that allow them to maintain their cellular integrity, altering physiology or improving repair capabilities; one of them is the biosynthesis of extracellular polysaccharides (EPS), which constitute a slime and hydrated matrix that keep the cells embedded, protecting from environmental stress (desiccation, salinity, temperature, radiation). EPS have gained interest; they are explored by their unique properties such as structural complexity, biodegradability, biological activities, and biocompatibility. Here, we present a review concerning the biosynthesis, characterization, and potential EPS applications produced by extremophile microorganisms, namely, thermophiles, halophiles, and psychrophiles. A bibliometric analysis was conducted, considering research articles published within the last two decades. Besides, an overview of the culture conditions used for extremophiles, the main properties and multiple potential applications of their EPS is also presented. ? 2021 Elsevier B.V. All rights reserved.</t>
  </si>
  <si>
    <t>[Alejandra Lopez-Ortega, Mayra; Chavarria-Hernandez, Norberto; del Rocio Lopez-Cuellar, Ma; Ines Rodriguez-Hernandez, Adriana] Univ Autonoma Estado Hidalgo, Inst Ciencias Agr, Cuerpo Acad Notecnol Agroalimentaria, Av Univ Km 1, Tulandngo De Bravo 43600, Hidalgo, Mexico</t>
  </si>
  <si>
    <t>Universidad Autonoma del Estado de Hidalgo</t>
  </si>
  <si>
    <t>López-Ortega, MA; Rodríguez-Hernández, AI (corresponding author), Univ Autonoma Estado Hidalgo, Inst Ciencias Agr, Cuerpo Acad Notecnol Agroalimentaria, Av Univ Km 1, Tulandngo De Bravo 43600, Hidalgo, Mexico.</t>
  </si>
  <si>
    <t>malopez.uaeh@gmail.com; inesr@uaeh.edu.mx</t>
  </si>
  <si>
    <t>Hernández, Adriana Inés/N-4526-2018; Lopez-Cuellar, Madel/AAL-8895-2020; López-Ortega, Mayra Alejandra/AAV-6236-2021; Hernandez, Norberto Chavarria/GPW-7534-2022; López-Ortega, Mayra Alejandra/AAX-8369-2020</t>
  </si>
  <si>
    <t>Lopez-Cuellar, Madel/0000-0002-0672-0805; Hernandez, Norberto Chavarria/0000-0003-3960-7224; López-Ortega, Mayra Alejandra/0000-0002-8199-9279; Rodriguez-Hernandez, Adriana Ines/0000-0001-6664-9265</t>
  </si>
  <si>
    <t>PRODEP-SEP, Mexico [511-6/2019-14891]; CONACYT-Mexico [238359, 230138, 269805]</t>
  </si>
  <si>
    <t>PRODEP-SEP, Mexico; CONACYT-Mexico(Consejo Nacional de Ciencia y Tecnologia (CONACyT))</t>
  </si>
  <si>
    <t>This work was supported by PRODEP-SEP, Mexico [grant number 511-6/2019-14891]; and CONACYT-Mexico [238359], [230138] and [269805].</t>
  </si>
  <si>
    <t>10.1016/j.ijbiomac.2021.02.101</t>
  </si>
  <si>
    <t>RN5NA</t>
  </si>
  <si>
    <t>WOS:000640396600015</t>
  </si>
  <si>
    <t>Laffin, MK; Zender, CS; Singh, S; Van Wessem, JM; Smeets, CJPP; Reijmer, CH</t>
  </si>
  <si>
    <t>Laffin, M. K.; Zender, C. S.; Singh, S.; Van Wessem, J. M.; Smeets, C. J. P. P.; Reijmer, C. H.</t>
  </si>
  <si>
    <t>Climatology and Evolution of the Antarctic Peninsula Fohn Wind-Induced Melt Regime From 1979-2018</t>
  </si>
  <si>
    <t>Fö hn wind; ice shelf; surface energy budget; surface melt; Winter melt</t>
  </si>
  <si>
    <t>C ICE SHELF; SURFACE MELT</t>
  </si>
  <si>
    <t>Warm and dry fohn winds on the Antarctic Peninsula (AP) cause surface melt that can destabilize vulnerable ice shelves. Topographic funneling of these downslope winds through mountain passes and canyons can produce localized wind-induced melt that is difficult to quantify without direct measurements. Our Fohn Detection Algorithm (FohnDA) identifies the surface fohn signature that causes melt from measurement by 12 Automatic Weather Stations on the AP, that train a machine learning model to detect fohn in 5 km Regional Atmospheric Climate Model 2 (RACMO2.3p2) simulations and in the ERA5 reanalysis model. We estimate the fraction of AP surface melt attributed to fohn and possibly katabatic winds and identify the drivers of melt, temporal variability, and long-term trends and evolution from 1979-2018. We find that fohn wind-induced melt accounts for 3.1% of the total melt on the AP and can be as high at 18% close to the mountains where the winds funnel through mountain canyons. Fohn-induced surface melt does not significantly increase from 1979-2018, despite a warmer atmosphere and more positive Southern Annular Mode. However, a significant increase (+0.1 Gt y-1) and subsequent decrease/stabilization occur in 1979-1998 and 1999-2018, consistent with the AP warming and cooling trends during the same time periods. Fohn occurrence, more than fohn strength, drives the annual variability in fohn-induced melt. Long-term fohn-induced melt trends and evolution are attributable to seasonal changes in fohn occurrence, with increased occurrence in summer, and decreased occurrence in fall, winter, and early spring over the past 20 years.</t>
  </si>
  <si>
    <t>[Laffin, M. K.; Zender, C. S.] Univ Calif Irvine, Dept Earth Syst Sci, Irvine, CA 92717 USA; [Zender, C. S.; Singh, S.] Univ Calif Irvine, Dept Comp Sci, Irvine, CA 92717 USA; [Van Wessem, J. M.; Smeets, C. J. P. P.; Reijmer, C. H.] Univ Utrecht, Inst Marine &amp; Atmospher Res Utrecht, Utrecht, Netherlands</t>
  </si>
  <si>
    <t>University of California System; University of California Irvine; University of California System; University of California Irvine; Utrecht University</t>
  </si>
  <si>
    <t>Laffin, MK (corresponding author), Univ Calif Irvine, Dept Earth Syst Sci, Irvine, CA 92717 USA.</t>
  </si>
  <si>
    <t>mlaffin@uci.edu</t>
  </si>
  <si>
    <t>Reijmer, Carleen H/G-8736-2011; Zender, Charles S/D-4485-2012</t>
  </si>
  <si>
    <t>Reijmer, Carleen H/0000-0001-8299-3883; Zender, Charles S/0000-0003-0129-8024; Laffin, Matthew/0000-0002-6079-336X; Singh, Sameer/0000-0003-0621-6323</t>
  </si>
  <si>
    <t>National Science Foundation [NRT-1633631]; NASA AIST [80NSSC17K0540]; DOE BER ESM program [DE-SC0019278, LLNL-B639667, LANL-520117]; SciDAC program [DE-SC0019278, LLNL-B639667, LANL-520117]; PROTECT; NWO (Netherlands Organisation for Scientific Research) VENI grant [VI.Veni.192.083]; U.S. Department of Energy (DOE) [DE-SC0019278] Funding Source: U.S. Department of Energy (DOE)</t>
  </si>
  <si>
    <t>National Science Foundation(National Science Foundation (NSF)); NASA AIST; DOE BER ESM program(United States Department of Energy (DOE)); SciDAC program; PROTECT; NWO (Netherlands Organisation for Scientific Research) VENI grant(Netherlands Organization for Scientific Research (NWO)); U.S. Department of Energy (DOE)(United States Department of Energy (DOE))</t>
  </si>
  <si>
    <t>MKL was supported by the National Science Foundation (NRT-1633631) and NASA AIST (80NSSC17K0540). CSZ gratefully acknowledges support from the DOE BER ESM and SciDAC programs (DE-SC0019278, LLNL-B639667, LANL-520117). JMVW acknowledges support by PROTECT and was partly funded by the NWO (Netherlands Organisation for Scientific Research) VENI grant VI.Veni.192.083. We thank the Institute for Marine and Atmospheric Research (IMAU) at Utrecht University, the Antarctic Meteorological Research Center (AMRC) at the University of Wisconsin-Madison, and National Snow and Ice Data Center (NSIDC) for providing Automatic Weather Station data. We thank the European Center for Medium-Range Weather Forecasts (ECMWF) for providing ERA5 reanalysis data and the Institute for Marine and Atmospheric research Utrecht (IMAU) for providing RACMO2 output. We also thank the reviewers, whose suggestions greatly improved the manuscript. ERA5 reanalysis data are freely available through the European Center for Medium-Range Weather Forecasts (https://www.ecmwf.int/en/forecasts/datasets/reanalysis-datasets/era5).</t>
  </si>
  <si>
    <t>e2020JD033682</t>
  </si>
  <si>
    <t>10.1029/2020JD033682</t>
  </si>
  <si>
    <t>WOS:000624348900046</t>
  </si>
  <si>
    <t>Mace, GG; Protat, A; Humphries, RS; Alexander, SP; McRobert, IM; Ward, J; Selleck, P; Keywood, M; McFarquhar, GM</t>
  </si>
  <si>
    <t>Mace, Gerald G.; Protat, Alain; Humphries, Ruhi S.; Alexander, Simon P.; McRobert, Ian M.; Ward, Jason; Selleck, Paul; Keywood, Melita; McFarquhar, Greg M.</t>
  </si>
  <si>
    <t>Southern Ocean Cloud Properties Derived From CAPRICORN and MARCUS Data</t>
  </si>
  <si>
    <t>cloud aerosol interaction; cloud droplet number concentration; cloud remote sensing; remote sensing; Southern Ocean; Southern Ocean clouds</t>
  </si>
  <si>
    <t>The properties of Southern Ocean (SO) liquid phase non precipitating clouds (hereafter clouds) are examined using shipborne data collected during the Measurements of Aerosols, Radiation and Clouds over the Southern Ocean and the Clouds Aerosols Precipitation Radiation and atmospheric Composition Over the SoutheRN ocean I and II campaigns that took place south of Australia during Autumn 2016 and Summer 2017-2018. Cloud properties are derived using data from W-band radars, lidars, and microwave radiometers using an optimal estimation algorithm. The SO clouds tended to have larger liquid water paths (LWP, 115 +/- 117 g m(-2)), smaller effective radii (r(e), 8.7 +/- 3 mu m), and higher number concentrations (N-d, 90 +/- 107 cm(-3)) than typical values of eastern ocean basin stratocumulus. The clouds demonstrated a tendency for the LWP to increase with N-d presumably due to precipitation suppression up to N-d of approximately 100 cm(-3) when mean LWP decreased with increasing N-d. Due to higher optical depth, cloud albedos were less susceptible to changes in N-d compared to subtropical stratocumulus. The highest latitude clouds of the datasets, observed along and near the Antarctic coast, presented a distinctly bimodal character. One mode had the properties of marine clouds further north. The other mode occurred in an aerosol environment characterized by high cloud condensation nuclei concentrations and elevated sulfate aerosol without obvious continental aerosol markers. These regions of higher cloud condensation nuclei tended to have higher N-d, smaller r(e) and higher LWP suggesting sensitivity of cloud properties to seasonal biogenic aerosol production in the high latitude SO.</t>
  </si>
  <si>
    <t>[Mace, Gerald G.] Univ Utah, Dept Atmospher Sci, Salt Lake City, UT 84112 USA; [Protat, Alain] Australian Bur Meteorol, Melbourne, Vic, Australia; [Protat, Alain; Humphries, Ruhi S.; Alexander, Simon P.] Univ Tasmania, Inst Marine &amp; Antarctic Studies, Australian Antarctic Partnership Program, Hobart, Tas, Australia; [Humphries, Ruhi S.; Selleck, Paul; Keywood, Melita] CSIRO Oceans &amp; Atmosphere, Climate Sci Ctr, Aspendale, Vic, Australia; [Alexander, Simon P.] Australian Antarctic Div, Kingston, Tas, Australia; [McRobert, Ian M.] CSIRO Oceans &amp; Atmosphere, Engn &amp; Technol Program, Hobart, Tas, Australia; [Ward, Jason] CSIRO, Climate Sci Ctr, Atmospher Composit &amp; Chem, Aerosols Oceans &amp; Atmosphere, Aspendale, Vic, Australia; [McFarquhar, Greg M.] Univ Oklahoma, Cooperat Inst Mesoscale Meteorol Studies CIMMS, Norman, OK 73019 USA; [McFarquhar, Greg M.] Univ Oklahoma, Sch Meteorol, Norman, OK 73019 USA</t>
  </si>
  <si>
    <t>Utah System of Higher Education; University of Utah; Bureau of Meteorology - Australia; University of Tasmania; Commonwealth Scientific &amp; Industrial Research Organisation (CSIRO); Australian Antarctic Division; Commonwealth Scientific &amp; Industrial Research Organisation (CSIRO); Commonwealth Scientific &amp; Industrial Research Organisation (CSIRO); University of Oklahoma System; University of Oklahoma - Norman; University of Oklahoma System; University of Oklahoma - Norman</t>
  </si>
  <si>
    <t>Mace, GG (corresponding author), Univ Utah, Dept Atmospher Sci, Salt Lake City, UT 84112 USA.</t>
  </si>
  <si>
    <t>jay.mace@utah.edu</t>
  </si>
  <si>
    <t>Humphries, Ruhi S/M-4074-2018; McFarquhar, Greg/R-9154-2018; keywood, melita/C-5139-2011</t>
  </si>
  <si>
    <t>Humphries, Ruhi S/0000-0002-4864-5321; McFarquhar, Greg/0000-0003-0950-0135; keywood, melita/0000-0001-9953-6806; McRobert, Ian/0000-0003-2130-257X; Alexander, Simon/0000-0001-6823-8857</t>
  </si>
  <si>
    <t>BER Award [DE-SC0018995]; NASA [80NSSC19K1251]; Australian Government as part of the Antarctic Science Collaboration Initiative program; Australian Antarctic Division [4292, 4387]; Australian Government; U.S. Department of Energy; Marine National Facility; U.S. Department of Energy (DOE) [DE-SC0018995] Funding Source: U.S. Department of Energy (DOE)</t>
  </si>
  <si>
    <t>BER Award; NASA(National Aeronautics &amp; Space Administration (NASA)); Australian Government as part of the Antarctic Science Collaboration Initiative program(Australian Government); Australian Antarctic Division; Australian Government(Australian Government); U.S. Department of Energy(United States Department of Energy (DOE)); Marine National Facility(Commonwealth Scientific &amp; Industrial Research Organisation (CSIRO)); U.S. Department of Energy (DOE)(United States Department of Energy (DOE))</t>
  </si>
  <si>
    <t>This research was supported in part by BER Award DE-SC0018995 (GM and RH) and NASA grants 80NSSC19K1251 (GM). 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(AP, SA, and RH) Technical, logistical, and ship support for MARCUS were provided by the Australian Antarctic Division through Australia Antarctic Science projects 4292 and 4387 and we thank Steven Whiteside, Lloyd Symonds, Rick van den Enden, Peter de Vries, Chris Young and Chris Richards for assistance. The authors would like to thank the staff of the Marine National Facility for providing the infrastructure and logistical and financial support for the voyages of the RV Investigator. Funding for these voyages was provided by the Australian Government and the U.S. Department of Energy.</t>
  </si>
  <si>
    <t>e2020JD033368</t>
  </si>
  <si>
    <t>10.1029/2020JD033368</t>
  </si>
  <si>
    <t>WOS:000624348900013</t>
  </si>
  <si>
    <t>Paarman, S; Vermeulen, E; Seyboth, E; Thornton, M; Findlay, K</t>
  </si>
  <si>
    <t>Paarman, S.; Vermeulen, E.; Seyboth, E.; Thornton, M.; Findlay, K.</t>
  </si>
  <si>
    <t>Abundance and distribution of Antarctic blue whales Balaenoptera musculus intermedia off the Queen Maud Land coast of Antarctica</t>
  </si>
  <si>
    <t>baleen whale; distance sampling; endangered species; Southern Ocean; vessel survey; whale conservation</t>
  </si>
  <si>
    <t>The Antarctic blue whale Balaenoptera musculus intermedia was hunted to near extinction in the twentieth century. Current data on the abundance and distribution of the species are lacking owing to the difficulty and expense of surveys under adverse weather conditions in open-ocean habitats, and to the small population size. The most recently accepted global abundance estimate, based on the middle survey (1997/1998) of three circumpolar Antarctic surveys conducted between 1991/1992 and 2003/2004, was less than 1% of the original pre-whaling population size. The present study used a visual line-transect survey off the Queen Maud Land coast of Antarctica, in an area between 0 degrees and 18 degrees E and south of 67 degrees S, in January 2014, to estimate the abundance of Antarctic blue whales in this area. Effort-accounted densities of sightings averaged 13.3 individuals per 1 000 nautical miles of survey effort (CV = 0.26) and reinforce recent findings that the area has significantly higher densities than averaged in circumpolar surveys (0.17-1.48 per 1 000 nautical miles). Distance sampling resulted in a population density estimate of 0.019 whales nautical-mile(-2) (CV = 0.24) and an estimated abundance of 1 026 Antarctic blue whales (CV = 0.20, 95% CI 632-1 450) in the surveyed area. Obtaining such current estimates of abundance is crucial for assessment of the conservation status of the Antarctic blue whale population and for monitoring its recovery.</t>
  </si>
  <si>
    <t>[Paarman, S.; Vermeulen, E.; Thornton, M.; Findlay, K.] Univ Pretoria, Mammal Res Inst, Dept Zool &amp; Entomol, Whale Unit, Pretoria, South Africa; [Seyboth, E.; Findlay, K.] Cape Peninsula Univ Technol, Fac Appl Sci, Ctr Sustainable Oceans, Cape Town, South Africa</t>
  </si>
  <si>
    <t>University of Pretoria; Cape Peninsula University of Technology</t>
  </si>
  <si>
    <t>Paarman, S (corresponding author), Univ Pretoria, Mammal Res Inst, Dept Zool &amp; Entomol, Whale Unit, Pretoria, South Africa.</t>
  </si>
  <si>
    <t>paarman@global.co.za</t>
  </si>
  <si>
    <t>Vermeulen, Els/AAW-2716-2020; Findlay, Ken/A-5766-2019</t>
  </si>
  <si>
    <t>Vermeulen, Els/0000-0002-3667-1290; Seyboth, Elisa/0000-0002-1506-0861; Findlay, Ken/0000-0001-7154-8805</t>
  </si>
  <si>
    <t>South African National Antarctic Programme (SANAP)</t>
  </si>
  <si>
    <t>The researchers thank the captain and crew (particularly the chief mate, bosun and deck crew) of the SA Agulhas II for their dedicated contribution to the success of this study. We thank team members Fannie Shabangu, Kirsty Venter, Ian Thompson and Ove Fabriciussen for their dedicated assistance in the field, as well as the UCT Oceanography team for able observer assistance in conducting the sighting survey. Loan of equipment from the Branch: Oceans and Coasts of the Department of Environment, Forestry and Fisheries (DEFF) is gratefully acknowledged, while the Southern Ocean Research Partnership and the International Whaling Commission Secretariat are thanked for information utilised in cruise planning. The South African National Antarctic Programme (SANAP) is acknowledged for funding of the South African Blue Whale Project, and DEFF is acknowledged for all assistance in cruise planning and execution.</t>
  </si>
  <si>
    <t>10.2989/1814232X.2020.1864471</t>
  </si>
  <si>
    <t>WOS:000622317600001</t>
  </si>
  <si>
    <t>Borsetti, S; Hollyman, PR; Munroe, D</t>
  </si>
  <si>
    <t>Borsetti, S.; Hollyman, P. R.; Munroe, D.</t>
  </si>
  <si>
    <t>Using a sclerochronological approach to determine a climate-growth relationship for waved whelk, Buccinum undatum, in the US Mid-Atlantic</t>
  </si>
  <si>
    <t>ESTUARINE COASTAL AND SHELF SCIENCE</t>
  </si>
  <si>
    <t>Statolith; Buccinum undatum; Growth; Mixed effects modeling; Temperature</t>
  </si>
  <si>
    <t>COMMON WHELK; HARVESTED POPULATIONS; REPRODUCTIVE-CYCLE; AGE-DETERMINATION; L GASTROPODA; EVOLUTION; FISH; PREDATION; SIZE; VULNERABILITY</t>
  </si>
  <si>
    <t>Using growth rings observed in statoliths, the size-at-age relationship was modelled for waved whelk (Buccinum undatum) populations within the Mid-Atlantic Bight. A total of 45 sites in the Mid-Atlantic were sampled between 2016 and 2019 using a scallop dredge, and a subset of the whelk collected were aged (n = 318). Lab-reared individuals and back-calculation methods were used to fill missing juvenile observations. The Mid-Atlantic Bight population appears to differ in the fit of growth curves, compared to other assessed populations, due to a timing difference in hatching. Growth curves for whelk from the Mid-Atlantic Bight show that maturity is reached between 4 and 6 years of age. A statolith chronology spanning a 10-year period was developed using a mixed-effects modeling approach. The chronology was used to explore the influence of temperature variation on growth during ecologically relevant periods. Growth increased with higher annual temperatures however specific seasonal bottom temperature had varying effects on growth. Increasing bottom temperature during summer, the anticipated egg-development and hatching period in this region, resulted in an age-dependent decline in growth with a positive effect on younger whelk and a negative effect on older whelk growth. Higher summer temperatures provide larger time-windows for growth, facilitating increased growth in early life stages. It appears that whelk in this region possess sufficient growth plasticity to adapt to warmer conditions throughout the year, but increased warming during specific seasons may depress growth in older individuals, potentially affecting fitness and population persistence. Understanding these temperature-growth dynamics are critical for disentangling the effects of climate change on whelk growth, allowing for population predictions in the future.</t>
  </si>
  <si>
    <t>[Borsetti, S.; Munroe, D.] Rutgers State Univ, Haskin Shellfish Res Lab, 6959 Miller Ave, Port Norris, NJ 08349 USA; [Hollyman, P. R.] British Antarctic Survey, Madingley Rd, Cambridge CB3 0ET, England</t>
  </si>
  <si>
    <t>Rutgers University System; Rutgers University New Brunswick; UK Research &amp; Innovation (UKRI); Natural Environment Research Council (NERC); NERC British Antarctic Survey</t>
  </si>
  <si>
    <t>Borsetti, S (corresponding author), Rutgers State Univ, Haskin Shellfish Res Lab, 6959 Miller Ave, Port Norris, NJ 08349 USA.</t>
  </si>
  <si>
    <t>sarahbor@hsrl.rutgers.edu</t>
  </si>
  <si>
    <t>Hollyman, Philip/0000-0003-2665-5075; Borsetti, Sarah/0000-0002-3985-0294; Munroe, Daphne/0000-0002-4388-7882</t>
  </si>
  <si>
    <t>NOAA Saltonstall-Kennedy Grant Program [NA14NMF4270050]; NOAA Sea Scallop Research Set Aside [NA16NMF4540043]; NERC [bas0100035] Funding Source: UKRI</t>
  </si>
  <si>
    <t>NOAA Saltonstall-Kennedy Grant Program(National Oceanic Atmospheric Admin (NOAA) - USA); NOAA Sea Scallop Research Set Aside(National Oceanic Atmospheric Admin (NOAA) - USA); NERC(UK Research &amp; Innovation (UKRI)Natural Environment Research Council (NERC))</t>
  </si>
  <si>
    <t>This project was partially funded by NOAA Saltonstall-Kennedy Grant Program [Grant Number: NA14NMF4270050], and by NOAA Sea Scallop Research Set Aside [Grant Number: NA16NMF4540043].</t>
  </si>
  <si>
    <t>ACADEMIC PRESS LTD- ELSEVIER SCIENCE LTD</t>
  </si>
  <si>
    <t>24-28 OVAL RD, LONDON NW1 7DX, ENGLAND</t>
  </si>
  <si>
    <t>0272-7714</t>
  </si>
  <si>
    <t>1096-0015</t>
  </si>
  <si>
    <t>ESTUAR COAST SHELF S</t>
  </si>
  <si>
    <t>Estuar. Coast. Shelf Sci.</t>
  </si>
  <si>
    <t>MAY 5</t>
  </si>
  <si>
    <t>10.1016/j.ecss.2021.107255</t>
  </si>
  <si>
    <t>TY8CT</t>
  </si>
  <si>
    <t>WOS:000684008000007</t>
  </si>
  <si>
    <t>King, AJ; Schofield, PF; Russell, SS</t>
  </si>
  <si>
    <t>King, A. J.; Schofield, P. F.; Russell, S. S.</t>
  </si>
  <si>
    <t>Thermal alteration of CM carbonaceous chondrites: Mineralogical changes and metamorphic temperatures</t>
  </si>
  <si>
    <t>Chondrites; Aqueous alteration; Thermal metamorphism; Asteroids; Ryugu; Bennu</t>
  </si>
  <si>
    <t>The CM carbonaceous chondrite meteorites provide a record of low temperature (&lt;150 degrees C) aqueous reactions in the early solar system. A number of CM chondrites also experienced short-lived, post-hydration thermal metamorphism at temperatures of similar to 200 degrees C to &gt;750 degrees C. The exact conditions of thermal metamorphism and the relationship between the unheated and heated CM chondrites are not well constrained but are crucial to understanding the formation and evolution of hydrous asteroids. Here we have used position-sensitive-detector X-ray diffraction (PSD-XRD), thermogravimetric analysis (TGA) and transmission infrared (IR) spectroscopy to characterise the mineralogy and water contents of 14 heated CM and ungrouped carbonaceous chondrites. We show that heated CM chondrites underwent the same degree of aqueous alteration as the unheated CMs, however upon thermal metamorphism their mineralogy initially (300-500 degrees C) changed from hydrated phyllosilicates to a dehydrated amorphous phyllosilicate phase. At higher temperatures (&gt;500 degrees C) we observe recrystallisation of olivine and Fe-sulphides and the formation of metal. Thermal metamorphism also caused the water contents of heated CM chondrites to decrease from similar to 13 wt% to similar to 3 wt% and a subsequent reduction in the intensity of the 3 mu m feature in IR spectra. We estimate that the heated CM chondrites have lost similar to 15 - &gt;65% of the water they contained at the end of aqueous alteration. If impacts were the main cause of metamorphism, this is consistent with shock pressures of similar to 20-50 GPa. However, not all heated CM chondrites retain shock features suggesting that some were instead heated by solar radiation. Evidence from the Hayabusa2 and ORSIRS-REx missions suggest that dehydrated materials may be common on the surfaces of primitive asteroids and our results will support upcoming analysis of samples returned from asteroids Ryugu and Bennu. (C) 2021 Elsevier Ltd. All rights reserved.</t>
  </si>
  <si>
    <t>[King, A. J.; Schofield, P. F.; Russell, S. S.] Nat Hist Museum, Dept Earth Sci, Planetary Mat Grp, Cromwell Rd, London SW7 5BD, England; [King, A. J.] Open Univ, Sch Phys Sci, Walton Hall, Milton Keynes MK7 6AA, Bucks, England</t>
  </si>
  <si>
    <t>Natural History Museum London; Open University - UK</t>
  </si>
  <si>
    <t>King, AJ (corresponding author), Nat Hist Museum, Dept Earth Sci, Planetary Mat Grp, Cromwell Rd, London SW7 5BD, England.</t>
  </si>
  <si>
    <t>a.king@nhm.ac.uk</t>
  </si>
  <si>
    <t>Russell, Sara/0000-0001-5531-7847; King, Ashley/0000-0001-6113-5417; Schofield, Paul/0000-0003-0902-0588</t>
  </si>
  <si>
    <t>NSF; NASA; Science and Technology Facilities Council (STFC), UK [ST/M00094X/1, ST/R000727/1]; UK Research and Innovation [MR/T020261/1]; FLF [MR/T020261/1] Funding Source: UKRI</t>
  </si>
  <si>
    <t>NSF(National Science Foundation (NSF)); NASA(National Aeronautics &amp; Space Administration (NASA)); Science and Technology Facilities Council (STFC), UK(UK Research &amp; Innovation (UKRI)Science &amp; Technology Facilities Council (STFC)); UK Research and Innovation(UK Research &amp; Innovation (UKRI)); FLF</t>
  </si>
  <si>
    <t>We would like to thank the Natural History Museum (NHM), London, and the National Institute of Polar Research (NIPR), Japan, for providing samples analysed in this study. US Antarctic meteorite samples are recovered by the Antarctic Search for Meteorites (ANSMET) program which has been funded by NSF and NASA, and characterised and curated by the Department of Mineral Sciences of the Smithsonian Institution and Astromaterials Curation Office at NASA Johnson Space Center. Jens Najorka and Rachel Norman are thanked for assistance with the XRD and TGA analyses, respectively. The IR spectra were acquired with the help of Gianfelice Cinque, Mark Frogley and Natasha Stephen during experiments SM9614 and SM18213 at Diamond Light Source, UK. Finally, we would like to thank Tomoki Nakamura, Chris Haberle, an anonymous reviewer, and the associate editor Pierre Beck for their insightful comments that significantly improved this manuscript. This work was funded by the Science and Technology Facilities Council (STFC), UK, through grants ST/M00094X/1 and ST/R000727/1, and UK Research and Innovation grant MR/T020261/1.</t>
  </si>
  <si>
    <t>10.1016/j.gca.2021.02.011</t>
  </si>
  <si>
    <t>QV3NS</t>
  </si>
  <si>
    <t>WOS:000627882600010</t>
  </si>
  <si>
    <t>Neuder, M; Bradley, E; Dlugokencky, E; White, JWC; Garland, J</t>
  </si>
  <si>
    <t>Neuder, Michael; Bradley, Elizabeth; Dlugokencky, Edward; White, James W. C.; Garland, Joshua</t>
  </si>
  <si>
    <t>Detection of local mixing in time-series data using permutation entropy</t>
  </si>
  <si>
    <t>PHYSICAL REVIEW E</t>
  </si>
  <si>
    <t>ISOTOPES</t>
  </si>
  <si>
    <t>Mixing of neighboring data points in a sequence is a common, but understudied, effect in physical experiments. This can occur in the measurement apparatus (if material from multiple time points is pulled into a measurement chamber simultaneously, for instance) or the system itself, e.g., via diffusion of isotopes in an ice sheet. We propose a model-free technique to detect this kind of local mixing in time-series data using an information-theoretic technique called permutation entropy. By varying the temporal resolution of the calculation and analyzing the patterns in the results, we can determine whether the data are mixed locally, and on what scale. This can be used by practitioners to choose appropriate lower bounds on scales at which to measure or report data. After validating this technique on several synthetic examples, we demonstrate its effectiveness on data from a chemistry experiment, methane records from Mauna Loa, and an Antarctic ice core.</t>
  </si>
  <si>
    <t>[Neuder, Michael; Bradley, Elizabeth] Univ Colorado, Dept Comp Sci, Boulder, CO 80309 USA; [Dlugokencky, Edward] NOAA, Boulder, CO 80305 USA; [White, James W. C.] Univ Colorado, Inst Arctic &amp; Alpine Res, Boulder, CO 80309 USA; [Bradley, Elizabeth; Garland, Joshua] Santa Fe Inst, Santa Fe, NM 87501 USA</t>
  </si>
  <si>
    <t>University of Colorado System; University of Colorado Boulder; National Oceanic Atmospheric Admin (NOAA) - USA; University of Colorado System; University of Colorado Boulder; The Santa Fe Institute</t>
  </si>
  <si>
    <t>Garland, J (corresponding author), Santa Fe Inst, Santa Fe, NM 87501 USA.</t>
  </si>
  <si>
    <t>joshua@santafe.edu</t>
  </si>
  <si>
    <t>White, James W.C./A-7845-2009; Dlugokencky, Edward/AAN-8746-2020</t>
  </si>
  <si>
    <t>Dlugokencky, Edward/0000-0003-0612-6985; BRADLEY, ELIZABETH/0000-0002-4567-2543; Garland, Joshua/0000-0002-6724-2755</t>
  </si>
  <si>
    <t>US National Science Foundation (NSF) [1807478]; Applied Complexity Fellowship at the Santa Fe Institute</t>
  </si>
  <si>
    <t>US National Science Foundation (NSF)(National Science Foundation (NSF)); Applied Complexity Fellowship at the Santa Fe Institute</t>
  </si>
  <si>
    <t>This research was funded by US National Science Foundation (NSF) Grant No. 1807478. J.G. was also partially supported by an Applied Complexity Fellowship at the Santa Fe Institute.</t>
  </si>
  <si>
    <t>AMER PHYSICAL SOC</t>
  </si>
  <si>
    <t>COLLEGE PK</t>
  </si>
  <si>
    <t>ONE PHYSICS ELLIPSE, COLLEGE PK, MD 20740-3844 USA</t>
  </si>
  <si>
    <t>2470-0045</t>
  </si>
  <si>
    <t>2470-0053</t>
  </si>
  <si>
    <t>PHYS REV E</t>
  </si>
  <si>
    <t>Phys. Rev. E</t>
  </si>
  <si>
    <t>FEB 26</t>
  </si>
  <si>
    <t>10.1103/PhysRevE.103.022217</t>
  </si>
  <si>
    <t>Physics, Fluids &amp; Plasmas; Physics, Mathematical</t>
  </si>
  <si>
    <t>Physics</t>
  </si>
  <si>
    <t>QU9EX</t>
  </si>
  <si>
    <t>WOS:000627584100003</t>
  </si>
  <si>
    <t>Quiquet, A; Dumas, C</t>
  </si>
  <si>
    <t>Quiquet, Aurelien; Dumas, Christophe</t>
  </si>
  <si>
    <t>The GRISLI-LSCE contribution to the Ice Sheet Model Intercomparison Project for phase 6 of the Coupled Model Intercomparison Project (ISMIP6) - Part 1: Projections of the Greenland ice sheet evolution by the end of the 21st century</t>
  </si>
  <si>
    <t>SURFACE MASS-BALANCE; SEA-LEVEL CONTRIBUTION; CLIMATE-CHANGE; FUTURE; SIMULATIONS; DRIVEN</t>
  </si>
  <si>
    <t>Polar amplification will result in amplified temperature changes in the Arctic with respect to the rest of the globe, making the Greenland ice sheet particularly vulnerable to global warming. While the ice sheet has been showing an increased mass loss in the past decades, its contribution to global sea level rise in the future is of primary importance since it is at present the largest single-source contribution after the thermosteric contribution. The question of the fate of the Greenland and Antarctic ice sheets for the next century has recently gathered various ice sheet models in a common framework within the Ice Sheet Model Intercomparison Project for the Coupled Model Intercomparison Project - phase 6 (ISMIP6). While in a companion paper we present the GRISLI-LSCE (Grenoble Ice Sheet and Land Ice model of the Laboratoire des Sciences du Climat et de l'Environnement) contribution to ISMIP6-Antarctica, we present here the GRISLI-LSCE contribution to ISMIP6Greenland. We show an important spread in the simulated Greenland ice loss in the future depending on the climate forcing used. The contribution of the ice sheet to global sea level rise in 2100 can thus be from as low as 20 mm sea level equivalent (SLE) to as high as 160 mm SLE. Amongst the models tested in ISMIP6, the Coupled Model Intercomparison Project - phase 6 (CMIP6) models produce larger ice sheet retreat than their CMIP5 counterparts. Low-emission scenarios in the future drastically reduce the ice mass loss. The oceanic forcing contributes to about 10 mm SLE in 2100 in our simulations. In addition, the dynamical contribution to ice thickness change is small compared to the impact of surface mass balance. This suggests that mass loss is mostly driven by atmospheric warming and associated ablation at the ice sheet margin. With additional sensitivity experiments we also show that the spread in mass loss is only weakly affected by the choice of the ice sheet model mechanical parameters.</t>
  </si>
  <si>
    <t>[Quiquet, Aurelien; Dumas, Christophe] Univ Paris Saclay, CEA CNRS UVSQ, LSCE IPSL, Lab Sci Climat &amp; Environm, F-91191 Gif Sur Yvette, France</t>
  </si>
  <si>
    <t>Universite Paris Cite; CEA; Centre National de la Recherche Scientifique (CNRS); Universite Paris Saclay</t>
  </si>
  <si>
    <t>Quiquet, A (corresponding author), Univ Paris Saclay, CEA CNRS UVSQ, LSCE IPSL, Lab Sci Climat &amp; Environm, F-91191 Gif Sur Yvette, France.</t>
  </si>
  <si>
    <t>aurelien.quiquet@lsce.ipsl.fr</t>
  </si>
  <si>
    <t>Quiquet, Aurélien/P-6180-2014</t>
  </si>
  <si>
    <t>Quiquet, Aurélien/0000-0001-6207-3043</t>
  </si>
  <si>
    <t>Climate and Cryosphere (CliC)</t>
  </si>
  <si>
    <t>We thank the Climate and Cryosphere (CliC) effort, which provided support for ISMIP6 through sponsoring of workshops, hosting the ISMIP6 website and wiki, and promoting ISMIP6. We acknowledge theWorld Climate Research Programme, which, through its Working Group on Coupled Modelling, coordinated and promoted CMIP5 and CMIP6. We thank the climate modelling groups for producing and making available their model output; the Earth System Grid Federation (ESGF) for archiving the CMIP data and providing access; the University at Buffalo for ISMIP6 data distribution and upload; and the multiple funding agencies who support CMIP5, CMIP6 and ESGF. We thank the ISMIP6 steering committee, the ISMIP6 model selection group and the ISMIP6 dataset preparation group for their continuous engagement in defining ISMIP6. This is ISMIP6 contribution no. 23.</t>
  </si>
  <si>
    <t>10.5194/tc-15-1015-2021</t>
  </si>
  <si>
    <t>QS4MU</t>
  </si>
  <si>
    <t>WOS:000625876900001</t>
  </si>
  <si>
    <t>The GRISLI-LSCE contribution to the Ice Sheet Model Intercomparison Project for phase 6 of the Coupled Model Intercomparison Project (ISMIP6) - Part 2: Projections of the Antarctic ice sheet evolution by the end of the 21st century</t>
  </si>
  <si>
    <t>SEA-LEVEL RISE; SURFACE MASS-BALANCE; BASAL MELT RATES; CLIMATE; GREENLAND; RETREAT; DRIVEN</t>
  </si>
  <si>
    <t>The Antarctic ice sheet's contribution to global sea level rise over the 21st century is of primary societal importance and remains largely uncertain as of yet. In particular, in the recent literature, the contribution of the Antarctic ice sheet by 2100 can be negative (sea level fall) by a few centimetres or positive (sea level rise), with some estimates above 1 m. The Ice Sheet Model Intercomparison Project for the Coupled Model Intercomparison Project - phase 6 (ISMIP6) aimed at reducing the uncertainties in the fate of the ice sheets in the future by gathering various ice sheet models in a common framework. Here, we present the GRISLI-LSCE (Grenoble Ice Sheet and Land Ice model of the Laboratoire des Sciences du Climat et de l'Environnement) contribution to ISMIP6-Antarctica. We show that our model is strongly sensitive to the climate forcing used, with a contribution of the Antarctic ice sheet to global sea level rise by 2100 that ranges from -50 to +150 mm sea level equivalent (SLE). Future oceanic warming leads to a decrease in thickness of the ice shelves, resulting in grounding-line retreat, while increased surface mass balance partially mitigates or even overcompensates the dynamic ice sheet contribution to global sea level rise. Most of the ice sheet changes over the next century are dampened under low-greenhousegas-emission scenarios. Uncertainties related to sub-ice-shelf melt rates induce large differences in simulated groundingline retreat, confirming the importance of this process and its representation in ice sheet models for projections of the Antarctic ice sheet's evolution.</t>
  </si>
  <si>
    <t>CEA; Centre National de la Recherche Scientifique (CNRS); Universite Paris Saclay; Universite Paris Cite</t>
  </si>
  <si>
    <t>We thank the Climate and Cryosphere (CliC) effort, which provided support for ISMIP6 through sponsoring of workshops, hosting the ISMIP6 website and wiki, and promoting ISMIP6. We acknowledge theWorld Climate Research Programme, which, through its Working Group on Coupled Modelling, coordinated and promoted CMIP5 and CMIP6. We thank the climate modelling groups for producing and making available their model output; the Earth System Grid Federation (ESGF) for archiving the CMIP data and providing access; the University at Buffalo for ISMIP6 data distribution and upload; and the multiple funding agencies who support CMIP5, CMIP6 and ESGF. We thank the ISMIP6 steering committee, the ISMIP6 model selection group and the ISMIP6 dataset preparation group for their continuous engagement in defining ISMIP6. This is ISMIP6 contribution no. 24.</t>
  </si>
  <si>
    <t>10.5194/tc-15-1031-2021</t>
  </si>
  <si>
    <t>WOS:000625876900002</t>
  </si>
  <si>
    <t>Dotto, TS; Mata, MM; Kerr, R; Garcia, CAE</t>
  </si>
  <si>
    <t>Dotto, Tiago S.; Mata, Mauricio M.; Kerr, Rodrigo; Garcia, Carlos A. E.</t>
  </si>
  <si>
    <t>A novel hydrographic gridded data set for the northern Antarctic Peninsula</t>
  </si>
  <si>
    <t>CIRCUMPOLAR DEEP-WATER; NORTHWESTERN WEDDELL SEA; WESTERN BRANSFIELD STRAIT; BOTTOM WATER; PHYTOPLANKTON COMMUNITIES; PHYSICAL OCEANOGRAPHY; CONTINENTAL-SHELF; CARBONATE SYSTEM; GERLACHE STRAIT; CLIMATE-CHANGE</t>
  </si>
  <si>
    <t>The northern Antarctic Peninsula (NAP) is a highly dynamic transitional zone between the sub polarpolar and oceanic-coastal environments, and it is located in an area affected by intense climate change, including intensification and spatial shifts of the westerlies as well as atmospheric and oceanic warming. In the NAP area, the water masses originate mainly from the Bellingshausen and Weddell seas, which create a marked regional dichotomy thermohaline characteristic. Although the NAP area has relatively easy access when compared to other Southern Ocean environments, our understanding of the water masses' distribution and the dynamical processes affecting the variability of the region is still limited. That limitation is closely linked to the sparse data coverage, as is commonly the case in most Southern Ocean environments. This work provides a novel seasonal three-dimensional high-resolution hydrographic gridded data set for the NAP (version 1), namely the NAPv1.0. Hydrographic measurements from 1990 to 2019 comprising data collected by conductivity, temperature, depth (CTD) casts; sensors from the Marine Mammals Exploring the Oceans Pole to Pole (MEOP) consortium; and Argo floats have been optimally interpolated to produce maps of in situ temperature, practical salinity, and dissolved oxygen at similar to 10 km spatial resolution and 90 depth levels. The water masses and oceanographic features in this regional gridded product are more accurate than other climatologies and state estimate products currently available. The data sets are available in netCDF format at https://doi.org/10.5281/zenodo.4420006 (Dotto et al., 2021). The novel and comprehensive data sets presented here for the NAPv1.0 product are a valuable tool to be used in studies addressing climatological changes in the unique NAP region since they provide accurate initial conditions for ocean models and improve the end of the 20th- and early 21st-century ocean mean-state representation for that area.</t>
  </si>
  <si>
    <t>[Dotto, Tiago S.; Mata, Mauricio M.; Kerr, Rodrigo; Garcia, Carlos A. E.] Univ Fed Rio Grande FURG, Inst Oceanog, Lab Estudos Oceanos &amp; Clima, Rio Grande, Brazil; [Mata, Mauricio M.; Kerr, Rodrigo; Garcia, Carlos A. E.] Univ Fed Rio Grande FURG, Inst Oceanog, Programa Posgrad Oceanol, Rio Grande, Brazil; [Dotto, Tiago S.] Univ East Anglia, Sch Environm Sci, Ctr Ocean &amp; Atmospher Sci, Norwich, Norfolk, England</t>
  </si>
  <si>
    <t>Universidade Federal do Rio Grande; Universidade Federal do Rio Grande; University of East Anglia</t>
  </si>
  <si>
    <t>Dotto, TS (corresponding author), Univ Fed Rio Grande FURG, Inst Oceanog, Lab Estudos Oceanos &amp; Clima, Rio Grande, Brazil.;Dotto, TS (corresponding author), Univ East Anglia, Sch Environm Sci, Ctr Ocean &amp; Atmospher Sci, Norwich, Norfolk, England.</t>
  </si>
  <si>
    <t>t.segabinazzi-dotto@uea.ac.uk; mauricio.mata@furg.br; rodrigokerr@furg.br; dfsgar@furg.br</t>
  </si>
  <si>
    <t>Kerr, Rodrigo/I-2494-2012; Mata, Mauricio/H-4605-2011</t>
  </si>
  <si>
    <t>Kerr, Rodrigo/0000-0002-2632-3137; Mata, Mauricio/0000-0002-9028-8284; Segabinazzi Dotto, Tiago/0000-0003-0565-6941</t>
  </si>
  <si>
    <t>Brazilian Ministry of the Environment (MMA); Brazilian Ministry of Science, Technology, and Innovation (MCTI); Council for Research and Scientific Development of Brazil (CNPq); National Institute of Science and Technology of the Cryosphere (INCT CRIOSFERA); CNPq [304937/2018-5, 306896/2015-0, 309932/2019-0]; Research Support Foundation of the State of Rio Grande do Sul (FAPERGS) [17/2551-000518-0, 550370/2002-1, 520189/2006-0, 556848/2009-8, 565040/2010-3, 405869/2013-4, 407889/2013-2, 442628/2018-8, 442637/2018-7]; Coordination for the Improvement of Higher Education Personnel (CAPES) through the project CAPES Ciencias do Mar [23038.001421/2014-30]; CAPES; CNPq PDJ scholarship [151248/2019-2]; Brazilian Navy; Inter-ministerial Secretariat for Sea Resources (SECIRM)</t>
  </si>
  <si>
    <t>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National Institute of Science and Technology of the Cryosphere (INCT CRIOSFERA); CNPq(Conselho Nacional de Desenvolvimento Cientifico e Tecnologico (CNPQ)); Research Support Foundation of the State of Rio Grande do Sul (FAPERGS)(Fundacao de Amparo a Ciencia e Tecnologia do Estado do Rio Grande do Sul (FAPERGS)); Coordination for the Improvement of Higher Education Personnel (CAPES) through the project CAPES Ciencias do Mar(Coordenacao de Aperfeicoamento de Pessoal de Nivel Superior (CAPES)); CAPES(Coordenacao de Aperfeicoamento de Pessoal de Nivel Superior (CAPES)); CNPq PDJ scholarship; Brazilian Navy; Inter-ministerial Secretariat for Sea Resources (SECIRM)</t>
  </si>
  <si>
    <t>This study is part of the activities of the Brazilian High Latitude Oceanography Group (GOAL) within the Brazilian Antarctic Program (PROANTAR). GOAL has been funded by and/or has received logistical support from the Brazilian Ministry of the Environment (MMA); the Brazilian Ministry of Science, Technology, and Innovation (MCTI); the Council for Research and Scientific Development of Brazil (CNPq); the Brazilian Navy; the Inter-ministerial Secretariat for Sea Resources (SECIRM); the National Institute of Science and Technology of the Cryosphere (INCT CRIOSFERA; CNPq grant nos. 573720/2008-8 and 465680/2014-3); and the Research Support Foundation of the State of Rio Grande do Sul (FAPERGS grant No. 17/2551-000518-0). This study was conducted within the activities of the REDE-1, SOS-CLIMATE, POLARCANION,PRO-OASIS, NAUTILUS, INTERBIOTA, PROVOCCAR, and ECOPELA-GOS projects (CNPq grant nos. 550370/2002-1, 520189/2006-0, 556848/2009-8, 565040/2010-3, 405869/2013-4, 407889/2013-2, 442628/2018-8 and 442637/2018-7, respectively). Financial support was also received from Coordination for the Improvement of Higher Education Personnel (CAPES) through the project CAPES Ciencias do Mar (grant no. 23038.001421/2014-30). CAPES also provided free access to many relevant journals though the portal Periodicos CAPES and the activities of the Graduate Program in Oceanology. Tiago S. Dotto acknowledges financial support from CNPq PDJ scholarship grant no. 151248/2019-2. Rodrigo Kerr, Mauricio M. Mata, and Carlos A. E. Garcia are granted with researcher fellowships from CNPq grant nos. 304937/2018-5, 306896/2015-0, and 309932/2019-0, respectively.</t>
  </si>
  <si>
    <t>10.5194/essd-13-671-2021</t>
  </si>
  <si>
    <t>QS4MH</t>
  </si>
  <si>
    <t>WOS:000625875500001</t>
  </si>
  <si>
    <t>Parrilli, E; Tedesco, P; Fondi, M; Tutino, ML; Lo Giudice, A; de Pascale, D; Fani, R</t>
  </si>
  <si>
    <t>Parrilli, Ermenegilda; Tedesco, Pietro; Fondi, Marco; Tutino, Maria Luisa; Lo Giudice, Angelina; de Pascale, Donatella; Fani, Renato</t>
  </si>
  <si>
    <t>The art of adapting to extreme environments: The model system Pseudoalteromonas</t>
  </si>
  <si>
    <t>PHYSICS OF LIFE REVIEWS</t>
  </si>
  <si>
    <t>Antarctica; Pseudoalteromonas; Extreme environments; Adaptation</t>
  </si>
  <si>
    <t>Extremophilic microbes have adapted to thrive in ecological niches characterized by harsh chemical/physical conditions such as, for example, very low/high temperature. Living organisms inhabiting these environments have developed peculiar mechanisms to cope with extreme conditions, in such a way that they mark the chemical-physical boundaries of life on Earth. Studying such mechanisms is stimulating from a basic research viewpoint and because of biotechnological applications. Pseudoalteromonas species are a group of marine gamma-proteobacteria frequently isolated from a range of extreme environments, including cold habitats and deep-sea sediments. Since deep-sea floors constitute almost 60% of the Earth's surface and cold temperatures represent the most common of the extreme conditions, the genus Pseudoalteromonas can be considered one of the most important model systems for studying microbial adaptation. Particularly, among all Pseudoalteromonas representatives, P. haloplanktis TAC125 has recently gained a central role. This bacterium was isolated from seawater sampled along the Antarctic ice-shell and is considered one of the model organisms of cold-adapted bacteria. It is capable of thriving in a wide temperature range and it has been suggested as an alternative host for the soluble overproduction of heterologous proteins, given its ability to rapidly multiply at low temperatures. In this review, we will present an overview of the recent advances in the characterization of Pseudoalteromonas strains and, more importantly, in the understanding of their evolutionary and chemical-physical strategies to face such a broad array of extreme conditions. A particular attention will be given to systems-biology approaches in the study of the above-mentioned topics, as genome-scale datasets (e.g. genomics, proteomics, phenomics) are beginning to expand for this group of organisms. In this context, a specific section dedicated to P. haloplanktis TAC125 will be presented to address the recent efforts in the elucidation of the metabolic rewiring of the organisms in its natural environment (Antarctica). (c) 2019 Elsevier B.V. All reserved.</t>
  </si>
  <si>
    <t>[Parrilli, Ermenegilda; Tutino, Maria Luisa] Univ Naples Federico II, Dept Chem Sci, Complesso Univ MS Angelo, Via Cintia, I-80126 Naples, Italy; [Tedesco, Pietro] Univ Toulouse, CNRS, INRA, LISBP,INSA, F-31077 Toulouse, France; [Fondi, Marco; Fani, Renato] Univ Florence, Dept Biol, Lab Microbial &amp; Mol Evolut, ViaMadonna Piano 6, I-50019 Sesto Fiorentino, FI, Italy; [Lo Giudice, Angelina] Inst Polar Sci, Spianata S Raineri 86, I-98122 Messina, Italy; [de Pascale, Donatella] CNR, Inst Prot Biochem, Stn Zool Anthon Dorn, I-80121 Naples, Italy</t>
  </si>
  <si>
    <t>University of Naples Federico II; Universite de Toulouse; Universite Federale Toulouse Midi-Pyrenees (ComUE); Institut National des Sciences Appliquees de Toulouse; Centre National de la Recherche Scientifique (CNRS); INRAE; University of Florence; Consiglio Nazionale delle Ricerche (CNR); Istituto di Biochimica delle Proteine (IBP-CNR); Stazione Zoologica Anton Dohrn di Napoli</t>
  </si>
  <si>
    <t>Fani, R (corresponding author), Univ Florence, Dept Biol, Lab Microbial &amp; Mol Evolut, ViaMadonna Piano 6, I-50019 Sesto Fiorentino, FI, Italy.</t>
  </si>
  <si>
    <t>renato.fani@unifi.it</t>
  </si>
  <si>
    <t>Tedesco, Pietro/AAB-5740-2021; TUTINO, MARIA LUISA/L-1834-2013; parrilli, ermenegilda/JAZ-0586-2023; parrilli, ermenegilda/K-4616-2016</t>
  </si>
  <si>
    <t>parrilli, ermenegilda/0000-0002-9002-5409; Fani, Renato/0000-0001-9114-2335</t>
  </si>
  <si>
    <t>1571-0645</t>
  </si>
  <si>
    <t>1873-1457</t>
  </si>
  <si>
    <t>PHYS LIFE REV</t>
  </si>
  <si>
    <t>Phys. Life Rev.</t>
  </si>
  <si>
    <t>10.1016/j.plrev.2019.04.003</t>
  </si>
  <si>
    <t>Biology; Biophysics</t>
  </si>
  <si>
    <t>Life Sciences &amp; Biomedicine - Other Topics; Biophysics</t>
  </si>
  <si>
    <t>QO5KH</t>
  </si>
  <si>
    <t>WOS:000623180500026</t>
  </si>
  <si>
    <t>Reum, JCP; Townsend, H; Gaichas, S; Sagarese, S; Kaplan, IC; Grüss, A</t>
  </si>
  <si>
    <t>Reum, Jonathan C. P.; Townsend, Howard; Gaichas, Sarah; Sagarese, Skyler; Kaplan, Isaac C.; Gruss, Arnaud</t>
  </si>
  <si>
    <t>It's Not the Destination, It's the Journey: Multispecies Model Ensembles for Ecosystem Approaches to Fisheries Management</t>
  </si>
  <si>
    <t>model ensemble; ecosystem model; ecosystem-based management; uncertainty; ecosystem-based fisheries management; multispecies model</t>
  </si>
  <si>
    <t>WEST FLORIDA SHELF; STRATEGY EVALUATION; FORAGE FISH; PACIFIC SARDINE; RED TIDE; GULF; OBJECTIVES; STAKEHOLDER; PREDICTION; DYNAMICS</t>
  </si>
  <si>
    <t>As ecosystem-based fisheries management becomes more ingrained into the way fisheries agencies do business, a need for ecosystem and multispecies models arises. Yet ecosystems are complex, and model uncertainty can be large. Model ensembles have historically been used in other disciplines to address model uncertainty. To understand the benefits and limitations of multispecies model ensembles (MMEs), cases where they have been used in the United States to address fisheries management issues are reviewed. The cases include: (1) development of ecological reference points for Atlantic Menhaden, (2) the creation of time series to relate harmful algal blooms to grouper mortality in the Gulf of Mexico, and (3) fostering understanding of the role of forage fish in the California Current. Each case study briefly reviews the management issue, the models used and model synthesis approach taken, and the outcomes and lessons learned from the application of MMEs. Major conclusions drawn from these studies highlight how the act of developing an ensemble model suite can improve the credibility of multispecies models, how qualitative synthesis of projections can advance system understanding and build confidence in the absence of quantitative treatments, and how involving a diverse set of stakeholders early is useful for ensuring the utility of the models and ensemble. Procedures for review and uptake of information from single-species stock assessment models are well established, but the absence of welldefined procedures for MMEs in many fishery management decision-making bodies poses a major obstacle. The benefits and issues identified here should help accelerate the design, implementation, and utility of MMEs in applied fisheries contexts.</t>
  </si>
  <si>
    <t>[Reum, Jonathan C. P.] NOAA, Fisheries Serv, Alaska Fisheries Sci Ctr, Seattle, WA 98115 USA; [Reum, Jonathan C. P.] Univ Tasmania, Inst Marine &amp; Antarctic Studies, Hobart, Tas, Australia; [Reum, Jonathan C. P.] Univ Tasmania, Ctr Marine Socioecol, Hobart, Tas, Australia; [Townsend, Howard] NOAA, Fisheries Serv, Off Sci &amp; Technol, Silver Spring, MD USA; [Gaichas, Sarah] NOAA, Fisheries Serv, Northeast Fisheries Sci Ctr, Woods Hole, MA USA; [Sagarese, Skyler] NOAA, Fisheries Serv, Southeast Fisheries Sci Ctr, Miami, FL USA; [Kaplan, Isaac C.] NOAA, Fisheries Serv, Northwest Fisheries Sci Ctr, Seattle, WA USA; [Gruss, Arnaud] Natl Inst Water &amp; Atmospher Res, Wellington, New Zealand</t>
  </si>
  <si>
    <t>National Oceanic Atmospheric Admin (NOAA) - USA; University of Tasmania; University of Tasmania; National Oceanic Atmospheric Admin (NOAA) - USA; National Oceanic Atmospheric Admin (NOAA) - USA; National Oceanic Atmospheric Admin (NOAA) - USA; National Oceanic Atmospheric Admin (NOAA) - USA; National Institute of Water &amp; Atmospheric Research (NIWA) - New Zealand</t>
  </si>
  <si>
    <t>Reum, JCP (corresponding author), NOAA, Fisheries Serv, Alaska Fisheries Sci Ctr, Seattle, WA 98115 USA.;Reum, JCP (corresponding author), Univ Tasmania, Inst Marine &amp; Antarctic Studies, Hobart, Tas, Australia.;Reum, JCP (corresponding author), Univ Tasmania, Ctr Marine Socioecol, Hobart, Tas, Australia.</t>
  </si>
  <si>
    <t>Jonathan.Reum@noaa.gov</t>
  </si>
  <si>
    <t>Gaichas, Sarah/0000-0002-5788-3073</t>
  </si>
  <si>
    <t>10.3389/fmars.2021.631839</t>
  </si>
  <si>
    <t>QQ4WG</t>
  </si>
  <si>
    <t>WOS:000624523600001</t>
  </si>
  <si>
    <t>Cho, CY; Han, SR; Oh, TJ</t>
  </si>
  <si>
    <t>Cho, Cya-Yong; Han, So-Ra; Oh, Tae-Jin</t>
  </si>
  <si>
    <t>Complete Genome Sequence of Pedobacter sp. PAMC26386 and Their Low Temperature Application in Arabinose-containing Polysaccharides Degradation</t>
  </si>
  <si>
    <t>Pedobacter are a representative genus of soil-associated bacteria. Here we have provided the complete genome sequence of Pedobacter sp. PAMC26386 isolated from Antarctic soil, and functionally annotated the genome, describing the unique features of carbohydrate active enzymes (CAZymes) and alpha-L-arabinofuranosidase (alpha-L-ABF). The genome of Pedobacter sp. PAMC26386 is circular and comprises 4,796,773 bp, with a 38.2% GC content. The genome encodes 4,175 genes, including 7 rRNA and 44 tRNA genes. We identified 172 genes (8 auxiliary activities, 8 carbohydrate binding modules, 23 carbohydrate esterases, 86 glycoside hydrolases, 42 glycosyl transferases, and 5 polysaccharide lyases) related to CAZymes using the dbCAN2 tool. We checked enzyme activity on 11 substrates using the AZCL assay and obtained strong activity for arabinooligosaccharide and hemicellulose. This includes information regarding alpha-L-ABF, which is active at low temperatures, based on the annotation results. Our findings on Pedobacter sp. PAMC26386 provide the basis for research in the future. The favorable properties of Pedobacter sp. PAMC26386 make it a good candidate for industrial applications involving low temperatures.</t>
  </si>
  <si>
    <t>[Cho, Cya-Yong; Han, So-Ra; Oh, Tae-Jin] Sunmoon Univ, Grad Sch, Dept Life Sci &amp; Biochem Engn, 70 Sunmoonro 221, Asan 31460, Chungnam, South Korea; [Oh, Tae-Jin] Sunmoon Univ, Dept BT Convergent Pharmaceut Engn, 70 Sunmoonro 221, Asan 31460, Chungnam, South Korea; [Oh, Tae-Jin] Genome Based BioIT Convergence Inst, Asan, South Korea; [Oh, Tae-Jin] SunMoon Univ, Dept Pharmaceut Engn &amp; Biotechnol, Asan 31460, Chungnam, South Korea</t>
  </si>
  <si>
    <t>Sun Moon University; Sun Moon University; Sun Moon University</t>
  </si>
  <si>
    <t>Oh, TJ (corresponding author), Sunmoon Univ, Grad Sch, Dept Life Sci &amp; Biochem Engn, 70 Sunmoonro 221, Asan 31460, Chungnam, South Korea.;Oh, TJ (corresponding author), Sunmoon Univ, Dept BT Convergent Pharmaceut Engn, 70 Sunmoonro 221, Asan 31460, Chungnam, South Korea.;Oh, TJ (corresponding author), Genome Based BioIT Convergence Inst, Asan, South Korea.;Oh, TJ (corresponding author), SunMoon Univ, Dept Pharmaceut Engn &amp; Biotechnol, Asan 31460, Chungnam, South Korea.</t>
  </si>
  <si>
    <t>tjoh3782@sunmoon.ac.kr</t>
  </si>
  <si>
    <t>Han, So-Ra/0000-0003-2649-1795; Cho, Cyayong/0000-0002-5891-3414</t>
  </si>
  <si>
    <t>Ministry of Oceans and Fisheries, Korea [15250103, PM20030]</t>
  </si>
  <si>
    <t>Ministry of Oceans and Fisheries, Korea</t>
  </si>
  <si>
    <t>This research was a part of the project titled Development of potential antibiotic compounds using polar organism resources (15250103, KOPRI Grant PM20030), funded by the Ministry of Oceans and Fisheries, Korea.</t>
  </si>
  <si>
    <t>10.1007/s00284-021-02364-5</t>
  </si>
  <si>
    <t>QV2OT</t>
  </si>
  <si>
    <t>WOS:000622294900004</t>
  </si>
  <si>
    <t>da Silva, AV; de Oliveira, A; Tanabe, ISB; Silva, JV; Barros, TWD; da Silva, MK; França, PHB; Leite, J; Putzke, J; Montone, R; de Oliveira, VM; Rosa, LH; Duarte, AWF</t>
  </si>
  <si>
    <t>da Silva, Averlane Vieira; de Oliveira, Adeildo Junior; Bessoni Tanabe, Ithallo Sathio; Silva, Jose Vieira; da Silva Barros, Tiago Wallace; da Silva, Mayanne Karla; Barcellos Franca, Paulo Henrique; Leite, Jakson; Putzke, Jair; Montone, Rosalinda; de Oliveira, Valeria Maia; Rosa, Luiz Henrique; Fernandes Duarte, Alysson Wagner</t>
  </si>
  <si>
    <t>Antarctic lichens as a source of phosphate-solubilizing bacteria</t>
  </si>
  <si>
    <t>Extremophile; Fumaric acid; Lichensphere; Phosphate solubilizing microorganisms; Pseudomonas</t>
  </si>
  <si>
    <t>In association with lichens, bacteria can play key roles in solubilizing sources of inorganic phosphates that are available in the environment. In this study, the potential of bacteria isolated from 15 Antarctic lichen samples for phosphate solubilization was investigated. From 124 bacteria tested, 66 (53%) were positive for phosphate solubilization in solid NBRIP medium, with a higher prevalence of Pseudomonas, followed by Caballeronia and Chryseobacterium. Most of the phosphate-solubilizing bacteria were isolated from Usnea auratiacoatra, followed by Caloplaca regalis and Xanthoria candelaria. Two isolates showed outstanding performance, Pseudomonas sp. 11.LB15 and Pseudomonas sp. 1.LB34, since they presented solubilization in the temperature range from 15.0 to 30.0 degrees C, and maximum quantification of soluble phosphate at 25.0 degrees C was 511.21 and 532.07 mg/L for Pseudomonas sp. 11.LB15 and Pseudomonas sp. 1.LB34, respectively. At 30.0 degrees C soluble phosphate yield was 639.43 and 518.95 mg/L with pH of 3.74 and 3.87 for Pseudomonas sp. 11.LB15 and Pseudomonas sp. 1.LB34, respectively. Fumaric and tartaric acids were released during the solubilization process. Finally, bacteria isolated from Antarctic lichens were shown to have the potential for phosphate solubilization, opening perspectives for future application in the agricultural sector and contributing to reduce the use of chemical fertilizers.</t>
  </si>
  <si>
    <t>[da Silva, Averlane Vieira; de Oliveira, Adeildo Junior; Bessoni Tanabe, Ithallo Sathio; Silva, Jose Vieira; da Silva Barros, Tiago Wallace; da Silva, Mayanne Karla; Fernandes Duarte, Alysson Wagner] Univ Fed Alagoas, Campus Arapiraca,Av Manoel Severino Barbosa S-N, BR-57309005 Arapiraca, AL, Brazil; [Barcellos Franca, Paulo Henrique] Univ Fed Alagoas, Ctr Ciencias Agr, BR-57100000 Rio Largo, AL, Brazil; [Leite, Jakson] Inst Fed Educ Ciencia &amp; Tecnol Para, BR-68183300 Itaituba, PA, Brazil; [Putzke, Jair] Univ Fed Pampa, Campus Sao Gabriel, BR-97300162 Sao Gabriel, RS, Brazil; [Montone, Rosalinda] Univ Sao Paulo, Dept Oceanog, BR-05508120 Sao Paulo, SP, Brazil; [de Oliveira, Valeria Maia] Univ Estadual Campinas, Ctr Pluridisciplinar Pesquisas Quim Biol &amp; Agr, UNICAMP, BR-13148218 Paulinia, SP, Brazil; [Rosa, Luiz Henrique] Univ Fed Minas Gerais, Inst Ciencias Biol, BR-31270901 Belo Horizonte, MG, Brazil</t>
  </si>
  <si>
    <t>Universidade Federal de Alagoas; Universidade Federal de Alagoas; Instituto Federal do Para; Universidade Federal do Pampa; Universidade de Sao Paulo; Universidade Estadual de Campinas; Universidade Federal de Minas Gerais</t>
  </si>
  <si>
    <t>Duarte, AWF (corresponding author), Univ Fed Alagoas, Campus Arapiraca,Av Manoel Severino Barbosa S-N, BR-57309005 Arapiraca, AL, Brazil.</t>
  </si>
  <si>
    <t>alysson.duarte@arapiraca.ufal.br</t>
  </si>
  <si>
    <t>Montone, Rosalinda C/J-9110-2012; Putzke, Jair/P-9380-2019; Duarte, Alysson Wagner Fernandes/S-8062-2019; Oliveira, Valéria Maia/L-2422-2014</t>
  </si>
  <si>
    <t>Duarte, Alysson Wagner Fernandes/0000-0001-9626-7524; Oliveira, Valéria Maia/0000-0001-8817-4758; Oliveira, Adeildo Junior/0000-0002-8312-6471; Barcellos Franca, Paulo Henrique/0000-0003-2464-3273; Karla da Silva, Mayanne/0000-0002-0292-3648</t>
  </si>
  <si>
    <t>FundacAo de Amparo a Pesquisa do Estado de Alagoas-FAPEAL [60030 1074/2016]; CNPq [433388/2018-8, 442258/2018-6]; FAPEAL [60030 000542/2018]</t>
  </si>
  <si>
    <t>FundacAo de Amparo a Pesquisa do Estado de Alagoas-FAPEAL(Fundacao de Amparo a Pesquisa do Estado de Alagoas (FAPEAL)); CNPq(Conselho Nacional de Desenvolvimento Cientifico e Tecnologico (CNPQ)); FAPEAL(Fundacao de Amparo a Pesquisa do Estado de Alagoas (FAPEAL))</t>
  </si>
  <si>
    <t>The authors acknowledge the financial support from FundacAo de Amparo a Pesquisa do Estado de Alagoas-FAPEAL (60030 1074/2016) and CNPq (433388/2018-8 and 442258/2018-6). A master's scholarship the first author was supported by FAPEAL (60030 000542/2018).</t>
  </si>
  <si>
    <t>10.1007/s00792-021-01220-5</t>
  </si>
  <si>
    <t>WOS:000622209100001</t>
  </si>
  <si>
    <t>Fitzcharles, E; Hollyman, PR; Goodall-Copestake, WP; Maclaine, JS; Collins, MA</t>
  </si>
  <si>
    <t>Fitzcharles, E.; Hollyman, P. R.; Goodall-Copestake, W. P.; Maclaine, J. S.; Collins, M. A.</t>
  </si>
  <si>
    <t>The taxonomic identity and distribution of the eel cod Muraenolepis (Gadiformes: Muraenolepididae) around South Georgia and the South Sandwich Islands</t>
  </si>
  <si>
    <t>Fisheries; Muraenolepididae; Taxonomy</t>
  </si>
  <si>
    <t>DEMERSAL FISH; PATAGONIAN TOOTHFISH</t>
  </si>
  <si>
    <t>Fishes of the genus Muraenolepis are regularly caught in commercial and research fishing in the waters around South Georgia and the South Sandwich Islands, but for many years there has been uncertainty about the specific identity of the species being caught. Here, we used morphological and molecular data to clarify the identity of specimens of Muraenolepis caught in trawl surveys and longline fisheries in South Georgia and South Sandwich Island waters. Type specimens of M. marmorata, M. microps and M. orangiensis were examined, together with specimens caught in trawl surveys around South Georgia. Morphological and molecular (mitochondrial 16S and cox1 sequence) data from specimens collected throughout the Southern Ocean indicate four clades and confirm the presence of just one species (M. marmorata) on the South Georgia continental shelf. The data also confirm that M. microps is a junior synonym of M. marmorata, which has a broad distribution around sub-Antarctic islands in the Southern Ocean extending as far south as the South Orkneys and the southern South Sandwich Islands. Muraenolepis evseenkoi is the main species caught in longline fisheries in the South Sandwich Islands and, with a more southerly distribution, is not known from around South Georgia. A third species (M. kuderskii) is also reported from around South Georgia and one specimen was considered to belong to this species. In total, there are eight recognised species of muraenolepidids in two genera, with six species having an Antarctic distribution.</t>
  </si>
  <si>
    <t>[Fitzcharles, E.; Hollyman, P. R.; Collins, M. A.] British Antarctic Survey, NERC, Madingley Rd, Cambridge CB23 0ET, England; [Goodall-Copestake, W. P.] Scottish Assoc Marine Sci, Oban PA37 1QA, Argyll, Scotland; [Maclaine, J. S.] Nat Hist Museum, Cromwell Rd, London SW7 5BD, England; [Collins, M. A.] Univ Coll Cork, Sch Biol Environm &amp; Earth Sci, Cork, Ireland</t>
  </si>
  <si>
    <t>UK Research &amp; Innovation (UKRI); Natural Environment Research Council (NERC); NERC British Antarctic Survey; UHI Millennium Institute; Natural History Museum London; University College Cork</t>
  </si>
  <si>
    <t>Collins, MA (corresponding author), British Antarctic Survey, NERC, Madingley Rd, Cambridge CB23 0ET, England.;Collins, MA (corresponding author), Univ Coll Cork, Sch Biol Environm &amp; Earth Sci, Cork, Ireland.</t>
  </si>
  <si>
    <t>macol@bas.ac.uk</t>
  </si>
  <si>
    <t>Goodall-Copestake, William/CAF-6866-2022; , Martin/ABE-6728-2020</t>
  </si>
  <si>
    <t>, Martin/0000-0001-7132-8650; Goodall-Copestake, Will/0000-0003-3586-9091; Hollyman, Philip/0000-0003-2665-5075</t>
  </si>
  <si>
    <t>Government of South Georgia and the South Sandwich Islands (GSGSSI); GSGSSI; UK Foreign and Commonwealth Office; NERC [bas0100035, bas010011] Funding Source: UKRI</t>
  </si>
  <si>
    <t>Government of South Georgia and the South Sandwich Islands (GSGSSI); GSGSSI; UK Foreign and Commonwealth Office; NERC(UK Research &amp; Innovation (UKRI)Natural Environment Research Council (NERC))</t>
  </si>
  <si>
    <t>The groundfish surveys were funded by the Government of South Georgia and the South Sandwich Islands (GSGSSI). MAC and PH were funded by a Grant to BAS from GSGSSI and the UK Foreign and Commonwealth Office.</t>
  </si>
  <si>
    <t>10.1007/s00300-021-02819-2</t>
  </si>
  <si>
    <t>WOS:000621760800001</t>
  </si>
  <si>
    <t>Wang, P; Zhu, RB; Jiao, Y; Zhang, WY; Che, CS; Xu, H</t>
  </si>
  <si>
    <t>Wang, Pei; Zhu, Renbin; Jiao, Yi; Zhang, Wanying; Che, Chenshuai; Xu, Hua</t>
  </si>
  <si>
    <t>Carbon dioxide isotopic compositions during tundra ecosystem respiration and photosynthesis in relation to environmental variables in maritime Antarctica</t>
  </si>
  <si>
    <t>Carbon isotope; Respiration; Photosynthesis; Tundra ecosystem; Antarctica; Moss</t>
  </si>
  <si>
    <t>Stable carbon isotope ratios (C-13/C-12) have been extensively used to trace carbon flow, and partition net ecosystem CO2 exchange. However, the CO2 isotopic data are still very limited in terrestrial ecosystems of maritime Antarctica. Here, we chose six tundra sites to investigate the isotopic compositions of CO2 during ecosystem respiration and photosynthesis, and the relationships with environmental variables using the static chamber method. For all tundra sites, ecosystem respirated-CO2 was C-13-depleted while vegetation photosynthesis resulted in the enrichment of C-13 in the chamber headspace, compared with local atmospheric CO2. The delta C-13-CO2 showed a strong negative correlation with CO2 concentrations in the chamber headspace both under dark condition (r(2) = 0.70, p &lt; 0.01) and under light condition (r(2) = 0.29, p &lt; 0.05), whereas delta O-18-CO2 was almost stable, only with a small fluctuation from - 7.7 to - 8.3 parts per thousand. The delta C-13 of ecosystem-respired (delta(r)) and photoassimilated-CO2 (delta(p)) fluctuated from - 12.4 to - 15.1 parts per thousand and - 10.5 to - 12.6 parts per thousand, respectively, indicating that lower C isotopic discrimination occurred during plant photosynthesis and tundra ecosystem respiration, compared with reported data from other global ecosystems. Overall there was a small but distinct negative carbon isotopic disequilibrium (D: - 1 to - 3 parts per thousand) between delta(r) and delta(p) at the spatial or summertime scale. The delta(p) and delta(r) showed consistent summertime variation patterns with significant positive correlation (r(2) = 0.95, p &lt; 0.01). The delta(r) and delta(p) significantly negatively correlated with respiration rates (r(2) = 0.91, p &lt; 0.01) and photosynthesis rates (r(2) = 0.86, p &lt; 0.01), respectively, and the delta(r), instead of delta(p), significantly correlated with net ecosystem exchange fluxes (r(2) = 0.75, p = 0.012). The summertime patterns of delta(r), delta(p) and D sensitively corresponded to changing temperature, precipitation and sunlight intensity, supporting the links between CO2 isotope fractionation and environmental variables during ecosystem respiration and plant photosynthesis. It was found that penguin activities had no significant effect on delta(r) and delta(p) although their activities significantly increased tundra ecosystem respiration and photosynthesis fluxes. The investigation of CO2 isotopic compositions contributes to better understanding of carbon cycling in maritime Antarctic tundra ecosystems.</t>
  </si>
  <si>
    <t>[Wang, Pei; Zhu, Renbin; Zhang, Wanying; Che, Chenshuai] Univ Sci &amp; Technol China, Inst Polar Environm, Sch Earth &amp; Space Sci, Hefei 230026, Anhui, Peoples R China; [Jiao, Yi] Univ Calif Berkeley, Dept Geog, Berkeley, CA 94720 USA; [Xu, Hua] Chinese Acad Sci, Inst Soil Sci, State Key Lab Soil &amp; Sustainable Agr, Nanjing 210008, Peoples R China</t>
  </si>
  <si>
    <t>Chinese Academy of Sciences; University of Science &amp; Technology of China, CAS; University of California System; University of California Berkeley; Chinese Academy of Sciences; Nanjing Institute of Soil Science, CAS</t>
  </si>
  <si>
    <t>Zhu, RB (corresponding author), Univ Sci &amp; Technol China, Inst Polar Environm, Sch Earth &amp; Space Sci, Hefei 230026, Anhui, Peoples R China.</t>
  </si>
  <si>
    <t>zhurb@ustc.edu.cn</t>
  </si>
  <si>
    <t>Zhang, Wanying/IXD-8104-2023; Jiao, Yi/HNP-9992-2023; Jiao, Yi/ABD-2092-2021</t>
  </si>
  <si>
    <t>Jiao, Yi/0000-0001-5027-3144; Zhang, Wanying/0000-0001-9874-9834; Zhu, RenBin/0000-0001-7757-3622</t>
  </si>
  <si>
    <t>National Natural Science Foundation of China (NSFC) [41776190, 41976220]; Strategic Priority Research Program of Chinese Academy of Sciences [XDB40010200]; Polar Office of National Ocean Bureau of China</t>
  </si>
  <si>
    <t>National Natural Science Foundation of China (NSFC)(National Natural Science Foundation of China (NSFC)); Strategic Priority Research Program of Chinese Academy of Sciences(Chinese Academy of Sciences); Polar Office of National Ocean Bureau of China</t>
  </si>
  <si>
    <t>This work was supported by the National Natural Science Foundation of China (NSFC) (Grant Nos. 41776190; 41976220) and the Strategic Priority Research Program of Chinese Academy of Sciences (No. XDB40010200). We are particularly grateful to the members of Chinese Antarctic Research Expedition and Polar Office of National Ocean Bureau of China for their support and timely help.</t>
  </si>
  <si>
    <t>10.1007/s00300-021-02829-0</t>
  </si>
  <si>
    <t>WOS:000622208100001</t>
  </si>
  <si>
    <t>Navarro, NP; Huovinen, P; Jofre, J; Gómez, I</t>
  </si>
  <si>
    <t>Navarro, Nelso P.; Huovinen, Pirjo; Jofre, Jocelyn; Gomez, Ivan</t>
  </si>
  <si>
    <t>Ultraviolet radiation stress response of haploid and diploid spores of Mazzaella laminarioides: Do bio-optical traits matter?</t>
  </si>
  <si>
    <t>ALGAL RESEARCH-BIOMASS BIOFUELS AND BIOPRODUCTS</t>
  </si>
  <si>
    <t>Isomorphic phases; Propagules; Reproductive cycles; Stress tolerance; Sub-Antarctic region</t>
  </si>
  <si>
    <t>Early stages of macroalgae are known to be more vulnerable to changes in the abiotic environment than their adult phases. However, in algal groups attaining intricate life-cycles, the ecophysiological responses of haploid and diploid propagules have not been sufficiently studied. In the present study, stress responses of haploid tetraspores and diploid carpospores of sub-Antarctic red alga Mazzaella laminarioides exposed to ultraviolet (UV) radiation were studied. We tested the hypothesis that UV stress responses of two types of spores attaining similar size are determined by light use characteristics by comparing the photobiological and bio-optical traits. Fluorescence-based photosynthetic efficiency was measured during a 5-h exposure and after a 5-h recovery. Germination and growth of spores exposed to UV treatments were also assessed. Diploid carpospores exhibited higher chlorophyll a content and higher absorption in the UV band than tetraspores. Although the maximal quantum yield was higher in carpospores than tetraspores, no differences in light demands were detected. Exposure to photosynthetically active radiation (PAR) caused inhibition of photosynthetic activity only in carpospores (43%), while exposure to a combination of PAR + UV reduced the maximal quantum yield significantly in tetraspores (36%) and carpospores (60%). In both types of spores, a recovery from UV stress was observed, allowing their germination and further development. The different responses to radiation found in haploid and diploid propagules highlight the ecophysiological versatility of different life-cycle phases to cope with light stress factors ensuring finally successful recruitment and survival.</t>
  </si>
  <si>
    <t>[Navarro, Nelso P.; Jofre, Jocelyn] Univ Magallanes, Fac Ciencias, Lab Ecofisiol &amp; Biotecnol Algas LEBA, Punta Arenas, Chile; [Navarro, Nelso P.] Univ Magallanes, Network Extreme Environm Res, NEXER, Punta Arenas, Chile; [Huovinen, Pirjo; Gomez, Ivan] Univ Austral Chile, Inst Ciencias Marinas &amp; Limnol, Valdivia, Chile; [Navarro, Nelso P.; Huovinen, Pirjo; Gomez, Ivan] Ctr FONDAP Invest Ecosistemas Marinos Altas Latit, Valdivia, Chile</t>
  </si>
  <si>
    <t>Universidad de Magallanes; Universidad de Magallanes; Universidad Austral de Chile</t>
  </si>
  <si>
    <t>Navarro, NP (corresponding author), Univ Magallanes, Fac Ciencias, Lab Ecofisiol &amp; Biotecnol Algas LEBA, Punta Arenas, Chile.</t>
  </si>
  <si>
    <t>Huovinen, Pirjo/0000-0002-7754-4933; Gomez, Ivan/0000-0001-8381-3792</t>
  </si>
  <si>
    <t>CONICYT-Chile: Fondecyt [11160520]; Centro Fondap-IDEAL [15150003]</t>
  </si>
  <si>
    <t>CONICYT-Chile: Fondecyt(Comision Nacional de Investigacion Cientifica y Tecnologica (CONICYT)CONICYT FONDECYT); Centro Fondap-IDEAL</t>
  </si>
  <si>
    <t>The study was funded by the Grants from CONICYT-Chile: Fondecyt Iniciacion NO11160520; and Centro Fondap-IDEAL 15150003.</t>
  </si>
  <si>
    <t>2211-9264</t>
  </si>
  <si>
    <t>ALGAL RES</t>
  </si>
  <si>
    <t>Algal Res.</t>
  </si>
  <si>
    <t>10.1016/j.algal.2021.102230</t>
  </si>
  <si>
    <t>RB8CQ</t>
  </si>
  <si>
    <t>WOS:000632334800003</t>
  </si>
  <si>
    <t>Price, CA; Emery, TJ; Hartmann, K; Woehler, EJ; Monash, R; Hindell, MA</t>
  </si>
  <si>
    <t>Price, Cassandra A.; Emery, Timothy J.; Hartmann, Klaas; Woehler, Eric J.; Monash, Ross; Hindell, Mark A.</t>
  </si>
  <si>
    <t>Inter-annual and inter-colony variability in breeding performance of four colonies of short-tailed shearwaters</t>
  </si>
  <si>
    <t>JOURNAL OF EXPERIMENTAL MARINE BIOLOGY AND ECOLOGY</t>
  </si>
  <si>
    <t>Short-tailed shearwater; Ardenna tenuirostris; Inter-colony variability; Climate variability; Breeding parameters</t>
  </si>
  <si>
    <t>NINO-SOUTHERN-OSCILLATION; EASTERN BERING-SEA; PUFFINUS-TENUIROSTRIS; REPRODUCTIVE SUCCESS; CLIMATE-CHANGE; LONG-TERM; ENVIRONMENTAL VARIABILITY; POPULATION-DYNAMICS; NORTH-ATLANTIC; BODY CONDITION</t>
  </si>
  <si>
    <t>Biotic responses to large-scale climate processes are scale-dependant and can influence population trajectories of highly migratory species such as short-tailed shearwaters Ardenna tenuirostris. In this study, we quantified changes in climate, measured through large-scale climate indices (i.e. Northern Pacific Index, Pacific Decadal Oscillation, El Nino-Southern Oscillation and Southern Annular Mode) and local weather conditions (i.e. rainfall) on the breeding performance of short-tailed shearwaters at four of their breeding colonies within the Furneaux Island Group, Tasmania, Australia, from 2010 to 2018. There was inter-colony variability in adult body mass and breeding participation, which were influenced by climate conditions in the preceding year. In contrast, breeding success was influenced by climate conditions in the preceding three to four months and by local weather conditions at the time of breeding. These findings demonstrate that variation in the breeding performance of short-tailed shearwaters are explained both by large-scale climate indices and local environmental conditions. The outcomes of this study provide a better understanding of the environmental factors affecting short-tailed shearwaters.</t>
  </si>
  <si>
    <t>[Price, Cassandra A.; Emery, Timothy J.; Hartmann, Klaas; Woehler, Eric J.; Hindell, Mark A.] Univ Tasmania, Inst Marine &amp; Antarctic Studies, Hobart, Tas 7000, Australia; [Woehler, Eric J.] BirdLife Tasmania, GPO Box 68, Hobart, Tas 7001, Australia; [Monash, Ross] Dept Primary Ind Pk Water &amp; Environm, Hobart, Tas, Australia</t>
  </si>
  <si>
    <t>Price, CA (corresponding author), Univ Tasmania, Inst Marine &amp; Antarctic Studies, Hobart, Tas 7000, Australia.</t>
  </si>
  <si>
    <t>cassandra.price@utas.edu.au</t>
  </si>
  <si>
    <t>Hartmann, Klaas/B-3991-2008; Price, Cas/KHT-2225-2024; Hindell, Mark A/K-1131-2013; Sedran-Price, Cassandra/F-4341-2014</t>
  </si>
  <si>
    <t>Woehler, Eric/0000-0002-1125-0748; Sedran-Price, Cassandra/0000-0002-0196-2450</t>
  </si>
  <si>
    <t>ANZ Trustees Foundation-Holsworth Wildlife Research Foundation</t>
  </si>
  <si>
    <t>We are grateful to the ANZ Trustees Foundation-Holsworth Wildlife Research Foundation for kindly providing financial assistance for this project. This research was conducted under Tasmanian Department of Primary Industries, Parks, Water and Environment permit FA14310. We thank the following people for their contribution to the project over the years: Aidan Bindoff, Kat Castrisos, Josh Cox, Ricardo De Paoli-Iseppi, Tamara Manning, Laura Poidevin, Eric Schwarz, Denis Sedran, Sam Thalman and Russell Thomson. We are also appreciative to those whose comments significantly improved the clarity of the manuscript.</t>
  </si>
  <si>
    <t>0022-0981</t>
  </si>
  <si>
    <t>1879-1697</t>
  </si>
  <si>
    <t>J EXP MAR BIOL ECOL</t>
  </si>
  <si>
    <t>J. Exp. Mar. Biol. Ecol.</t>
  </si>
  <si>
    <t>10.1016/j.jembe.2020.151498</t>
  </si>
  <si>
    <t>RO4EH</t>
  </si>
  <si>
    <t>WOS:000640997800001</t>
  </si>
  <si>
    <t>Pei, RJ; Kuhnt, W; Holbourn, A; Hingst, J; Koppe, M; Schultz, J; Kopetz, P; Zhang, P; Andersen, N</t>
  </si>
  <si>
    <t>Pei, Renjie; Kuhnt, Wolfgang; Holbourn, Ann; Hingst, Johanna; Koppe, Matthias; Schultz, Jan; Kopetz, Peer; Zhang, Peng; Andersen, Nils</t>
  </si>
  <si>
    <t>Monitoring Australian Monsoon variability over the past four glacial cycles</t>
  </si>
  <si>
    <t>ITCZ; Glacial terminations; Dust; Terrigenous discharge; Oxygen isotopes; X-Ray fluorescence</t>
  </si>
  <si>
    <t>MILLENNIAL-SCALE; ASIAN MONSOON; CONVERGENCE ZONE; SUMMER MONSOON; CLIMATE-CHANGE; INDO-PACIFIC; SEA-LEVEL; ICE-CORE; DEEP-SEA; RECORD</t>
  </si>
  <si>
    <t>We analyse changes in terrigenous sedimentation along the northwestern Australian margin to monitor the latitudinal migration of the Intertropical Convergence Zone (ITCZ) and the shifting boundaries of climatic belts during the last four glacial cycles. We integrate high-resolution X-ray fluorescence (XRF) scanning elemental records from Core SO257-18548 and International Ocean Discovery Program Site U1482, situated southwest of the Scott Plateau at the southern edge of the present-day monsoonal belt, and from Core SO257-18571, located within the dust-cyclone belt offshore Northwest Cape south of the Exmouth Plateau. The chronology of these sediment successions is based on C-14 dating over the last glacial termination and on correlation of the benthic oxygen isotope record to the LR04 stack (Lisiecki and Raymo, 200) and Antarctic ice core chronology. Our XRF derived records of riverine terrigenous run-off and aeolian dust input reveal rapid intensification of monsoonal precipitation and reduction of atmospheric dust during the Younger Dryas and early Holocene as well as during the terminal phase of other major deglaciations. Short-lived monsoonal maxima in the early Holocene (similar to 10 ka), MIS 5e (similar to 130 ka), MIS 7 (similar to 200, similar to 220 and similar to 240 ka), and MIS 9 (similar to 280, similar to 305 and similar to 330 ka) coincide with maxima in atmospheric carbon dioxide and methane concentrations. Monsoon intensification occurs during maxima in Southern Hemisphere spring (September) insolation, when intense heat low pressure cells over the Pilbara region trigger the southward shift of the ITCZ. Within the dust-cyclone belt, riverine sediment discharge was restricted to intervals of high atmospheric CO2 concentrations, when sea surface temperature thresholds promoted cyclone formation in the tropical Indian Ocean. Northwestern Australia remained dry and arid during MIS 5a-d, when the ITCZ was locked in a more northerly position and temperature thresholds were not attained.</t>
  </si>
  <si>
    <t>[Pei, Renjie; Kuhnt, Wolfgang; Holbourn, Ann; Hingst, Johanna; Koppe, Matthias; Schultz, Jan; Kopetz, Peer] Univ Kiel, Inst Geosci, Ludewig Meyn Str 10-14, D-24118 Kiel, Germany; [Hingst, Johanna] Univ Bremen Univ, MARUM, Leobener Str 8, D-28359 Bremen, Germany; [Zhang, Peng] Northwest Univ, Dept Geol, State Key Lab Continental Dynam, Xian 710069, Peoples R China; [Andersen, Nils] Univ Kiel, Leibniz Lab Radiometr Dating &amp; Stable Isotope Res, Max Eyth Str 11-13, D-24118 Kiel, Germany</t>
  </si>
  <si>
    <t>University of Kiel; University of Bremen; Northwest University Xi'an; University of Kiel</t>
  </si>
  <si>
    <t>Pei, RJ (corresponding author), Univ Kiel, Inst Geosci, Ludewig Meyn Str 10-14, D-24118 Kiel, Germany.</t>
  </si>
  <si>
    <t>Renjie.Pei@ifg.uni-kiel.de; Wolfgang.kuhnt@ifg.uni-kiel.de; Ann.Holbourn@ifg.uni-kiel.de; jhingst@marum.de; stu121922@mail.uni-kiel.de; nandersen@leibniz.uni-kiel.de</t>
  </si>
  <si>
    <t>PEI, RENJIE/0000-0001-5578-3653</t>
  </si>
  <si>
    <t>State Scholarship Fund of China Scholarship Council; German Federal Ministry of Education and Research [SO-257, 03G0257A]</t>
  </si>
  <si>
    <t>State Scholarship Fund of China Scholarship Council(China Scholarship Council); German Federal Ministry of Education and Research(Federal Ministry of Education &amp; Research (BMBF))</t>
  </si>
  <si>
    <t>This research used data and samples provided by the International Ocean Discovery Program (IODP). We are grateful to the Sonne 257 and IODP Expedition 363 shipboard scientific parties for all their efforts. Renjie Pei gratefully acknowledges financial support from the State Scholarship Fund of China Scholarship Council. We thank Matthias Huls for AMS 14C analyses at the Leibniz Laboratory for Radiometric Dating and Isotope Research, Kiel and Stefan Jung for fused beat XRF measurements at the Institute of Mineralogy and Petrography in Hamburg. We are grateful for constructive comments from two anonymous reviewers, which helped us to improve the manuscript. This study was funded by the German Federal Ministry of Education and Research (Grant SO-257, WACHEIO, 03G0257A).</t>
  </si>
  <si>
    <t>10.1016/j.palaeo.2021.110280</t>
  </si>
  <si>
    <t>RI2VI</t>
  </si>
  <si>
    <t>WOS:000636766700001</t>
  </si>
  <si>
    <t>Murunga, M</t>
  </si>
  <si>
    <t>Murunga, Michael</t>
  </si>
  <si>
    <t>Towards a better understanding of gendered power in small scale fisheries of the Western Indian Ocean</t>
  </si>
  <si>
    <t>GLOBAL ENVIRONMENTAL CHANGE-HUMAN AND POLICY DIMENSIONS</t>
  </si>
  <si>
    <t>Gender; Small-scale fisheries; Sustainable development; Power; Transformation</t>
  </si>
  <si>
    <t>COMMUNITY-BASED GOVERNANCE; FOOD SECURITY; POVERTY ALLEVIATION; ADAPTIVE CAPACITY; MARINE RESOURCES; NGAZIDJA ISLAND; CLIMATE-CHANGE; FISH TRADERS; SOUTH-AFRICA; MANAGEMENT</t>
  </si>
  <si>
    <t>Scholarship on gender in fisheries is not new. However, while there are many studies on the context and politics of gender and fisheries, understanding how power influences gender equality remains understudied, especially in the Western Indian Ocean. Based on evidence gathered from an interdisciplinary set of literature, including sectoral policies, this article provides nuanced insight at rethinking - how gendered-power dynamics constrain and enable choices and opportunities for addressing gender inequality in small-scale fisheries. Compelling evidence shows that a gendered-power dynamic is crucial for renegotiating gender equality with social norms and politics, including challenging simplistic views on poverty, vulnerability, and subordination of women. The article presents a latent chance for greater reflexivity among development practitioners, researchers, and policymakers on the politics of and transformation towards gender equality in small-scale fisheries.</t>
  </si>
  <si>
    <t>[Murunga, Michael] Univ Bremen, Fac Biol &amp; Chem FB02, Bibliothekstr 1, D-28359 Bremen, Germany; [Murunga, Michael] Marine Res ZMT, Inst &amp; Behav Econ WG, Leibniz Ctr Trop, Fahrerheitstr 6, D-28359 Bremen, Germany; [Murunga, Michael] Univ Tasmania, Ctr Marine Socioecol CMS, Private Bag 129, Hobart, Tas 7001, Australia; [Murunga, Michael] Univ Tasmania, Inst Marine &amp; Antarctic Studies IMAS, Private Bag 129, Hobart, Tas 7001, Australia</t>
  </si>
  <si>
    <t>University of Bremen; University of Tasmania; University of Tasmania</t>
  </si>
  <si>
    <t>Murunga, M (corresponding author), Univ Bremen, Fac Biol &amp; Chem FB02, Bibliothekstr 1, D-28359 Bremen, Germany.;Murunga, M (corresponding author), Marine Res ZMT, Inst &amp; Behav Econ WG, Leibniz Ctr Trop, Fahrerheitstr 6, D-28359 Bremen, Germany.;Murunga, M (corresponding author), Univ Tasmania, Ctr Marine Socioecol CMS, Private Bag 129, Hobart, Tas 7001, Australia.;Murunga, M (corresponding author), Univ Tasmania, Inst Marine &amp; Antarctic Studies IMAS, Private Bag 129, Hobart, Tas 7001, Australia.</t>
  </si>
  <si>
    <t>mich.murunga@gmail.com</t>
  </si>
  <si>
    <t>Murunga, Michael/0000-0002-4163-4224</t>
  </si>
  <si>
    <t>German Academic Exchange Services (DAAD) through Universitat Bremen, Germany</t>
  </si>
  <si>
    <t>German Academic Exchange Services (DAAD) through Universitat Bremen, Germany(Deutscher Akademischer Austausch Dienst (DAAD))</t>
  </si>
  <si>
    <t>This research was partially supported by the German Academic Exchange Services (DAAD) -as a research stay abroad through Universitat Bremen, Germany. I am grateful to numerous colleagues from the Leibniz Centre for Tropical Marine Research (ZMT) who provided useful suggestions, critical insight, and expertise that enriched this article. Thanks to research colleagues from the Western Indian Ocean region for engaging me during the different stages of the research process, including translating documents from other languages. Thanks to colleagues and participants of the Center for Marine Socioecology (CMS) interdisciplinary summer school 2020 for engaging me in discussions. Thanks to the reviewers and editors for their valuable remarks, comments, and time.</t>
  </si>
  <si>
    <t>0959-3780</t>
  </si>
  <si>
    <t>1872-9495</t>
  </si>
  <si>
    <t>GLOBAL ENVIRON CHANG</t>
  </si>
  <si>
    <t>Glob. Environ. Change-Human Policy Dimens.</t>
  </si>
  <si>
    <t>10.1016/j.gloenvcha.2021.102242</t>
  </si>
  <si>
    <t>Environmental Sciences; Environmental Studies; Geography</t>
  </si>
  <si>
    <t>Environmental Sciences &amp; Ecology; Geography</t>
  </si>
  <si>
    <t>RF5GB</t>
  </si>
  <si>
    <t>WOS:000634865600011</t>
  </si>
  <si>
    <t>Liu, MX; Jordan, GJ; Burridge, CP; Clarke, LJ; Baker, SC</t>
  </si>
  <si>
    <t>Liu, Mingxin; Jordan, Gregory J.; Burridge, Christopher P.; Clarke, Laurence J.; Baker, Susan C.</t>
  </si>
  <si>
    <t>Metabarcoding reveals landscape drivers of beetle community composition approximately 50 years after timber harvesting</t>
  </si>
  <si>
    <t>FOREST ECOLOGY AND MANAGEMENT</t>
  </si>
  <si>
    <t>Beetle diversity; Clearcutting; Forest succession; Landscape configuration; Metabarcoding; Reserve design</t>
  </si>
  <si>
    <t>PLANT DIVERSITY; ASSEMBLAGES COLEOPTERA; ENVIRONMENTAL DRIVERS; FOREST MANAGEMENT; ECOLOGICAL DATA; BETA DIVERSITY; BIODIVERSITY; RETENTION; PATTERNS; MATURE</t>
  </si>
  <si>
    <t>Landscape conservation planning in managed forests requires information on the relative importance of different aspects of mature forests. Regeneration forest sites with greater access to source populations for re-establishment of biodiversity are expected to have greater similarity in species composition to unharvested mature areas, i.e., when sites are in close proximity to mature forest (forest influence), and/or have a high percentage of mature forest in the surrounding landscape (landscape context). We investigated how recovery of ground-active beetle biodiversity in the mid-late successional stage (40?58 years) of previously harvested regeneration forests is affected by forest influence, landscape context, and other characteristics of the surrounding landscape. We used DNA metabarcoding to characterise beetle communities in 12 mature forest sites and 64 regeneration forest sites. Generalized dissimilarity modelling (GDM), constrained redundancy analysis, and ordinations evaluated the contribution of predictors (i.e., bioclimate, landscape configuration, regeneration age, spatial position and topography) to beetle composition. Beetle composition was significantly different between different forest ages and landscape context classes. GDM of all predictors explained 34.1% of total variance in beetle community turnover. While the geographic locations of sites accounted for most (75.1%) of composite ecological gradients, the beetle community is subtly influenced by the effects of landscape context (1.8%), forest influence (1.2%) and other variables relating to landscape configuration (collectively 5.2%). Long-term conservation of local biodiversity in managed forests requires maintaining a certain amount of mature forest, but their importance as beetle source populations declines as the regeneration forests mature.</t>
  </si>
  <si>
    <t>[Liu, Mingxin; Jordan, Gregory J.; Burridge, Christopher P.; Baker, Susan C.] Univ Tasmania, Discipline Biol Sci, Private Bag 55, Hobart, Tas 7001, Australia; [Liu, Mingxin; Baker, Susan C.] Univ Tasmania, ARC Ctr Forest Value, Hobart, Tas 7001, Australia; [Clarke, Laurence J.] Australian Antarctic Div, Kingston, Tas 7050, Australia; [Clarke, Laurence J.] Univ Tasmania, Inst Marine &amp; Antarctic Studies, Hobart, Tas 7001, Australia</t>
  </si>
  <si>
    <t>University of Tasmania; University of Tasmania; Australian Antarctic Division; University of Tasmania</t>
  </si>
  <si>
    <t>Liu, MX (corresponding author), Univ Tasmania, Discipline Biol Sci, Private Bag 55, Hobart, Tas 7001, Australia.</t>
  </si>
  <si>
    <t>mingxin.liu@utas.edu.au</t>
  </si>
  <si>
    <t>Jordan, Gregory/B-3932-2013; Burridge, Chris/L-4392-2019; Liu, Mingxin/L-2073-2019; Burridge, Christopher/J-2653-2012</t>
  </si>
  <si>
    <t>Jordan, Gregory/0000-0002-6033-2766; Liu, Mingxin/0000-0003-0436-4058; Burridge, Christopher/0000-0002-8185-6091</t>
  </si>
  <si>
    <t>Australian Research Council [LP140100075]; Forest Practices Authority; China Scholarship Council [201608360109]; National Collaborative Research Infrastructure Strategy; Sustainable Timber Tasmania; VicForests, a Holsworth Wildlife Research Endowment; Australian Research Council [LP140100075] Funding Source: Australian Research Council</t>
  </si>
  <si>
    <t>Australian Research Council(Australian Research Council); Forest Practices Authority; China Scholarship Council(China Scholarship Council); National Collaborative Research Infrastructure Strategy(Australian GovernmentDepartment of Industry, Innovation and Science); Sustainable Timber Tasmania; VicForests, a Holsworth Wildlife Research Endowment; Australian Research Council(Australian Research Council)</t>
  </si>
  <si>
    <t>This project was funded by the Australian Research Council Linkage Grant (LP140100075) with partner organisations Sustainable Timber Tasmania and VicForests, a Holsworth Wildlife Research Endowment for fieldwork and a student research grant for laboratory work from the Forest Practices Authority. ML was also supported by the China Scholarship Council (CSC No. 201608360109). This research was also supported by use of the Nectar Research Cloud; a collaborative Australian research platform supported by the National Collaborative Research Infrastructure Strategy. We thank Sam Wood and Dario RodriguezCubillo (UTAS) for helping with field site selection and GIS data analysis; Marie Yee, Rob Musk and other staff at Sustainable Timber Tasmania for access to study sites, GIS data and logistical support; and volunteers who helped with the fieldwork. We also thank Francis Hui (Australian National University), Leon Barmuta and Grant Williamson (UTAS) for discussing statistical analysis.</t>
  </si>
  <si>
    <t>0378-1127</t>
  </si>
  <si>
    <t>1872-7042</t>
  </si>
  <si>
    <t>FOREST ECOL MANAG</t>
  </si>
  <si>
    <t>For. Ecol. Manage.</t>
  </si>
  <si>
    <t>10.1016/j.foreco.2021.119020</t>
  </si>
  <si>
    <t>Forestry</t>
  </si>
  <si>
    <t>RB7VR</t>
  </si>
  <si>
    <t>WOS:000632316500005</t>
  </si>
  <si>
    <t>Banwell, AF; Datta, RT; Dell, RL; Moussavi, M; Brucker, L; Picard, G; Shuman, CA; Stevens, LA</t>
  </si>
  <si>
    <t>Banwell, Alison F.; Datta, Rajashree Tri; Dell, Rebecca L.; Moussavi, Mahsa; Brucker, Ludovic; Picard, Ghislain; Shuman, Christopher A.; Stevens, Laura A.</t>
  </si>
  <si>
    <t>The 32-year record-high surface melt in 2019/2020 on the northern George VI Ice Shelf, Antarctic Peninsula</t>
  </si>
  <si>
    <t>LARSEN C; SUPRAGLACIAL LAKES; MICROWAVE RADIOMETERS; SEASONAL EVOLUTION; MASS-LOSS; LANDSAT 8; BREAK-UP; CLIMATE; SHEET; MELTWATER</t>
  </si>
  <si>
    <t>In the 2019/2020 austral summer, the surface melt duration and extent on the northern George VI Ice Shelf (GVIIS) was exceptional compared to the 31 previous summers of distinctly lower melt. This finding is based on analysis of near-continuous 41-year satellite microwave radiometer and scatterometer data, which are sensitive to meltwater on the ice shelf surface and in the near-surface snow. Using optical satellite imagery from Landsat 8 (2013 to 2020) and Sentinel-2 (2017 to 2020), record volumes of surface meltwater ponding were also observed on the northern GVIIS in 2019/2020, with 23% of the surface area covered by 0.62 km(3) of ponded meltwater on 19 January. These exceptional melt and surface ponding conditions in 2019/2020 were driven by sustained air temperatures &gt;= 0 degrees C for anomalously long periods (55 to 90 h) from late November onwards, which limited meltwater refreezing. The sustained warm periods were likely driven by warm, low-speed (&lt;= 7.5 m s(-1)) northwesterly and northeasterly winds and not by foehn wind conditions, which were only present for 9 h total in the 2019/2020 melt season. Increased surface ponding on ice shelves may threaten their stability through increased potential for hydrofracture initiation; a risk that may increase due to firn air content depletion in response to near-surface melting.</t>
  </si>
  <si>
    <t>[Banwell, Alison F.; Moussavi, Mahsa] Univ Colorado, Cooperat Inst Res Environm Sci CIRES, Boulder, CO 80309 USA; [Banwell, Alison F.; Dell, Rebecca L.] Univ Cambridge, Scott Polar Res Inst SPRI, Cambridge, England; [Datta, Rajashree Tri; Brucker, Ludovic; Shuman, Christopher A.] NASA, Goddard Space Flight Ctr, Cryospher Sci Lab, Greenbelt, MD USA; [Datta, Rajashree Tri] Univ Maryland, Earth Syst Sci Interdisciplinary Ctr, College Pk, MD 20742 USA; [Datta, Rajashree Tri] Univ Colorado, Dept Atmospher &amp; Ocean Sci ATOC, Boulder, CO 80309 USA; [Moussavi, Mahsa] Univ Colorado, Natl Snow &amp; Ice Data Ctr NSIDC, Boulder, CO 80309 USA; [Brucker, Ludovic] Univ Space Res Assoc, Goddard Earth Sci Technol &amp; Res Studies &amp; Invest, Columbia, MD USA; [Picard, Ghislain] Univ Grenoble Alpes, CNRS, Inst Geosci Environm IGE, UMR 5001, F-5001 Grenoble, France; [Shuman, Christopher A.] Univ Maryland Baltimore Cty, Joint Ctr Earth Syst Technol, Greenbelt, MD USA; [Stevens, Laura A.] Univ Oxford, Dept Earth Sci, Oxford, England; [Stevens, Laura A.] Columbia Univ, Lamont Doherty Earth Observ, Palisades, NY USA</t>
  </si>
  <si>
    <t>University of Colorado System; University of Colorado Boulder; University of Cambridge; National Aeronautics &amp; Space Administration (NASA); NASA Goddard Space Flight Center; University System of Maryland; University of Maryland College Park; University of Colorado System; University of Colorado Boulder; University of Colorado System; University of Colorado Boulder; Universities Space Research Association (USRA); Centre National de la Recherche Scientifique (CNRS); CNRS - National Institute for Earth Sciences &amp; Astronomy (INSU); Communaute Universite Grenoble Alpes; Universite Grenoble Alpes (UGA); University System of Maryland; University of Maryland Baltimore County; University of Oxford; Columbia University</t>
  </si>
  <si>
    <t>Banwell, AF (corresponding author), Univ Colorado, Cooperat Inst Res Environm Sci CIRES, Boulder, CO 80309 USA.;Banwell, AF (corresponding author), Univ Cambridge, Scott Polar Res Inst SPRI, Cambridge, England.</t>
  </si>
  <si>
    <t>alison.banwell@colorado.edu</t>
  </si>
  <si>
    <t>Moussavi, Mahsa S./B-4051-2016; Picard, Ghislain/D-4246-2013; Brucker, Ludovic/A-8029-2010; Brucker, Ludovic/ACJ-3763-2022; Banwell, Alison/W-8180-2018</t>
  </si>
  <si>
    <t>Picard, Ghislain/0000-0003-1475-5853; Brucker, Ludovic/0000-0001-7102-8084; Banwell, Alison/0000-0001-9545-829X; Dell, Rebecca/0000-0001-6617-3906; Datta, Rajashree Tri/0000-0003-2241-0687; Stevens, Laura A./0000-0003-0480-8018</t>
  </si>
  <si>
    <t>U.S. National Science Foundation (NSF) [1841607]; CIRES Postdoctoral Visiting Fellowship; NASA ICESat-2 Project Science office; Natural Environment Research Council (NERC) Doctoral Training Partnership Studentship (CASE with the British Antarctic Survey) [NE/L002507/1]; NSF GEO award [1643715]; NASA Cryospheric Science Program; European Space Agency (ESA) project 4D Antarctica [ESRIN: 4000128611/19/I-DT]; U.S. NSF [1841739]; NERC [NE/T006234/1] Funding Source: UKRI</t>
  </si>
  <si>
    <t>U.S. National Science Foundation (NSF)(National Science Foundation (NSF)); CIRES Postdoctoral Visiting Fellowship; NASA ICESat-2 Project Science office; Natural Environment Research Council (NERC) Doctoral Training Partnership Studentship (CASE with the British Antarctic Survey); NSF GEO award; NASA Cryospheric Science Program; European Space Agency (ESA) project 4D Antarctica; U.S. NSF(National Science Foundation (NSF)); NERC(UK Research &amp; Innovation (UKRI)Natural Environment Research Council (NERC))</t>
  </si>
  <si>
    <t>Alison F. Banwell received support from the U.S. National Science Foundation (NSF) under award no. 1841607 to the University of Colorado Boulder and from a CIRES Postdoctoral Visiting Fellowship. Rajashree Tri Datta was funded by the NASA ICESat-2 Project Science office. Rebecca L. Dell was funded by a Natural Environment Research Council (NERC) Doctoral Training Partnership Studentship (CASE with the British Antarctic Survey, grant no. NE/L002507/1). Mahsa Moussavi was funded by NSF GEO award no. 1643715 to the University of Colorado Boulder. Ludovic Brucker and Christopher A. Shuman were funded by the NASA Cryospheric Science Program. Ghislain Picard was funded by the European Space Agency (ESA) project 4D Antarctica (ESRIN: 4000128611/19/I-DT). Laura A. Stevens received support from the U.S. NSF under award no. 1841739 to Columbia University.</t>
  </si>
  <si>
    <t>FEB 25</t>
  </si>
  <si>
    <t>10.5194/tc-15-909-2021</t>
  </si>
  <si>
    <t>QU9AT</t>
  </si>
  <si>
    <t>WOS:000627572900001</t>
  </si>
  <si>
    <t>Palmroth, M; Grandin, M; Sarris, T; Doornbos, E; Tourgaidis, S; Aikio, A; Buchert, S; Clilverd, MA; Dandouras, I; Heelis, R; Hoffmann, A; Ivchenko, N; Kervalishvili, G; Knudsen, DJ; Kotova, A; Liu, HL; Malaspina, DM; March, G; Marchaudon, A; Marghitu, O; Matsuo, T; Miloch, WJ; Moretto-Jorgensen, T; Mpaloukidis, D; Olsen, N; Papadakis, K; Pfaff, R; Pirnaris, P; Siemes, C; Stolle, C; Suni, J; van den IJssel, J; Verronen, PT; Visser, P; Yamauchi, M</t>
  </si>
  <si>
    <t>Palmroth, Minna; Grandin, Maxime; Sarris, Theodoros; Doornbos, Eelco; Tourgaidis, Stelios; Aikio, Anita; Buchert, Stephan; Clilverd, Mark A.; Dandouras, Iannis; Heelis, Roderick; Hoffmann, Alex; Ivchenko, Nickolay; Kervalishvili, Guram; Knudsen, David J.; Kotova, Anna; Liu, Han-Li; Malaspina, David M.; March, Gunther; Marchaudon, Aurelie; Marghitu, Octav; Matsuo, Tomoko; Miloch, Wojciech J.; Moretto-Jorgensen, Therese; Mpaloukidis, Dimitris; Olsen, Nils; Papadakis, Konstantinos; Pfaff, Robert; Pirnaris, Panagiotis; Siemes, Christian; Stolle, Claudia; Suni, Jonas; van den IJssel, Jose; Verronen, Pekka T.; Visser, Pieter; Yamauchi, Masatoshi</t>
  </si>
  <si>
    <t>Lower-thermosphere-ionosphere (LTI) quantities: current status of measuring techniques and models</t>
  </si>
  <si>
    <t>ANNALES GEOPHYSICAE</t>
  </si>
  <si>
    <t>FIELD-ALIGNED CURRENTS; INTERPLANETARY MAGNETIC-FIELD; TOTAL ELECTRON-CONTENT; ENERGETIC PARTICLE-PRECIPITATION; GLOBAL MHD SIMULATION; EQUATORIAL SPREAD-F; HIGH-LATITUDINAL IONOSPHERE; SOLAR-WIND; GRAVITY-WAVE; POYNTING FLUX</t>
  </si>
  <si>
    <t>The lower-thermosphere-ionosphere (LTI) system consists of the upper atmosphere and the lower part of the ionosphere and as such comprises a complex system coupled to both the atmosphere below and space above. The atmospheric part of the LTI is dominated by laws of continuum fluid dynamics and chemistry, while the ionosphere is a plasma system controlled by electromagnetic forces driven by the magnetosphere, the solar wind, as well as the wind dynamo. The LTI is hence a domain controlled by many different physical processes. However, systematic in situ measurements within this region are severely lacking, although the LTI is located only 80 to 200 km above the surface of our planet. This paper reviews the current state of the art in measuring the LTI, either in situ or by several different remote-sensing methods. We begin by outlining the open questions within the LTI requiring high-quality in situ measurements, before reviewing directly observable parameters and their most important derivatives. The motivation for this review has arisen from the recent retention of the Daedalus mission as one among three competing mission candidates within the European Space Agency (ESA) Earth Explorer 10 Programme. However, this paper intends to cover the LTI parameters such that it can be used as a background scientific reference for any mission targeting in situ observations of the LTI.</t>
  </si>
  <si>
    <t>[Palmroth, Minna; Grandin, Maxime; Papadakis, Konstantinos; Suni, Jonas] Univ Helsinki, Dept Phys, Helsinki, Finland; [Palmroth, Minna; Verronen, Pekka T.] Finnish Meteorol Inst, Space &amp; Earth Observat Ctr, Helsinki, Finland; [Sarris, Theodoros; Tourgaidis, Stelios; Mpaloukidis, Dimitris; Pirnaris, Panagiotis] Democritus Univ Thrace, Dept Elect &amp; Comp Engn, Xanthi, Greece; [Doornbos, Eelco] Royal Netherlands Meteorol Inst KNMI, Utrecht, Netherlands; [Tourgaidis, Stelios] Athena Res &amp; Innovat Ctr, Space Programmes Unit, Athens, Greece; [Aikio, Anita] Univ Oulu, Space Phys &amp; Astron Res Unit, Oulu, Finland; [Buchert, Stephan] Swedish Inst Space Phys IRF, Uppsala, Sweden; [Clilverd, Mark A.] British Antarctic Survey UKRI NERC, Cambridge, England; [Dandouras, Iannis; Kotova, Anna; Marchaudon, Aurelie] Univ Toulouse, CNES, CNRS, Inst Rech Astrophys &amp; Planetol, Toulouse, France; [Heelis, Roderick] Univ Texas Dallas, Ctr Space Sci, Dallas, TX USA; [Hoffmann, Alex] European Space Agcy, European Space Res &amp; Technol Ctr, Noordwijk, Netherlands; [Ivchenko, Nickolay] Royal Inst Technol KTH, Div Space &amp; Plasma Phys, Stockholm, Sweden; [Kervalishvili, Guram; Stolle, Claudia] German Res Ctr Geosci, GFZ Potsdam, Potsdam, Germany; [Knudsen, David J.] Univ Calgary, Dept Phys &amp; Astron, Calgary, AB, Canada; [Liu, Han-Li] Natl Ctr Atmospher Res, POB 3000, Boulder, CO 80307 USA; [Malaspina, David M.] Univ Colorado, Astrophys &amp; Planetary Sci Dept, Boulder, CO 80309 USA; [Malaspina, David M.] Univ Colorado, Lab Atmospher &amp; Space Phys, Boulder, CO 80309 USA; [March, Gunther; Siemes, Christian; van den IJssel, Jose; Visser, Pieter] Delft Univ Technol, Fac Aerosp Engn, Delft, Netherlands; [Marghitu, Octav] Inst Space Sci, Bucharest, Romania; [Matsuo, Tomoko] Univ Colorado, Ann &amp; HJ Smead Dept Aerosp Engn Sci, Boulder, CO 80309 USA; [Miloch, Wojciech J.] Univ Oslo, Dept Phys, Oslo, Norway; [Moretto-Jorgensen, Therese] Univ Bergen, Inst Phys &amp; Technol, Bergen, Norway; [Olsen, Nils] Tech Univ Denmark, DTU Space, Copenhagen, Denmark; [Pfaff, Robert] NASA, Goddard Space Flight Ctr, Heliophys Sci Div, Greenbelt, MD USA; [Stolle, Claudia] Univ Potsdam, Fac Sci, Potsdam, Germany; [Verronen, Pekka T.] Univ Oulu, Sodankyla Geophys Observ, Sodankyla, Finland; [Yamauchi, Masatoshi] Swedish Inst Space Phys IRF, Kiruna, Sweden</t>
  </si>
  <si>
    <t>University of Helsinki; Finnish Meteorological Institute; Democritus University of Thrace; Royal Netherlands Meteorological Institute; University of Oulu; UK Research &amp; Innovation (UKRI); Natural Environment Research Council (NERC); NERC British Antarctic Survey; Universite de Toulouse; Universite Toulouse III - Paul Sabatier; Centre National de la Recherche Scientifique (CNRS); University of Texas System; University of Texas Dallas; European Space Agency; Royal Institute of Technology; Helmholtz Association; Helmholtz-Center Potsdam GFZ German Research Center for Geosciences; University of Calgary; National Center Atmospheric Research (NCAR) - USA; University of Colorado System; University of Colorado Boulder; University of Colorado System; University of Colorado Boulder; Delft University of Technology; Institute of Space Science; University of Colorado System; University of Colorado Boulder; University of Oslo; University of Bergen; Technical University of Denmark; National Aeronautics &amp; Space Administration (NASA); NASA Goddard Space Flight Center; University of Potsdam; University of Oulu</t>
  </si>
  <si>
    <t>Palmroth, M (corresponding author), Univ Helsinki, Dept Phys, Helsinki, Finland.;Palmroth, M (corresponding author), Finnish Meteorol Inst, Space &amp; Earth Observat Ctr, Helsinki, Finland.</t>
  </si>
  <si>
    <t>minna.palmroth@helsinki.fi</t>
  </si>
  <si>
    <t>Grandin, Maxime/AAZ-9888-2020; Verronen, P. T./AIE-0203-2022; Miloch, Wojciech/AAK-8253-2020; Knudsen, David/JJF-1802-2023; Olsen, Nils/AAZ-1044-2021; Miloch, Wojciech/GSJ-0971-2022; Marghitu, Octav/X-8749-2019; Liu, Han-Li/A-9549-2008; Sarris, Theodore/KCL-0355-2024; Ivchenko, Nickolay/W-4656-2017; Verronen, Pekka T/G-6658-2014; Palmroth, Minna/A-7637-2018; Liu, Han/HMD-9231-2023; Miloch, Wojciech/D-4880-2014; Dandouras, Iannis/V-2709-2017</t>
  </si>
  <si>
    <t>Grandin, Maxime/0000-0002-6373-9756; Verronen, P. T./0000-0002-3479-9071; Miloch, Wojciech/0000-0002-5202-750X; Olsen, Nils/0000-0003-1132-6113; Miloch, Wojciech/0000-0002-5202-750X; Marghitu, Octav/0000-0002-5057-653X; Ivchenko, Nickolay/0000-0003-2422-5426; Palmroth, Minna/0000-0003-4857-1227; Liu, Han/0000-0002-5269-8477; Miloch, Wojciech/0000-0002-5202-750X; Stolle, Claudia/0000-0002-5717-1623; Dandouras, Iannis/0000-0002-7121-1118; March, Gunther/0000-0002-3580-6528; Siemes, Christian/0000-0001-8316-1130; Buchert, Stephan/0000-0003-2158-6074; Doornbos, Eelco/0000-0002-9790-8546; Suni, Jonas/0000-0002-3369-4761</t>
  </si>
  <si>
    <t>European Space Agency (ESA/ESTEC) [4000127346/19/NL/IA]; Democritus University of Thrace; European Space Agency [4000127660 MAGICS, 4000118383 SIFACIT]; European Research Council [682068-PRESTISSIMO]; Academy of Finland, Luonnontieteiden ja Tekniikan Tutkimuksen Toimikunta [309937, 312351]; National Science Foundation, USA [1852977, OPP-1443726, AGS-1552153]; NASA [NNX16AB82G, 80NSSC20K0601, 80NSSC20K0633, 80NSSC17K0007]; Research Council of Norway [267408, 275653]; Programme National Soleil-Terre de l'Institut des Sciences de l'Univers (PNST/INSU)</t>
  </si>
  <si>
    <t>European Space Agency (ESA/ESTEC)(European Space Agency); Democritus University of Thrace; European Space Agency(European Space Agency); European Research Council(European Research Council (ERC)); Academy of Finland, Luonnontieteiden ja Tekniikan Tutkimuksen Toimikunta(Research Council of Finland); National Science Foundation, USA(National Science Foundation (NSF)); NASA(National Aeronautics &amp; Space Administration (NASA)); Research Council of Norway(Research Council of Norway); Programme National Soleil-Terre de l'Institut des Sciences de l'Univers (PNST/INSU)</t>
  </si>
  <si>
    <t>This research has been supported by the European Space Agency (ESA/ESTEC) contract number 4000127346/19/NL/IA with the Democritus University of Thrace for the Daedalus science and requirements consolidation study, in the framework of the Earth Explorer 10 Phase-0 feasibility studies (PI: Theodoros Sarris). Further support was provided by the European Space Agency (grant nos. 4000127660 MAGICS, and 4000118383 SIFACIT), the European Research Council (grant no. 682068-PRESTISSIMO), the Academy of Finland, Luonnontieteiden ja Tekniikan Tutkimuksen Toimikunta (grant nos. 309937 and 312351), the National Science Foundation, USA (grant nos. 1852977, OPP-1443726, and AGS-1552153), NASA (grant nos. NNX16AB82G, 80NSSC20K0601, 80NSSC20K0633, and 80NSSC17K0007), the Research Council of Norway (grant nos. 267408 and 275653), and the Programme National Soleil-Terre de l'Institut des Sciences de l'Univers (PNST/INSU).</t>
  </si>
  <si>
    <t>0992-7689</t>
  </si>
  <si>
    <t>1432-0576</t>
  </si>
  <si>
    <t>ANN GEOPHYS-GERMANY</t>
  </si>
  <si>
    <t>Ann. Geophys.</t>
  </si>
  <si>
    <t>10.5194/angeo-39-189-2021</t>
  </si>
  <si>
    <t>Astronomy &amp; Astrophysics; Geosciences, Multidisciplinary; Meteorology &amp; Atmospheric Sciences</t>
  </si>
  <si>
    <t>Astronomy &amp; Astrophysics; Geology; Meteorology &amp; Atmospheric Sciences</t>
  </si>
  <si>
    <t>QR6VH</t>
  </si>
  <si>
    <t>Green Published, Green Accepted, Green Submitted, gold</t>
  </si>
  <si>
    <t>WOS:000625353600001</t>
  </si>
  <si>
    <t>Reed, AJ; Godbold, JA; Solan, M; Grange, LJ</t>
  </si>
  <si>
    <t>Reed, Adam J.; Godbold, Jasmin A.; Solan, Martin; Grange, Laura J.</t>
  </si>
  <si>
    <t>Invariant Gametogenic Response of Dominant Infaunal Bivalves From the Arctic Under Ambient and Near-Future Climate Change Conditions</t>
  </si>
  <si>
    <t>metabolic plasticity; functional response; oogenesis; life-history; dynamic energy-budget</t>
  </si>
  <si>
    <t>ANTARCTIC SEA-URCHIN; LIFE-HISTORY TRAITS; OCEAN ACIDIFICATION; BARENTS SEA; FOOD AVAILABILITY; GROWTH-RATE; MARINE-INVERTEBRATES; CARBONIC-ACID; EGG SIZE; PH</t>
  </si>
  <si>
    <t>Arctic marine ecosystems are undergoing a series of major rapid adjustments to the regional amplification of climate change, but there is a paucity of knowledge about how changing environmental conditions might affect reproductive cycles of seafloor organisms. Shifts in species reproductive ecology may influence their entire life-cycle, and, ultimately, determine the persistence and distribution of taxa. Here, we investigate whether the combined effects of warming and ocean acidification based on near future climate change projections affects the reproductive processes in benthic bivalves (Astarte crenata and Bathyarca glacialis) from the Barents Sea. Both species present large oocytes indicative of lecithotrophic or direct larval development after-4 months exposure to ambient [&lt;2C,-400 ppm (CO2)] and near-future [3-5 degrees C,-550 ppm (CO2)] conditions, but we find no evidence that the combined effects of acidification and warming affect the size frequency distribution of oocytes. Whilst our observations are indicative of resilience of this reproductive stage to global changes, we also highlight that the successful progression of gametogenesis under standard laboratory conditions does not necessarily mean that successful development and recruitment will occur in the natural environment. This is because the metabolic costs of changing environmental conditions are likely to be offset by, as is common practice in laboratory experiments, feeding ad libitum. We discuss our findings in the context of changing food availability in the Arctic and conclude that, if we are to establish the vulnerability of species and ecosystems, there is a need for holistic approaches that incorporate multiple system responses to change. Superscript/Subscript Available</t>
  </si>
  <si>
    <t>[Reed, Adam J.; Godbold, Jasmin A.; Solan, Martin] Univ Southampton, Sch Ocean &amp; Earth Sci, Natl Oceanog Ctr Southampton, Southampton, Hants, England; [Grange, Laura J.] Bangor Univ, Sch Ocean Sci, Bangor, Gwynedd, Wales</t>
  </si>
  <si>
    <t>NERC National Oceanography Centre; University of Southampton; Bangor University</t>
  </si>
  <si>
    <t>Reed, AJ (corresponding author), Univ Southampton, Sch Ocean &amp; Earth Sci, Natl Oceanog Ctr Southampton, Southampton, Hants, England.</t>
  </si>
  <si>
    <t>adam.reed@noc.soton.ac.uk</t>
  </si>
  <si>
    <t>Godbold, Jasmin/AAB-2522-2022; Reed, Adam/Q-7276-2017</t>
  </si>
  <si>
    <t>Godbold, Jasmin/0000-0001-5558-8188; Reed, Adam/0000-0003-2200-5067</t>
  </si>
  <si>
    <t>The Changing Arctic Ocean Seafloor (ChAOS) - how changing sea ice conditions impact biological communities, biogeochemical processes, and ecosystems project - Natural Environment Research Council (NERC) in the United Kingdom [NE/N015894/1, NE/P006426/1]; NERC [NE/N015894/1, NE/P006426/1] Funding Source: UKRI</t>
  </si>
  <si>
    <t>The Changing Arctic Ocean Seafloor (ChAOS) - how changing sea ice conditions impact biological communities, biogeochemical processes, and ecosystems project - Natural Environment Research Council (NERC) in the United Kingdom; NERC(UK Research &amp; Innovation (UKRI)Natural Environment Research Council (NERC))</t>
  </si>
  <si>
    <t>This work was supported by The Changing Arctic Ocean Seafloor (ChAOS) - how changing sea ice conditions impact biological communities, biogeochemical processes, and ecosystems project (NE/N015894/1 and NE/P006426/1, 2017-2021) funded by the Natural Environment Research Council (NERC) in the United Kingdom.</t>
  </si>
  <si>
    <t>10.3389/fmars.2021.576746</t>
  </si>
  <si>
    <t>QQ4RU</t>
  </si>
  <si>
    <t>WOS:000624511500001</t>
  </si>
  <si>
    <t>Kemppinen, J; Niittynen, P; le Roux, PC; Momberg, M; Happonen, K; Aalto, J; Rautakoski, H; Enquist, BJ; Vandvik, V; Halbritter, AH; Maitner, B; Luoto, M</t>
  </si>
  <si>
    <t>Kemppinen, Julia; Niittynen, Pekka; le Roux, Peter C.; Momberg, Mia; Happonen, Konsta; Aalto, Juha; Rautakoski, Helena; Enquist, Brian J.; Vandvik, Vigdis; Halbritter, Aud H.; Maitner, Brian; Luoto, Miska</t>
  </si>
  <si>
    <t>Consistent trait-environment relationships within and across tundra plant communities</t>
  </si>
  <si>
    <t>PHOTOSYNTHETIC RESPONSE; ECONOMICS SPECTRUM; INCIDENT RADIATION; SOIL-TEMPERATURE; VEGETATION; CLIMATE; SHRUB; MOISTURE; ECOLOGY; MODELS</t>
  </si>
  <si>
    <t>Using plant community trait composition data and microclimate and soil chemistry data from four distinct tundra regions, the authors demonstrate strong, consistent trait-environment relationships across Arctic and Antarctic regions. A fundamental assumption in trait-based ecology is that relationships between traits and environmental conditions are globally consistent. We use field-quantified microclimate and soil data to explore if trait-environment relationships are generalizable across plant communities and spatial scales. We collected data from 6,720 plots and 217 species across four distinct tundra regions from both hemispheres. We combined these data with over 76,000 database trait records to relate local plant community trait composition to broad gradients of key environmental drivers: soil moisture, soil temperature, soil pH and potential solar radiation. Results revealed strong, consistent trait-environment relationships across Arctic and Antarctic regions. This indicates that the detected relationships are transferable between tundra plant communities also when fine-scale environmental heterogeneity is accounted for, and that variation in local conditions heavily influences both structural and leaf economic traits. Our results strengthen the biological and mechanistic basis for climate change impact predictions of vulnerable high-latitude ecosystems.</t>
  </si>
  <si>
    <t>[Kemppinen, Julia; Niittynen, Pekka; Happonen, Konsta; Rautakoski, Helena; Luoto, Miska] Univ Helsinki, Helsinki, Finland; [le Roux, Peter C.; Momberg, Mia] Univ Pretoria, Pretoria, South Africa; [Aalto, Juha] Finnish Meteorol Inst, Helsinki, Finland; [Enquist, Brian J.; Maitner, Brian] Univ Arizona, Tucson, AZ USA; [Vandvik, Vigdis; Halbritter, Aud H.] Univ Bergen, Bergen, Norway</t>
  </si>
  <si>
    <t>University of Helsinki; University of Pretoria; Finnish Meteorological Institute; University of Arizona; University of Bergen</t>
  </si>
  <si>
    <t>Kemppinen, J (corresponding author), Univ Helsinki, Helsinki, Finland.</t>
  </si>
  <si>
    <t>julia.kemppinen@gmail.com</t>
  </si>
  <si>
    <t>Luoto, Miska/E-6693-2014; Enquist, Brian J/B-6436-2008; Kemppinen, J./AAD-8393-2020; Niittynen, Pekka/AFJ-8164-2022; le Roux, Peter Christiaan/E-7784-2011; Vandvik, Vigdis/C-1924-2008; Momberg, Mia/ABB-8770-2021; Aalto, Juha/O-1472-2019</t>
  </si>
  <si>
    <t>Enquist, Brian J/0000-0002-6124-7096; Kemppinen, J./0000-0001-7521-7229; Niittynen, Pekka/0000-0002-7290-029X; le Roux, Peter Christiaan/0000-0002-7941-7444; Vandvik, Vigdis/0000-0003-4651-4798; Momberg, Mia/0000-0002-8901-9271; Aalto, Juha/0000-0001-6819-4911; Luoto, Miska/0000-0001-6203-5143; Rautakoski, Helena/0000-0002-5297-286X; Maitner, Brian/0000-0002-2118-9880</t>
  </si>
  <si>
    <t>Doctoral Programme in Geosciences at the University of Helsinki; Kone Foundation; National Research Foundation via the SANAP programme; Doctoral Programme in Wildlife Biology Research at the University of Helsinki; National Research Foundation's South African National Antarctic Program [93077, 110726]; Finnish Ministry of Education and Culture (The FinCEAL Plus BRIDGES); Academy of Finland [307761, 286950]</t>
  </si>
  <si>
    <t>Doctoral Programme in Geosciences at the University of Helsinki; Kone Foundation; National Research Foundation via the SANAP programme; Doctoral Programme in Wildlife Biology Research at the University of Helsinki; National Research Foundation's South African National Antarctic Program; Finnish Ministry of Education and Culture (The FinCEAL Plus BRIDGES); Academy of Finland(Research Council of Finland)</t>
  </si>
  <si>
    <t>We thank the past and present members of the BioGeoClimate Modelling Lab and the le Roux Lab for their hard work collecting the field data. We also thank the laboratory personnel at the University of Helsinki and University of Pretoria, as well as the staff at The University Centre in Svalbard, Kangerlussuaq International Support Services, Kilpisjarvi Biological research station and Marion Island field assistants (specifically E. Mostert, N. Mhlongo, J. van Berkel and J. Schoombie). We are also grateful to P. Eidesen for helping with the temperature loggers and E. Pedersen for his help regarding HGAMs. We thank H. Riihimaki for providing the drone image composition, on which the study grid vector is based in Fig. 1. J.K. was funded by the Doctoral Programme in Geosciences at the University of Helsinki, P.N. by the Kone Foundation, M.M. by the National Research Foundation via the SANAP programme and K.H. by the Doctoral Programme in Wildlife Biology Research at the University of Helsinki. The field campaigns were funded by the Academy of Finland (project numbers 307761 and 286950) and the National Research Foundation's South African National Antarctic Program (unique grant numbers 93077 and 110726). We acknowledge the funding by the Finnish Ministry of Education and Culture (The FinCEAL Plus BRIDGES coordinated by the Finnish University Partnership for International Development). Permission to carry out fieldwork was granted by the Governor of Svalbard for the high-Arctic site, the Government of Greenland for the low-Arctic site, Metsahallitus for the sub-Arctic site and the Prince Edward Islands Management Committee (permit PEIMC1/2013) for the sub-Antarctic site.</t>
  </si>
  <si>
    <t>10.1038/s41559-021-01396-1</t>
  </si>
  <si>
    <t>RI6HH</t>
  </si>
  <si>
    <t>WOS:000621733500003</t>
  </si>
  <si>
    <t>Xue, M; Zhu, GP</t>
  </si>
  <si>
    <t>Xue, Mei; Zhu, Guoping</t>
  </si>
  <si>
    <t>Variation in fatty acids of Antarctic krill (Euphausia superba) preserved under constant dry conditions: Does storage time and ontogeny matter?</t>
  </si>
  <si>
    <t>JOURNAL OF FOOD PROCESSING AND PRESERVATION</t>
  </si>
  <si>
    <t>LIPID OXIDATION; FROZEN STORAGE; CHOLESTEROL; EXTRACTION; TISSUE; PEROXIDATION; TEMPERATURE; PRODUCTS; STEROLS</t>
  </si>
  <si>
    <t>As a key species in the Antarctic food web, Antarctic krill (Euphausia superba) is a potentially healthy source of lipids, containing two of the most important omega 3 fatty acids. However, the degree of unsaturation of long-chain polyunsaturated fatty acids, especially those from the omega 3 family, makes dry samples of the species vulnerable to oxidative degradation during long-term storage. The ontogenetic and temporal variation in fatty acids of dry krill tissues preserved under ambient temperature is unclear. To investigate the effects of long-term storage at ambient temperatures on degradation of fatty acids in krill, variation in the fatty acid composition of dried tissues at 0, 4, and 8 months was investigated. The results showed that storage time had a significant effect on fatty acid composition. When preserved for up to 4 months, the fatty acid content of krill changed dramatically, after which the proportion of fatty acids stabilized. Sensitivity to oxidation varied with the type of fatty acid, and krill size had an effect on the antioxidant capacity of fatty acids. Novelty impact statement The ontogenetic and temporal variation in fatty acids of dry Antarctic krill (Euphausia superba) tissues preserved under ambient temperature was investigated. Storage time had a significant effect on fatty acid composition for long-term storage of dried krill tissue preserved at a constant temperature. Krill size affected the degree of fatty acid oxidation and larger individuals lost more polyunsaturated fatty acids in the long term (8 months). Four months is a valuable reference for studying the effects of storage time on fatty acid degradation of krill tissue to maximize its nutritional value.</t>
  </si>
  <si>
    <t>[Xue, Mei; Zhu, Guoping] Shanghai Ocean Univ, Coll Marine Sci, Shanghai 201306, Peoples R China; [Xue, Mei; Zhu, Guoping] Shanghai Ocean Univ, Ctr Polar Res, Shanghai, Peoples R China; [Zhu, Guoping] Natl Engn Res Ctr Ocean Fisheries, Shanghai, Peoples R China; [Zhu, Guoping] Shanghai Ocean Univ, Minist Educ, Key Lab Sustainable Exploitat Ocean Fisheries Res, Polar Marine Ecosyst Grp, Shanghai, Peoples R China</t>
  </si>
  <si>
    <t>Shanghai Ocean University; Shanghai Ocean University; National Engineering Research Center for Oceanic Fisheries; Shanghai Ocean University</t>
  </si>
  <si>
    <t>Zhu, GP (corresponding author), Shanghai Ocean Univ, Coll Marine Sci, Shanghai 201306, Peoples R China.</t>
  </si>
  <si>
    <t>gpzhu@shou.edu.cn</t>
  </si>
  <si>
    <t>ZHU, Guo-ping/D-1002-2010</t>
  </si>
  <si>
    <t>Zhu, Guoping/0000-0001-6081-7811</t>
  </si>
  <si>
    <t>National Science Foundation of China [41776185]; National Key R&amp;D Program of China [2018YFC1406801]</t>
  </si>
  <si>
    <t>National Science Foundation of China(National Natural Science Foundation of China (NSFC)); National Key R&amp;D Program of China</t>
  </si>
  <si>
    <t>National Science Foundation of China, Grant/Award Number: 41776185; National Key R&amp;D Program of China, Grant/Award Number: 2018YFC1406801</t>
  </si>
  <si>
    <t>WILEY-HINDAWI</t>
  </si>
  <si>
    <t>ADAM HOUSE, 3RD FL, 1 FITZROY SQ, LONDON, WIT 5HE, ENGLAND</t>
  </si>
  <si>
    <t>0145-8892</t>
  </si>
  <si>
    <t>1745-4549</t>
  </si>
  <si>
    <t>J FOOD PROCESS PRES</t>
  </si>
  <si>
    <t>J. Food Process Preserv.</t>
  </si>
  <si>
    <t>e15357</t>
  </si>
  <si>
    <t>10.1111/jfpp.15357</t>
  </si>
  <si>
    <t>Food Science &amp; Technology</t>
  </si>
  <si>
    <t>RM3FW</t>
  </si>
  <si>
    <t>WOS:000621509600001</t>
  </si>
  <si>
    <t>Singh, HA; Polvani, LM</t>
  </si>
  <si>
    <t>Singh, Hansi A.; Polvani, Lorenzo M.</t>
  </si>
  <si>
    <t>Low Antarctic continental climate sensitivity due to high ice sheet orography (vol 3, 39, 2020)</t>
  </si>
  <si>
    <t>NPJ CLIMATE AND ATMOSPHERIC SCIENCE</t>
  </si>
  <si>
    <t>A Correction to this paper has been published: https://doi.org/10.1038/s41612-021-00170-1</t>
  </si>
  <si>
    <t>Singh, Hansi/0000-0002-8651-9094</t>
  </si>
  <si>
    <t>2397-3722</t>
  </si>
  <si>
    <t>NPJ CLIM ATMOS SCI</t>
  </si>
  <si>
    <t>npj Clim. Atmos. Sci.</t>
  </si>
  <si>
    <t>10.1038/s41612-021-00170-1</t>
  </si>
  <si>
    <t>QM5RG</t>
  </si>
  <si>
    <t>WOS:000621835800001</t>
  </si>
  <si>
    <t>Bergstrom, DM; Wienecke, BC; van den Hoff, J; Hughes, L; Lindenmayer, DB; Ainsworth, TD; Baker, CM; Bland, L; Bowman, DMJS; Brooks, ST; Canadell, JG; Constable, AJ; Dafforn, KA; Depledge, MH; Dickson, CR; Duke, NC; Helmstedt, KJ; Holz, A; Johnson, CR; McGeoch, MA; Melbourne-Thomas, J; Morgain, R; Nicholson, E; Prober, SM; Raymond, B; Ritchie, EG; Robinson, SA; Ruthrof, KX; Setterfield, SA; Sgrò, CM; Stark, JS; Travers, T; Trebilco, R; Ward, DFL; Wardle, GM; Williams, KJ; Zylstra, PJ; Shaw, JD</t>
  </si>
  <si>
    <t>Bergstrom, Dana M.; Wienecke, Barbara C.; van den Hoff, John; Hughes, Lesley; Lindenmayer, David B.; Ainsworth, Tracy D.; Baker, Christopher M.; Bland, Lucie; Bowman, David M. J. S.; Brooks, Shaun T.; Canadell, Josep G.; Constable, Andrew J.; Dafforn, Katherine A.; Depledge, Michael H.; Dickson, Catherine R.; Duke, Norman C.; Helmstedt, Kate J.; Holz, Andres; Johnson, Craig R.; McGeoch, Melodie A.; Melbourne-Thomas, Jessica; Morgain, Rachel; Nicholson, Emily; Prober, Suzanne M.; Raymond, Ben; Ritchie, Euan G.; Robinson, Sharon A.; Ruthrof, Katinka X.; Setterfield, Samantha A.; Sgro, Carla M.; Stark, Jonathan S.; Travers, Toby; Trebilco, Rowan; Ward, Delphi F. L.; Wardle, Glenda M.; Williams, Kristen J.; Zylstra, Phillip J.; Shaw, Justine D.</t>
  </si>
  <si>
    <t>Combating ecosystem collapse from the tropics to the Antarctic</t>
  </si>
  <si>
    <t>adaptive management; climate change; ecosystem collapse; human impacts; pressures</t>
  </si>
  <si>
    <t>REGIME SHIFTS; GLOBAL BIODIVERSITY; CLIMATE-CHANGE; RESILIENCE; MARINE; FIRE; CONSERVATION; FORESTS; PROTECT; RISK</t>
  </si>
  <si>
    <t>Globally, collapse of ecosystems-potentially irreversible change to ecosystem structure, composition and function-imperils biodiversity, human health and well-being. We examine the current state and recent trajectories of 19 ecosystems, spanning 58 degrees of latitude across 7.7 M km(2), from Australia's coral reefs to terrestrial Antarctica. Pressures from global climate change and regional human impacts, occurring as chronic 'presses' and/or acute 'pulses', drive ecosystem collapse. Ecosystem responses to 5-17 pressures were categorised as four collapse profiles-abrupt, smooth, stepped and fluctuating. The manifestation of widespread ecosystem collapse is a stark warning of the necessity to take action. We present a three-step assessment and management framework (3As Pathway Awareness, Anticipation and Action) to aid strategic and effective mitigation to alleviate further degradation to help secure our future.</t>
  </si>
  <si>
    <t>[Bergstrom, Dana M.; Wienecke, Barbara C.; van den Hoff, John; Raymond, Ben; Stark, Jonathan S.] Australian Antarctic Div, Dept Agr Water &amp; Environm, Kingston, Tas, Australia; [Bergstrom, Dana M.; Robinson, Sharon A.] Univ Wollongong, Global Challenges Program, Wollongong, NSW, Australia; [Hughes, Lesley; Dafforn, Katherine A.] Macquarie Univ, Sydney, NSW, Australia; [Lindenmayer, David B.; Morgain, Rachel] Australian Natl Univ, Fenner Sch Environm &amp; Soc, Canberra, ACT, Australia; [Ainsworth, Tracy D.] Univ New South Wales, Sch Biol Earth &amp; Environm Sci, Randwick, NSW, Australia; [Baker, Christopher M.] Univ Melbourne, Sch Math &amp; Stat, Parkville, Vic, Australia; [Baker, Christopher M.] Univ Melbourne, Melbourne Ctr Data Sci, Parkville, Vic, Australia; [Baker, Christopher M.] Univ Melbourne, Ctr Excellence Biosecur Risk Anal, Parkville, Vic, Australia; [Bland, Lucie] Eureka Publishing, Thornbury, Vic, Australia; [Bowman, David M. J. S.] Univ Tasmania, Sch Nat Sci, Hobart, Tas, Australia; [Brooks, Shaun T.; Johnson, Craig R.; Raymond, Ben; Travers, Toby; Ward, Delphi F. L.] Univ Tasmania, Inst Marine &amp; Antarctic Studies, Battery Point, Tas, Australia; [Canadell, Josep G.] CSIRO, Climate Sci Ctr, Black Mt, ACT, Australia; [Constable, Andrew J.; Melbourne-Thomas, Jessica; Trebilco, Rowan] Univ Tasmania, Ctr Marine Socioecol, Battery Point, Tas, Australia; [Depledge, Michael H.] Univ Exeter, Med Sch, European Ctr Environm &amp; Human Hlth, Truro, England; [Dickson, Catherine R.; McGeoch, Melodie A.; Sgro, Carla M.] Monash Univ, Sch Biol Sci, Clayton, Vic, Australia; [Duke, Norman C.] James Cook Univ, Ctr Trop Water &amp; Aquat Ecosyst Res, Townsville, Qld, Australia; [Helmstedt, Kate J.] Queensland Univ Technol, Sch Math Sci, Brisbane, Qld, Australia; [Holz, Andres] Portland State Univ, Dept Geog, Portland, OR 97207 USA; [Melbourne-Thomas, Jessica; Trebilco, Rowan] CSIRO, Oceans &amp; Atmosphere, Battery Point, Tas, Australia; [Nicholson, Emily; Ritchie, Euan G.] Deakin Univ, Sch Life &amp; Environm Sci, Ctr Integrat Ecol, Burwood, Vic, Australia; [Prober, Suzanne M.] CSIRO, Land &amp; Water, Wembley, WA, Australia; [Robinson, Sharon A.; Zylstra, Phillip J.] Univ Wollongong, Ctr Sustainable Ecosyst Solut, Wollongong, NSW, Australia; [Ruthrof, Katinka X.] Dept Biodivers Conservat &amp; Attract, Kensington, WA, Australia; [Ruthrof, Katinka X.] Murdoch Univ, Environm &amp; Conservat Sci, Murdoch, WA, Australia; [Setterfield, Samantha A.] Univ Western Australia, Sch Biol Sci, Perth, WA, Australia; [Wardle, Glenda M.] Univ Sydney, Sch Life &amp; Environm Sci, Sydney, NSW, Australia; [Williams, Kristen J.] CSIRO, Canberra, ACT, Australia; [Zylstra, Phillip J.] Curtin Univ, Sch Mol &amp; Life Sci, Bentley, WA, Australia; [Shaw, Justine D.] Univ Queensland, Sch Biol Sci, St Lucia, Qld, Australia</t>
  </si>
  <si>
    <t>Australian Antarctic Division; University of Wollongong; Macquarie University; Australian National University; University of New South Wales Sydney; University of Melbourne; University of Melbourne; University of Melbourne; University of Tasmania; University of Tasmania; Commonwealth Scientific &amp; Industrial Research Organisation (CSIRO); University of Tasmania; University of Exeter; Monash University; James Cook University; Queensland University of Technology (QUT); Portland State University; Commonwealth Scientific &amp; Industrial Research Organisation (CSIRO); Deakin University; Commonwealth Scientific &amp; Industrial Research Organisation (CSIRO); University of Wollongong; Murdoch University; University of Western Australia; University of Sydney; Commonwealth Scientific &amp; Industrial Research Organisation (CSIRO); Curtin University; University of Queensland</t>
  </si>
  <si>
    <t>Bergstrom, DM (corresponding author), Australian Antarctic Div, GPO Box 858, Canberra, ACT 2601, Australia.</t>
  </si>
  <si>
    <t>dana.bergstrom@awe.gov.au</t>
  </si>
  <si>
    <t>Prober, Suzanne/G-6465-2010; Melbourne-Thomas, Jess/N-2437-2019; Bergstrom, Dana/AAC-2837-2022; Lindenmayer, David/P-7183-2017; Bowman, David M.J.S./A-2930-2011; Nicholson, Emily/H-9001-2013; Setterfield, Samantha/ABD-1481-2021; Holz, Andres/D-1826-2014; Trebilco, Rowan/I-5311-2012; Robinson, Sharon/B-2683-2008; Duke, Norman C/K-5729-2013; Zylstra, Philip/O-2587-2016; Ritchie, Euan/N-1088-2014; Bland, Lucie Morgane/AAU-8712-2020; Wardle, Glenda/ABD-9228-2021; Canadell, Pep/E-9419-2010; Williams, Kristen Jennifer/B-9941-2008; McGeoch, Melodie/F-8353-2011; AINSWORTH, TRACY/L-7309-2016; Dickson, Catherine/J-5698-2016; Dafforn, Katherine/J-9647-2013</t>
  </si>
  <si>
    <t>Prober, Suzanne/0000-0002-6518-239X; Melbourne-Thomas, Jess/0000-0001-6585-876X; Bergstrom, Dana/0000-0001-8484-8954; Bowman, David M.J.S./0000-0001-8075-124X; Holz, Andres/0000-0002-8587-2603; Trebilco, Rowan/0000-0001-9712-8016; Robinson, Sharon/0000-0002-7130-9617; Zylstra, Philip/0000-0002-6946-866X; Wardle, Glenda/0000-0003-0189-1899; Canadell, Pep/0000-0002-8788-3218; Williams, Kristen Jennifer/0000-0002-7324-5880; McGeoch, Melodie/0000-0003-3388-2241; Baker, Christopher/0000-0001-9449-3632; Setterfield, Samantha/0000-0002-7470-4997; AINSWORTH, TRACY/0000-0001-6476-9263; Hughes, Lesley/0000-0003-0313-9780; Dickson, Catherine/0000-0002-9701-346X; Depledge, Michael/0000-0002-7216-0439; Brooks, Shaun/0000-0002-0516-7841; Ward, Delphi/0000-0002-1802-2617; Dafforn, Katherine/0000-0001-8848-377X; Helmstedt, Kate/0000-0003-0201-5348; Morgain, Rachel/0000-0003-4847-7177</t>
  </si>
  <si>
    <t>National Science Foundation [0966472, 1738104, 1832483]; Australian Academy of Science; Australian Antarctic Division; University of Queensland; Australian Government [DE200101791]; Australian Antarctic Program [4312]; Directorate For Geosciences; Division Of Earth Sciences [1738104] Funding Source: National Science Foundation; Division Of Behavioral and Cognitive Sci; Direct For Social, Behav &amp; Economic Scie [1832483] Funding Source: National Science Foundation; Office Of The Director; Office Of Internatl Science &amp;Engineering [0966472] Funding Source: National Science Foundation; Australian Research Council [DE200101791] Funding Source: Australian Research Council</t>
  </si>
  <si>
    <t>National Science Foundation(National Science Foundation (NSF)); Australian Academy of Science; Australian Antarctic Division; University of Queensland(University of Queensland); Australian Government(Australian Government); Australian Antarctic Program; Directorate For Geosciences; Division Of Earth Sciences(National Science Foundation (NSF)NSF - Directorate for Geosciences (GEO)); Division Of Behavioral and Cognitive Sci; Direct For Social, Behav &amp; Economic Scie(National Science Foundation (NSF)NSF - Directorate for Social, Behavioral &amp; Economic Sciences (SBE)); Office Of The Director; Office Of Internatl Science &amp;Engineering(National Science Foundation (NSF)NSF - Office of the Director (OD)); Australian Research Council(Australian Research Council)</t>
  </si>
  <si>
    <t>National Science Foundation, Grant/Award Number: 0966472, 1738104 and 1832483; Australian Academy of Science; Australian Antarctic Division; The University of Queensland; Australian Government, Grant/Award Number: DE200101791; Australian Antarctic Program, Grant/Award Number: 4312</t>
  </si>
  <si>
    <t>10.1111/gcb.15539</t>
  </si>
  <si>
    <t>RJ9RX</t>
  </si>
  <si>
    <t>Bronze, Green Submitted, Green Published</t>
  </si>
  <si>
    <t>WOS:000621487900001</t>
  </si>
  <si>
    <t>Cecchetto, M; Di Cesare, A; Eckert, E; Fassio, G; Fontaneto, D; Moro, I; Oliverio, M; Sciuto, K; Tassistro, G; Vezzulli, L; Schiaparelli, S</t>
  </si>
  <si>
    <t>Cecchetto, Matteo; Di Cesare, Andrea; Eckert, Ester; Fassio, Giulia; Fontaneto, Diego; Moro, Isabella; Oliverio, Marco; Sciuto, Katia; Tassistro, Giovanni; Vezzulli, Luigi; Schiaparelli, Stefano</t>
  </si>
  <si>
    <t>Antarctic coastal nanoplankton dynamics revealed by metabarcoding of desalination plant filters: Detection of short-term events and implications for routine monitoring</t>
  </si>
  <si>
    <t>Antarctica; Ross Sea; Terra Nova Bay; Coastal plankton; Monitoring; Desalination plant; DNA metabarcoding</t>
  </si>
  <si>
    <t>REVERSE-OSMOSIS DESALINATION; RIBOSOMAL-RNA SEQUENCES; ROSS SEA; NOVA BAY; PHAEOCYSTIS-ANTARCTICA; PHYTOPLANKTON BIOMASS; INORGANIC PARTICULATE; ENVIRONMENTAL DNA; BLOOM PHENOLOGY; TIME-SERIES</t>
  </si>
  <si>
    <t>One of the main requirements of any sound biological monitoring is the availability of long term and, possibly, temporal data with a high resolution. This is often difficult to be achieved, especially in Antarctica, due to a variety of logistic constraints, which make continuous sampling and monitoring activities generally unfeasible. Here we focus on the 5 mu m filters used in the desalination plant of the Italian research base Mario Zucchelli in the Terra Nova Bay area (Ross Sea, Antarctica) to evaluate infra-annual coastal nanoplankton dynamics. These filters, together with others of larger mesh sizes, are used to decrease the amount of organisms and debris in the input seawater before the desalination processes take place, hence automatically collect the plankton present in the water column around the desalination system intake. We have used a DNA metabarcoding approach to characterize the communities retained by filters sets collected in January 2012 and 2013. Infra-annual dynamics were disclosed with an unprecedented detail, that would not have been possible by using standard sampling approaches, and highlighted the importance of extreme, stochastic events such as katabatic wind pulses, which triggered dramatic, short-term shifts in coastal nanoplankton composition. This method, by combining a cost-effective sampling and molecular techniques, may represent a viable solution for long-term monitoring programs focusing on Antarctic coastal communities. (C) 2020 Elsevier B.V. All rights reserved.</t>
  </si>
  <si>
    <t>[Cecchetto, Matteo; Schiaparelli, Stefano] Univ Genoa, Sect Genoa, Italian Natl Antarctic Museum MNA, Genoa, Italy; [Cecchetto, Matteo; Tassistro, Giovanni; Vezzulli, Luigi; Schiaparelli, Stefano] Univ Genoa, Dept Earth Environm &amp; Life Sci DISTAV, Genoa, Italy; [Di Cesare, Andrea; Eckert, Ester; Fontaneto, Diego] Natl Res Council Italy, Water Res Inst CNR IRSA, Verbania, Italy; [Fassio, Giulia; Oliverio, Marco] Sapienza Univ Rome, Dept Biol &amp; Biotechnol Charles Darwin, Rome, Italy; [Moro, Isabella; Sciuto, Katia] Univ Padua, Dept Biol, Padua, Italy; [Sciuto, Katia] Ca Foscari Univ Venice, Dept Environm Sci Informat &amp; Stat, Venice, Italy</t>
  </si>
  <si>
    <t>University of Genoa; University of Genoa; Consiglio Nazionale delle Ricerche (CNR); Istituto di Ricerca sulle Acque (IRSA-CNR); Sapienza University Rome; University of Padua; Universita Ca Foscari Venezia</t>
  </si>
  <si>
    <t>Cecchetto, M (corresponding author), Univ Genoa, Sect Genoa, Italian Natl Antarctic Museum MNA, Genoa, Italy.</t>
  </si>
  <si>
    <t>matteocecchetto@gmail.com</t>
  </si>
  <si>
    <t>Di Cesare, Andrea/P-5157-2016; Fassio, Giulia/H-2132-2018; OLIVERIO, MARCO/F-2229-2010; Cecchetto, Matteo/KGL-8310-2024; Sciuto, Katia/Y-1035-2019; Eckert, Ester M/J-5989-2014</t>
  </si>
  <si>
    <t>Cecchetto, Matteo/0000-0002-4505-4104; Sciuto, Katia/0000-0001-7426-8497; Fassio, Giulia/0000-0003-1767-1452</t>
  </si>
  <si>
    <t>Italian National Antarctic Program (PNRA) [PNRA 16_00120]</t>
  </si>
  <si>
    <t>Italian National Antarctic Program (PNRA)</t>
  </si>
  <si>
    <t>We are indebted to the ENEA colleagues Francesco Pellegrino and Franco Ricci (Technical Services Leader and research Expedition Leader respectively) for their collaboration in the field and to the personnel in charge of the desalination plant during the 2011-2012, 2012-2013 and 2018-2019 field seasons, in particular Roberto Calvigioni, Fabio Baglioni, Matteo Villani, for their collaboration and assistance during filter sampling procedures. Wewish to thank theOcean Biology ProcessingGroup (OBPG) at NASA's Goddard Space Flight Center for data availability at: https://oceancolor.gsfc.nasa.gov/.The PNRA Meteo-Climatological Observatory (http://www.climantartide.it) has kindly allowed the use of data regarding surface air temperature and wind direction and velocity. This research was funded by the Italian National Antarctic Program (PNRA) project PNRA 16_00120 -TNB-CODE: Terra Nova Bay barCODing and mEtabarcoding of Antarctic organisms from marine and limno-terrestrial environments (PI: S. Schiaparelli). This paper is also an Italian contribution to the CCAMLR CONSERVATION MEASURE 91-05 (2016) for the Ross Sea region Marine Protected Area, specifically, addressing the priorities of Annex 91-05/C, and a contribution to the SCAR-ANTOS Expert Group (https://www.scar.org/science/antos/home/).The authors would also like to thank three anonymous reviewers for their helpful comments that greatly improved the manuscript.</t>
  </si>
  <si>
    <t>10.1016/j.scitotenv.2020.143809</t>
  </si>
  <si>
    <t>PN4EF</t>
  </si>
  <si>
    <t>WOS:000604432900075</t>
  </si>
  <si>
    <t>Hillenbrand, CD; Crowhurst, SJ; Williams, M; Hodell, DA; McCave, IN; Ehrmann, W; Xuan, C; Piotrowski, AM; Hernández-Molina, FJ; Graham, AGC; Grobe, H; Williams, TJ; Horrocks, JR; Allen, CS; Larter, RD</t>
  </si>
  <si>
    <t>Hillenbrand, C-D; Crowhurst, S. J.; Williams, M.; Hodell, D. A.; McCave, I. N.; Ehrmann, W.; Xuan, C.; Piotrowski, A. M.; Hernandez-Molina, F. J.; Graham, A. G. C.; Grobe, H.; Williams, T. J.; Horrocks, J. R.; Allen, C. S.; Larter, R. D.</t>
  </si>
  <si>
    <t>New insights from multi-proxy data from the West Antarctic continental rise: Implications for dating and interpreting Late Quaternary palaeoenvironmental records</t>
  </si>
  <si>
    <t>Antarctic Peninsula; Bioturbation; Bottom current; Carbon burn-down; Contourites; Ice-rafted debris; Manganese enrichment; Non-steady-state diagenesis; Sediment drifts</t>
  </si>
  <si>
    <t>The Antarctic Peninsula's Pacific margin is one of the best studied sectors of the Antarctic continental margin. Since the 1990s, several research cruises have targeted the continental rise with geophysical surveys, conventional coring and deep-sea drilling. The previous studies highlighted the potential of large sediment drifts on the rise as high-resolution palaeoenvironmental archives. However, these studies also suffered from chronological difficulties arising from the lack of calcareous microfossils, with initial results from geomagnetic relative palaeointensity (RPI) dating promising a possible solution. This paper presents data from new sediment cores recovered on cruise JR298 from seven continental rise sites west of the Antarctic Peninsula and in the Bellingshausen Sea with the objectives to (i) seek calcareous foraminifera, especially at shallow drift sites, to constrain RPI-based age models, and (ii) investigate the depositional history at these locations. We present the results of chronological and multiproxy analyses on these cores and two cores previously collected from the study area. We establish new age models for the JR298 records and compare them with published RPI-based age models. In addition, we evaluate the reliability of different palaeoproductivity proxies and infer depositional processes. Planktic foraminifera are present in various core intervals. Although their stable oxygen isotope (delta O-18) ratios, tephrochronological constraints and glacial-interglacial changes in sediment composition provide age models largely consistent with the RPI chronologies, we also observe distinct differences, predominantly in the Bellingshausen Sea cores. Enrichments of solid-phase manganese together with evidence for burn-down of organic carbon in late glacial and peak interglacial sediments document non-steady-state diagenesis that may have altered magnetic mineralogy and, thus, RPI proxies. This process may explain discrepancies between RPI-based age models and those derived from delta O-18 data combined with tephrochronology. The data also indicate that organic carbon is a much less reliable productivity proxy than biogenic barium or organically-associated bromine in the investigated sediments. In agreement with previous studies, sediment facies indicate a strong control of deposition on the rise by bottom currents that interacted with detritus supplied by meltwater plumes, gravitational downslope transport processes and pelagic settling of iceberg-rafted debris (IRD) and planktic microfossils. Bottom-current velocities underwent only minor changes over glacial-interglacial cycles at the drift crests, with down-slope deposition only rarely affecting these shallow locations. Maximum concentrations of coarse IRD at the seafloor surfaces of the shallow sites result predominantly from upward pumping caused by extensive bioturbation. This process has to be taken into account when past changes in IRD deposition are inferred from quantifying clasts &gt;1 mm in size. (C) 2021 The Author(s). Published by Elsevier Ltd.</t>
  </si>
  <si>
    <t>[Hillenbrand, C-D; Williams, M.; Williams, T. J.; Allen, C. S.; Larter, R. D.] British Antarctic Survey, Madingley Rd, Cambridge CB3 0ET, England; [Crowhurst, S. J.; Hodell, D. A.; McCave, I. N.; Piotrowski, A. M.; Williams, T. J.] Univ Cambridge, Dept Earth Sci, Downing St, Cambridge CB2 3EQ, England; [Ehrmann, W.] Univ Leipzig, Inst Geophys &amp; Geol, Talstr 35, D-04103 Leipzig, Germany; [Xuan, C.] Univ Southampton, Natl Oceanog Ctr Southampton, Sch Ocean &amp; Earth Sci, Waterfront Campus,European Way, Southampton SO14 3ZH, Hants, England; [Hernandez-Molina, F. J.] Royal Holloway Univ London, Dept Earth Sci, Egham TW20 0EX, Surrey, England; [Graham, A. G. C.] Univ Exeter, Coll Life &amp; Environm Sci, Exeter EX4 4RJ, Devon, England; [Graham, A. G. C.] Univ S Florida, Coll Marine Sci, St Petersburg, FL USA; [Grobe, H.] Helmholtz Zentrum Polar &amp; Meeresforsch, Alfred Wegener Inst, Bremerhaven, Germany; [Williams, T. J.] Univ Florida, Dept Geol Sci, Gainesville, FL USA; [Horrocks, J. R.] Univ Durham, Dept Geog, Durham DH1 3LE, England</t>
  </si>
  <si>
    <t>UK Research &amp; Innovation (UKRI); Natural Environment Research Council (NERC); NERC British Antarctic Survey; University of Cambridge; Leipzig University; NERC National Oceanography Centre; University of Southampton; University of London; Royal Holloway University London; University of Exeter; State University System of Florida; University of South Florida; Helmholtz Association; Alfred Wegener Institute, Helmholtz Centre for Polar &amp; Marine Research; State University System of Florida; University of Florida; Durham University</t>
  </si>
  <si>
    <t>Hillenbrand, CD (corresponding author), British Antarctic Survey, Madingley Rd, Cambridge CB3 0ET, England.</t>
  </si>
  <si>
    <t>hilc@bas.ac.uk</t>
  </si>
  <si>
    <t>; McCave, Nick/G-7323-2016</t>
  </si>
  <si>
    <t>Williams, Thomas/0000-0001-8869-0488; McCave, Nick/0000-0002-4702-5489</t>
  </si>
  <si>
    <t>NERC UK-IODP [NE/J006513/1, NE/J006548/1]; Spanish Ministry of Science and Innovation [CTM201789711-C2-01-P, CTM2017-89711-C2-02-P]; NERC [bas0100030, NE/J006513/1, NE/J006548/1] Funding Source: UKRI</t>
  </si>
  <si>
    <t>NERC UK-IODP; Spanish Ministry of Science and Innovation(Spanish Government); NERC(UK Research &amp; Innovation (UKRI)Natural Environment Research Council (NERC))</t>
  </si>
  <si>
    <t>We thank the Captain, officers, crew, and shipboard scientists of RRS James Clark Ross cruise JR298, especially J. Channell. Furthermore, we acknowledge S. MacLachlan and her team from the British Ocean Sediment Core Research Facility (BOSCORF Southampton) and V. O'Mahoney and her colleagues from The Queen's Veterinary School Hospital (University of Cambridge) for assistance with physical properties measurements and X-raying, respectively. We are grateful to J. Rolfe (University of Cambridge), S. Haessner (University of Leipzig) and M. Seebeck and R. Frohlking (AWI) for support with laboratory analyses. N. Odling (Grant Institute, School of GeoSciences, University of Edinburgh) is acknowledged for conducting the XRF analyses on the discrete sediment samples. We also thank R. Lucchi and T. Williams for their constructive reviews, which improved the paper. This study forms part of the British Antarctic Survey's Polar Science for Planet Earth Programme and was made possible by NERC UK-IODP grants NE/J006513/1 and NE/J006548/1. It has been carried out in collaboration with The Drifters Research Group at Royal Holloway University of London (RHUL) and is related to the TASDRACC Project funded by the Spanish Ministry of Science and Innovation (grants CTM201789711-C2-01-P &amp; CTM2017-89711-C2-02-P).</t>
  </si>
  <si>
    <t>10.1016/j.quascirev.2021.106842</t>
  </si>
  <si>
    <t>Green Published, Green Accepted, hybrid, Green Submitted</t>
  </si>
  <si>
    <t>WOS:000631046400005</t>
  </si>
  <si>
    <t>Turney, C; Fogwill, C</t>
  </si>
  <si>
    <t>Turney, Chris; Fogwill, Chris</t>
  </si>
  <si>
    <t>The implications of the recently recognized mid-20th century shift in the Earth system</t>
  </si>
  <si>
    <t>ANTHROPOCENE REVIEW</t>
  </si>
  <si>
    <t>Antarctic; Anthropocene; Atlantic Meridional Overturning Circulation; carbon emissions; climate change; Earth system thresholds; Paris Climate Agreement; Southern Ocean; tipping elements; tipping points</t>
  </si>
  <si>
    <t>ARCTIC SEA-ICE; NATURAL ARCHIVES; ANTARCTIC ICE; CLIMATE; OCEAN; AMPLIFICATION; NORTH; AIR</t>
  </si>
  <si>
    <t>Satellite observations offering detailed records of global environmental change are only available from 1979. Emerging studies combining high-quality instrumental and natural observations highlight that the Earth system experienced a substantial shift across the mid-20th century, one that appears to have taken place before the Great Acceleration of human activities from the 1950s. These new results have far-reaching implications for understanding ice-ocean-atmospheric interactions in the Anthropocene and highlight the urgent need for drastic cuts in carbon emissions to limit the impact of future warming.</t>
  </si>
  <si>
    <t>[Turney, Chris] Univ New South Wales, Sydney, NSW, Australia; [Fogwill, Chris] Keele Univ, Keele, Staffs, England</t>
  </si>
  <si>
    <t>University of New South Wales Sydney; Keele University</t>
  </si>
  <si>
    <t>Turney, C (corresponding author), Univ New South Wales, Sch Biol Earth &amp; Environm Sci, Chronos Carbon Cycle Facil 14, High St, Sydney, NSW 2052, Australia.;Turney, C (corresponding author), Univ New South Wales, Sch Biol Earth &amp; Environm Sci, Earth &amp; Sustainabil Sci Res Ctr, High St, Sydney, NSW 2052, Australia.;Fogwill, C (corresponding author), Keele Univ, Sch Geog Geol &amp; Environm, Keele ST5 5BG, Staffs, England.</t>
  </si>
  <si>
    <t>c.turney@unsw.edu.au; c.j.fogwill@keele.ac.uk</t>
  </si>
  <si>
    <t>Fogwill, Chris/AAW-3502-2021; Fogwill, Christopher/HPF-1150-2023; Turney, Chris/P-8701-2018</t>
  </si>
  <si>
    <t>Fogwill, Chris/0000-0002-6471-1106; Turney, Chris/0000-0001-6733-0993</t>
  </si>
  <si>
    <t>Australasian Antarctic Expedition 2013-2014; Australian Research Council [FL100100195, FT120100004, DE130101336, DP130104156]; University of New South Wales</t>
  </si>
  <si>
    <t>Australasian Antarctic Expedition 2013-2014; Australian Research Council(Australian Research Council); University of New South Wales</t>
  </si>
  <si>
    <t>The author(s) disclosed receipt of the following financial support for the research, authorship, and/or publication of this article: This work was supported by the Australasian Antarctic Expedition 2013-2014, the Australian Research Council (FL100100195, FT120100004, DE130101336, and DP130104156), and the University of New South Wales.</t>
  </si>
  <si>
    <t>2053-0196</t>
  </si>
  <si>
    <t>2053-020X</t>
  </si>
  <si>
    <t>ANTHROPOCENE REV</t>
  </si>
  <si>
    <t>Anthr. Rev.</t>
  </si>
  <si>
    <t>2021 FEB 24</t>
  </si>
  <si>
    <t>10.1177/2053019621995526</t>
  </si>
  <si>
    <t>Environmental Sciences; Environmental Studies; Geosciences, Multidisciplinary</t>
  </si>
  <si>
    <t>QM1YG</t>
  </si>
  <si>
    <t>WOS:000621574300001</t>
  </si>
  <si>
    <t>Gordon, EM; Seppälä, A; Funke, B; Tamminen, J; Walker, KA</t>
  </si>
  <si>
    <t>Gordon, Emily M.; Seppala, Annika; Funke, Bernd; Tamminen, Johanna; Walker, Kaley A.</t>
  </si>
  <si>
    <t>Observational evidence of energetic particle precipitation NOx (EPP-NOx) interaction with chlorine curbing Antarctic ozone loss</t>
  </si>
  <si>
    <t>We investigate the impact of the so-called energetic particle precipitation (EPP) indirect effect on lower stratospheric ozone, ClO, and ClONO2 in the Antarctic springtime. We use observations from the Microwave Limb Sounder (MLS) and Ozone Monitoring Instrument (OMI) on Aura, the Atmospheric Chemistry Experiment - Fourier Transform Spectrometer (ACE-FTS) on SCISAT, and the Michelson Interferometer for Passive Atmospheric Sounding (MIPAS) on Envisat, covering the period from 2005 to 2017. Using the geomagnetic activity index Ap as a proxy for EPP, we find consistent ozone increases with elevated EPP during years with an easterly phase of the quasi-biennial oscillation (QBO) in both OMI and MLS observations. While these increases are the opposite of what has previously been reported at higher altitudes, the pattern in the MLS O-3 follows the typical descent patterns of EPP-NOx. The ozone enhancements are also present in the OMI total O-3 column observations. Analogous to the descent patterns found in O-3, we also found consistent decreases in springtime MLS ClO following winters with elevated EPP. To verify if this is due to a previously proposed mechanism involving the conversion of ClO to the reservoir species ClONO2 in reaction with NO2, we used ClONO2 observations from ACE-FTS and MIPAS. As ClO and NO2 are both catalysts in ozone destruction, the conversion to ClONO2 would result in an ozone increase. We find a positive correlation between EPP and ClONO2 in the upper stratosphere in the early spring and in the lower stratosphere in late spring, providing the first observational evidence supporting the previously proposed mechanism relating to EPP-NOx modulating Cl-x-driven ozone loss. Our findings suggest that EPP has played an important role in modulating ozone depletion in the last 15 years. As chlorine loading in the polar stratosphere continues to decrease in the future, this buffering mechanism will become less effective, and catalytic ozone destruction by EPP-NOx will likely become a major contributor to Antarctic ozone loss.</t>
  </si>
  <si>
    <t>[Gordon, Emily M.; Seppala, Annika] Univ Otago, Dept Phys, Dunedin, New Zealand; [Funke, Bernd] Inst Astrofis Andalucia, Granada, Spain; [Tamminen, Johanna] Finnish Meteorol Inst, Space &amp; Earth Observat Ctr, Helsinki, Finland; [Walker, Kaley A.] Univ Toronto, Dept Phys, Toronto, ON, Canada</t>
  </si>
  <si>
    <t>University of Otago; Consejo Superior de Investigaciones Cientificas (CSIC); CSIC - Instituto de Astrofisica de Andalucia (IAA); Finnish Meteorological Institute; University of Toronto</t>
  </si>
  <si>
    <t>Seppälä, A (corresponding author), Univ Otago, Dept Phys, Dunedin, New Zealand.</t>
  </si>
  <si>
    <t>annika.seppala@otago.ac.nz</t>
  </si>
  <si>
    <t>Gordon, Emily M/ABD-8486-2021; Seppälä, Annika/C-8031-2014; Tamminen, Johanna/D-7959-2014; Funke, Bernd/C-2162-2008</t>
  </si>
  <si>
    <t>Gordon, Emily M/0000-0002-4976-7785; Seppälä, Annika/0000-0002-5028-8220; Tamminen, Johanna/0000-0003-3095-0069; Funke, Bernd/0000-0003-0462-4702</t>
  </si>
  <si>
    <t>University of Otago; Canadian Space Agency</t>
  </si>
  <si>
    <t>University of Otago; Canadian Space Agency(Canadian Space Agency)</t>
  </si>
  <si>
    <t>Emily M. Gordon was supported by a University of Otago postgraduate publishing bursary. The Atmospheric Chemistry Experiment (ACE), also known as SCISAT, is a Canadian-led mission mainly supported by the Canadian Space Agency.</t>
  </si>
  <si>
    <t>FEB 24</t>
  </si>
  <si>
    <t>10.5194/acp-21-2819-2021</t>
  </si>
  <si>
    <t>QR6GD</t>
  </si>
  <si>
    <t>WOS:000625313800001</t>
  </si>
  <si>
    <t>Borrmann, RM; Phillips, RA; Clay, TA; Garthe, S</t>
  </si>
  <si>
    <t>Borrmann, Rahel M.; Phillips, Richard A.; Clay, Thomas A.; Garthe, Stefan</t>
  </si>
  <si>
    <t>Post-fledging migration and wintering strategies of individual juvenile Lesser Black-backed Gulls (Larus fuscus)</t>
  </si>
  <si>
    <t>Bhattacharyya' s affinity index; navigation; ontogeny of behaviour; orientation; tracking</t>
  </si>
  <si>
    <t>LONG-DISTANCE MIGRATION; BIRD MIGRATION; GPS TRACKING; COLONY SIZE; HABITAT USE; BEHAVIOR; ALBATROSSES; PATTERNS; ADULT; SPECIALIZATION</t>
  </si>
  <si>
    <t>Research into the patterns and drivers of juvenile migration is important for understanding the development of individual migration strategies. Although several recent studies have tracked adult large gulls throughout the annual cycle, the movements of juveniles remain poorly understood. We fitted Global Positioning System (GPS) devices that transmit locations through the Global System for Mobile Communications (GSM) to ten juvenile Lesser Black-backed Gulls Larus fuscus prior to fledging on the island of Spiekeroog, Germany, to study their first autumn migration and wintering behaviour. The tracked birds initially departed on similar compass bearings south to south-west, after which migration routes diverged. Individuals took 38-107 days to reach their wintering sites in Algeria, Morocco or Spain. Birds visited 6.7 +/- 3.7 (mean +/- sd) stopover sites en route and spent substantial time in northern Europe, with some individuals converging at the same sites over small spatial scales (&lt;1 km), but not over the same time periods. Birds increased travel speeds in the second half of their migration. They showed relatively high site-fidelity after arrival at wintering sites, and there was no evidence that the size of foraging areas increased over time, suggesting limited exploratory behaviour. Individuals used the same predominant habitats - cropland, open water and built-up areas - to varying degrees, but showed limited variation in habitat use over time. Overall, the migration routes and timings of juveniles broadly resembled those of previously tracked adults. Given their similar initial bearings and abundance of large gulls on the flyway, we suggest that social learning is likely to be an important process shaping the individual migration and wintering strategies of juvenile gulls.</t>
  </si>
  <si>
    <t>[Borrmann, Rahel M.; Garthe, Stefan] Univ Kiel, Res &amp; Technol Ctr FTZ, Buesum, Germany; [Phillips, Richard A.] British Antarctic Survey, Nat Environm Res Council, Cambridge, England; [Clay, Thomas A.] Univ Liverpool, Sch Environm Sci, Liverpool, Merseyside, England</t>
  </si>
  <si>
    <t>University of Kiel; UK Research &amp; Innovation (UKRI); Natural Environment Research Council (NERC); NERC British Antarctic Survey; University of Liverpool</t>
  </si>
  <si>
    <t>Borrmann, RM (corresponding author), Univ Kiel, Res &amp; Technol Ctr FTZ, Buesum, Germany.</t>
  </si>
  <si>
    <t>borrmann@ftz-west.uni-kiel.de</t>
  </si>
  <si>
    <t>Clay, Tommy/W-4867-2019</t>
  </si>
  <si>
    <t>Clay, Tommy/0000-0002-0644-6105</t>
  </si>
  <si>
    <t>project 'BIRDMOVE' - German Federal Agency for Nature Conservation (BfN) [FKZ 3515822100]; NERC [bas0100035] Funding Source: UKRI</t>
  </si>
  <si>
    <t>project 'BIRDMOVE' - German Federal Agency for Nature Conservation (BfN); NERC(UK Research &amp; Innovation (UKRI)Natural Environment Research Council (NERC))</t>
  </si>
  <si>
    <t>We would like to thank Gregor Scheiffahrt and Lars Scheller for permitting access to the study site. Thanks to Britta Egge, Leonie Enners, Johanna Falk, Johanna Kottsieper, Lars Scheller, Edgar Schonart, Stefan Weiel and Markus Wittstamm for assistance in the field or laboratory, and for useful discussions. Thanks to Ramunas.Zydelis for technical support, and Vitor Paiva for scientific advice. We would also like to thank Judy ShamounBaranes, anonymous referees and the editors for their helpful comments on earlier versions of the manuscript. This work was supported by the project 'BIRDMOVE' funded by the German Federal Agency for Nature Conservation (BfN) (FKZ 3515822100).</t>
  </si>
  <si>
    <t>10.1111/ibi.12917</t>
  </si>
  <si>
    <t>WOS:000621120300001</t>
  </si>
  <si>
    <t>Suárez, R; Sue, C; Ghiglione, M; Guillaume, B; Ramos, M; Martinod, J; Barberón, V</t>
  </si>
  <si>
    <t>Suarez, Rodrigo; Sue, Christian; Ghiglione, Matias; Guillaume, Benjamin; Ramos, Miguel; Martinod, Joseph; Barberon, Vanesa</t>
  </si>
  <si>
    <t>Seismotectonic implications of the South Chile ridge subduction beneath the Patagonian Andes</t>
  </si>
  <si>
    <t>TERRA NOVA</t>
  </si>
  <si>
    <t>earthquake focal mechanism; intraplate seismic gap; Patagonia slab window; South Chile ridge</t>
  </si>
  <si>
    <t>The South Chile ridge (SCR) intersects the Patagonian trench around 46 degrees 09 ' S, forming the triple junction among the Antarctic, Nazca, and South America plates. Subduction of the SCR since similar to 18 Ma produced the opening of a slab window beneath Patagonia and a noticeable magmatic gap in the cordillera, profuse volcanism and topographic uplift in the retroarc. To study seismicity distribution and present-day stress resulting from this particular framework, we analyse databases of seismic events and earthquake focal mechanisms. Our study finds that clusters of intraplate crustal seismic events are disrupted by a similar to 450-470 km seismicity gap above the slab window. Calculated stress tensors depict a strike-slip tectonic regime north of the triple junction, and similar to W-E compression to the south of the seismic gap. We propose that the seismotectonic behaviour of the upper plate is disturbed at the first order by the trench-ridge intersection, leading to a heterogeneous stress field.</t>
  </si>
  <si>
    <t>[Suarez, Rodrigo; Ghiglione, Matias; Ramos, Miguel; Barberon, Vanesa] Univ Buenos Aires, CONICET, Inst Estudios Andinos, Buenos Aires, DF, Argentina; [Sue, Christian; Martinod, Joseph] Univ Savoie Mont Blanc, Univ Grenoble Alpes, ISTerre, CNRS,IRD, Le Bourget Du Lac, France; [Sue, Christian] Univ Bourgogne Franche Comte, UMR6249, UFC, Besancon, France; [Guillaume, Benjamin] Univ Rennes, Geosci Rennes UMR 6118, CNRS, Rennes, France</t>
  </si>
  <si>
    <t>University of Buenos Aires; Consejo Nacional de Investigaciones Cientificas y Tecnicas (CONICET); Communaute Universite Grenoble Alpes; Universite Grenoble Alpes (UGA); Centre National de la Recherche Scientifique (CNRS); Institut de Recherche pour le Developpement (IRD); Universite Gustave-Eiffel; Universite Savoie Mont Blanc; Universite de Franche-Comte; Centre National de la Recherche Scientifique (CNRS); CNRS - National Institute for Earth Sciences &amp; Astronomy (INSU); Universite de Rennes</t>
  </si>
  <si>
    <t>Suárez, R (corresponding author), Univ Buenos Aires, Inst Estudios Andinos IDEAN, CONICET, 2160,Ciudad Univ Pabellon 2,C1428EGA, Buenos Aires, DF, Argentina.</t>
  </si>
  <si>
    <t>rsuarez@gl.fcen.uba.ar</t>
  </si>
  <si>
    <t>Guillaume, Benjamin/D-6570-2012; martinod, joseph/N-4238-2016; Ghiglione, Matias C/A-9413-2010</t>
  </si>
  <si>
    <t>martinod, joseph/0000-0003-0891-5232; sue, christian/0000-0002-2472-5001</t>
  </si>
  <si>
    <t>Argentinian-French ECOS-SUD [A15U02]</t>
  </si>
  <si>
    <t>Argentinian-French ECOS-SUD</t>
  </si>
  <si>
    <t>Argentinian-French ECOS-SUD, Grant/Award Number: A15U02</t>
  </si>
  <si>
    <t>0954-4879</t>
  </si>
  <si>
    <t>1365-3121</t>
  </si>
  <si>
    <t>Terr. Nova</t>
  </si>
  <si>
    <t>10.1111/ter.12521</t>
  </si>
  <si>
    <t>TK8KH</t>
  </si>
  <si>
    <t>WOS:000621227400001</t>
  </si>
  <si>
    <t>Hoering, F; Biscontin, A; Harms, L; Sales, G; Reiss, CS; De Pittà, C; Meyer, B</t>
  </si>
  <si>
    <t>Hoering, Flavia; Biscontin, Alberto; Harms, Lars; Sales, Gabriele; Reiss, Christian S.; De Pitta, Cristiano; Meyer, Bettina</t>
  </si>
  <si>
    <t>Seasonal gene expression profiling of Antarctic krill in three different latitudinal regions</t>
  </si>
  <si>
    <t>Euphausia superba; Light regime; RNA-seq; Seasonal transcriptome; Southern Ocean ecosystem</t>
  </si>
  <si>
    <t>PROTEIN PHOSPHATASE 2A; EUPHAUSIA-SUPERBA; LIPID-METABOLISM; MATURITY CYCLE; GROWTH; TRANSCRIPTOME; LENGTH; CLOCK; SEX</t>
  </si>
  <si>
    <t>The Antarctic krill, Euphausia superba, has evolved seasonal rhythms of physiology and behaviour to survive under the extreme photoperiodic conditions in the Southern Ocean. However, the molecular mechanisms generating these rhythms remain far from understood. The aim of this study was to investigate seasonal differences in gene expression in three different latitudinal regions (South Georgia, South Orkneys/Bransfield Strait, Lazarev Sea) and to identify genes with potential regulatory roles in the seasonal life cycle of Antarctic krill. The RNA-seq data were analysed (a) for seasonal differences between summer and winter krill sampled from each region, and (b) for regional differences within each season. A large majority of genes showed an up-regulation in summer krill in all regions with respect to winter krill. However, seasonal differences in gene expression were less pronounced in Antarctic krill from South Georgia, most likely due to the milder seasonal conditions of the lower latitudes of this region, with a less extreme light regime and food availability between summer and winter. Our results suggest that in the South Orkneys/Bransfield Strait and Lazarev Sea region, Antarctic krill entered a state of metabolic depression and regressed development (winter quiescence) in winter. Moreover, seasonal gene expression signatures seem to be driven by a photoperiodic timing system that may adapt the flexible behaviour and physiology of Antarctic krill to the highly seasonal environment according to the latitudinal region. However, at the lower latitude South Georgia region, food availability might represent the main environmental cue influencing seasonal physiology.</t>
  </si>
  <si>
    <t>[Hoering, Flavia; Harms, Lars; Meyer, Bettina] Helmholtz Ctr Polar &amp; Marine Res, Alfred Wegener Inst, Handelshafen 12, Bremerhaven, Germany; [Hoering, Flavia; Meyer, Bettina] Carl von Ossietzky Univ Oldenburg, Inst Chem &amp; Biol Marine Environm, Carl von Ossietzky Str 9-11, D-26111 Oldenburg, Germany; [Biscontin, Alberto; Sales, Gabriele; De Pitta, Cristiano] Univ Padua, Dipartimento Biol, Via Ugo Bassi 58b, I-35121 Padua, Italy; [Harms, Lars; Meyer, Bettina] Carl von Ossietzky Univ Oldenburg, Helmholtz Inst Funct Marine Biodivers, HIFMB, Ammerlander Heerstr 231, D-26129 Oldenburg, Germany; [Reiss, Christian S.] NOAA, Antarctic Ecosyst Res Div, Southwest Fisheries Sci Ctr, La Jolla, CA 92037 USA</t>
  </si>
  <si>
    <t>Helmholtz Association; Alfred Wegener Institute, Helmholtz Centre for Polar &amp; Marine Research; Carl von Ossietzky Universitat Oldenburg; University of Padua; Carl von Ossietzky Universitat Oldenburg; National Oceanic Atmospheric Admin (NOAA) - USA</t>
  </si>
  <si>
    <t>Meyer, B (corresponding author), Helmholtz Ctr Polar &amp; Marine Res, Alfred Wegener Inst, Handelshafen 12, Bremerhaven, Germany.;Meyer, B (corresponding author), Carl von Ossietzky Univ Oldenburg, Inst Chem &amp; Biol Marine Environm, Carl von Ossietzky Str 9-11, D-26111 Oldenburg, Germany.;De Pittà, C (corresponding author), Univ Padua, Dipartimento Biol, Via Ugo Bassi 58b, I-35121 Padua, Italy.;Meyer, B (corresponding author), Carl von Ossietzky Univ Oldenburg, Helmholtz Inst Funct Marine Biodivers, HIFMB, Ammerlander Heerstr 231, D-26129 Oldenburg, Germany.</t>
  </si>
  <si>
    <t>cristiano.depitta@unipd.it; bettina.meyer@awi.de</t>
  </si>
  <si>
    <t>De Pitta, Cristiano/AAY-7302-2020; Sales, Gabriele/K-5065-2016</t>
  </si>
  <si>
    <t>De Pitta, Cristiano/0000-0001-8013-8162; Biscontin, Alberto/0000-0003-1492-7715; Meyer, Bettina/0000-0001-6804-9896; Horing, Flavia/0000-0002-0618-7481; Sales, Gabriele/0000-0003-2078-5661</t>
  </si>
  <si>
    <t>Helmholtz Virtual Institute Polar-Time [VH-VI-500]; ministry of science and culture (MWK) of Lower Saxony, Germany (Research Training Group IBR Interdisciplinary approach to functional biodiversity research); Programma Nazionale di Ricerche in Antartide - PNRA [2016_00225]</t>
  </si>
  <si>
    <t>Helmholtz Virtual Institute Polar-Time; ministry of science and culture (MWK) of Lower Saxony, Germany (Research Training Group IBR Interdisciplinary approach to functional biodiversity research); Programma Nazionale di Ricerche in Antartide - PNRA</t>
  </si>
  <si>
    <t>This work was supported by the Helmholtz Virtual Institute Polar-Time (VH-VI-500: Biological timing in a changing marine environment - clocks and rhythms in polar pelagic organisms), and the ministry of science and culture (MWK) of Lower Saxony, Germany (Research Training Group IBR Interdisciplinary approach to functional biodiversity research) as well as the Programma Nazionale di Ricerche in Antartide - PNRA (grant 2016_00225 to AB). The work contributes to the Helmholtz Research Program Changing Earth - Sustaining our future of the research field Earth and Environment of the Helmholtz Association, Topic 6, Suptopic 6.2.</t>
  </si>
  <si>
    <t>10.1016/j.margen.2020.100806</t>
  </si>
  <si>
    <t>TC9YB</t>
  </si>
  <si>
    <t>WOS:000668992200006</t>
  </si>
  <si>
    <t>Zhou, XL; Xiang, XW; Zhou, YF; Zhou, TY; Deng, SG; Zheng, B; Zheng, PA</t>
  </si>
  <si>
    <t>Zhou, Xiaoling; Xiang, Xingwei; Zhou, Yufang; Zhou, Tianyi; Deng, Shanggui; Zheng, Bin; Zheng, Pingan</t>
  </si>
  <si>
    <t>Protective effects of Antarctic krill oil in dextran sulfate sodium-induced ulcerative colitis mice</t>
  </si>
  <si>
    <t>JOURNAL OF FUNCTIONAL FOODS</t>
  </si>
  <si>
    <t>Antarctic krill oil; Ulcerative colitis; NF-?B; Intestinal microbiota; Short chain fatty acid; Intestinal barrier</t>
  </si>
  <si>
    <t>POLYUNSATURATED FATTY-ACIDS; GUT MICROBIOTA; MOUSE MODEL; FISH-OIL; INFLAMMATION; OMEGA-3-FATTY-ACIDS; SUPPLEMENTATION; ASTAXANTHIN; BARRIER; HEALTH</t>
  </si>
  <si>
    <t>Antarctic krill oil (KO) is a popular new marine-derived food supplement. In this study, the protective effects of KO treatment were investigated in dextran sulfate sodium (DSS)-induced ulcerative colitis (UC) mice. This study showed that the KO effectively ameliorated colitis symptoms, reduced the excessive production of inflammatory cytokines (IL-6, TNF-?), and inhibited the activation of NF-?B signaling pathway. The KO also decreased the concentration of LPS and DAO, and increased the gene expression of tight junction proteins. Moreover, the KO reduced the relative abundance of Firmicutes/Bacteroides, restored the structure of intestinal microbiota, and increased the content of SCFAs. All the improved characteristics promoted the intestinal health of mice. All these findings suggest that the KO could ameliorate colitis symptoms, inhibit inflammatory response, repair intestinal damage, and regulate intestinal microbiota and SCFAs. Thus, the KO might be a promising candidate for the dietary treatment of UC and improve the intestinal symbiosis.</t>
  </si>
  <si>
    <t>[Zhou, Xiaoling; Xiang, Xingwei; Zhou, Tianyi; Deng, Shanggui; Zheng, Bin] Zhejiang Ocean Univ, Food &amp; Pharm Coll, Zhoushan 316000, Peoples R China; [Xiang, Xingwei] Zhejiang Univ Technol, Coll Food Sci &amp; Technol, Hangzhou 310014, Zhejiang, Peoples R China; [Zhou, Yufang] Zhejiang Marine Dev Res Inst, Zhoushan 316000, Peoples R China; [Zheng, Pingan] Zhejiang Hailisheng Grp Co Ltd, Zhoushan 316000, Peoples R China</t>
  </si>
  <si>
    <t>Zhejiang Ocean University; Zhejiang University of Technology</t>
  </si>
  <si>
    <t>Xiang, XW (corresponding author), Zhejiang Univ Technol, Coll Food Sci &amp; Technol, Hangzhou 310014, Zhejiang, Peoples R China.</t>
  </si>
  <si>
    <t>xxw11086@zjut.edu.cn</t>
  </si>
  <si>
    <t>Zhejiang Provincial Key Research and Development Project of China [2019C02075, 2019C02076]; Zhoushan Science and Technology Project of China [2018C21019]</t>
  </si>
  <si>
    <t>Zhejiang Provincial Key Research and Development Project of China; Zhoushan Science and Technology Project of China</t>
  </si>
  <si>
    <t>This work was supported by grants from Zhejiang Provincial Key Research and Development Project of China (2019C02075; 2019C02076), Zhoushan Science and Technology Project of China (2018C21019).</t>
  </si>
  <si>
    <t>1756-4646</t>
  </si>
  <si>
    <t>2214-9414</t>
  </si>
  <si>
    <t>J FUNCT FOODS</t>
  </si>
  <si>
    <t>J. Funct. Food.</t>
  </si>
  <si>
    <t>10.1016/j.jff.2021.104394</t>
  </si>
  <si>
    <t>Food Science &amp; Technology; Nutrition &amp; Dietetics</t>
  </si>
  <si>
    <t>RO9TD</t>
  </si>
  <si>
    <t>WOS:000641380600008</t>
  </si>
  <si>
    <t>Kuyucu, AC; Chown, SL</t>
  </si>
  <si>
    <t>Kuyucu, Arda C.; Chown, Steven L.</t>
  </si>
  <si>
    <t>Time course of acclimation of critical thermal limits in two springtail species (Collembola)</t>
  </si>
  <si>
    <t>Collembola; Thermal acclimation; CTmax; CTmin; Temperature tolerance</t>
  </si>
  <si>
    <t>PHENOTYPIC PLASTICITY; BENEFICIAL ACCLIMATION; CLIMATE-CHANGE; TEMPERATURE EXTREMES; GEOGRAPHIC-VARIATION; GENETIC ADAPTATION; STRESS RESISTANCE; COLD-ACCLIMATION; HEAT TOLERANCE; RESPONSES</t>
  </si>
  <si>
    <t>Critical thermal limits are one of the most important sources of information on the possible impacts of climate change on soil microarthropods. The extent of plasticity of tolerance limits can provide valuable insights about the likely responses of ectotherms to environmental change. Although many studies have investigated various aspects of the acclimatory response of thermal limits to temperature changes in arthropods, the number of studies focusing on the temporal dynamics of this plastic response is relatively small. Collembola, one of the key microarthropods groups in almost all soil ecosystems around the world, have been the focus of several thermal acclimation studies. Yet the time course of acclimation and its reversal have not been widely studied in this group. Here we investigated the time course of acclimation of critical thermal maxima (CTmax) and minima (CTmin) of two springtail species. We exposed a Cryptopygus species from temperate southern Australia to high and low temperature conditions and Mucrosomia caeca from Sub-Antarctic Macquarie Island to high temperature conditions. Upper thermal limits in both species were found to be highly constrained, as CTmax did not show substantial response to high and low temperature acclimation both in the Cryptopygus species and M. caeca, whereas CTmin showed significant responses to high and low temperature conditions. The acclimation begins to stabilize in approximately seven days in all treatments except for the acclimation of CTmin under high temperature conditions, where the pattern of change suggests that this acclimation might take longer to be completed. Although reversal of this acclimation also begins to stabilize under 7 days, re-acclimation was relatively slow as we did not observe a very clear settling point in 2 of the 3 re-acclimation treatments. The observed limits on the plasticity of CTmax indicate that both of these species may be very limited in their ability to respond plastically to short-term rapid changes in temperature (i.e temperature extremes).</t>
  </si>
  <si>
    <t>[Kuyucu, Arda C.] Hacettepe Univ, Dept Biol, TR-06800 Ankara, Turkey; [Chown, Steven L.] Monash Univ, Sch Biol Sci, Clayton, Vic 3800, Australia</t>
  </si>
  <si>
    <t>Hacettepe University; Monash University</t>
  </si>
  <si>
    <t>Kuyucu, AC (corresponding author), Hacettepe Univ, Dept Biol, TR-06800 Ankara, Turkey.</t>
  </si>
  <si>
    <t>ckuyucu@hacettepe.edu.tr</t>
  </si>
  <si>
    <t>Chown, Steven/ABD-7646-2021; KUYUCU, ARDA CEM/G-9235-2013</t>
  </si>
  <si>
    <t>Kuyucu, Arda Cem/0000-0003-3685-8044</t>
  </si>
  <si>
    <t>Hacettepe University [FBI-2018-16580]; Australian Research Council [DP170101046]</t>
  </si>
  <si>
    <t>Hacettepe University(Hacettepe University); Australian Research Council(Australian Research Council)</t>
  </si>
  <si>
    <t>Arda Cem Kuyucu was supported by Hacettepe University's FBI-2018-16580 international collaboration grant during his work in Monash University. SLC was supported by Australian Research Council Discovery Project DP170101046. The funders did not have any role in study design, data collection and analysis, decision to publish, or preparation of the manuscript.</t>
  </si>
  <si>
    <t>10.1016/j.jinsphys.2021.104209</t>
  </si>
  <si>
    <t>RO4WB</t>
  </si>
  <si>
    <t>WOS:000641044400009</t>
  </si>
  <si>
    <t>Cortés-Antiquera, R; Pizarro, M; Contreras, RA; Köhler, H; Zúñiga, GE</t>
  </si>
  <si>
    <t>Cortes-Antiquera, Rodrigo; Pizarro, Marisol; Contreras, Rodrigo A.; Kohler, Hans; Zuniga, Gustavo E.</t>
  </si>
  <si>
    <t>Heat Shock Tolerance in Deschampsia antarctica Desv. Cultivated in vitro Is Mediated by Enzymatic and Non-enzymatic Antioxidants</t>
  </si>
  <si>
    <t>Antarctica; climate change; oxidative stress– related enzymes; peroxidases; photosynthesis</t>
  </si>
  <si>
    <t>VASCULAR PLANTS; COLOBANTHUS-QUITENSIS; OXIDATIVE STRESS; RESPONSES; LEAVES; PHOTOSYNTHESIS; ASSOCIATION; PENINSULA; FEATURES; ISLANDS</t>
  </si>
  <si>
    <t>Deschampsia antarctica Desv, is the most successful colonizing species of a cold continent. In recent years due to climate change, the frequency of heat waves has increased in Antarctica, registering anomalous high temperatures during the summer of 2020. However, the populations of D. antarctica are responding positively to these events, increasing in number and size throughout the Antarctic Peninsula. In this work, the physiological and biochemical responses of D. antarctica plants grown in vitro (15 +/- 1 degrees C) and plants subjected to two heat shock treatments (23 and 35 degrees C) were evaluated. The results obtained show that D. antarctica grown in vitro is capable of tolerating heat shock treatments; without showing visible damage to its morphology, or changes in its oxidative state and photosynthetic performance. These tolerance responses are primarily mediated by the efficient role of enzymatic and non-enzymatic antioxidant systems that maintain redox balance at higher temperatures. It is postulated that these mechanisms also operate in plants under natural conditions when exposed to environmental stresses.</t>
  </si>
  <si>
    <t>[Cortes-Antiquera, Rodrigo; Pizarro, Marisol; Contreras, Rodrigo A.; Kohler, Hans; Zuniga, Gustavo E.] Univ Santago Chile, Fac Quim &amp; Biol, Dept Biol, Santiago, Chile; [Pizarro, Marisol; Zuniga, Gustavo E.] Ctr Desarrollo Nanociencia &amp; Nanotecnol CEDENN, Santiago, Chile</t>
  </si>
  <si>
    <t>Zúñiga, GE (corresponding author), Univ Santago Chile, Fac Quim &amp; Biol, Dept Biol, Santiago, Chile.;Zúñiga, GE (corresponding author), Ctr Desarrollo Nanociencia &amp; Nanotecnol CEDENN, Santiago, Chile.</t>
  </si>
  <si>
    <t>gustavo.zuniga@usach.cl</t>
  </si>
  <si>
    <t>Contreras, Rodrigo A./I-1871-2013</t>
  </si>
  <si>
    <t>Contreras, Rodrigo A./0000-0001-9970-3125</t>
  </si>
  <si>
    <t>fellowship ANI-DPFCHA/Doctoral scholarship/2019 [21191483]; Chilean Antarctic Institute (INACh) [RT_14-17]; Proyecto Basal CEDENNA [AFB180001]; DICYT, University of Santiago de Chile</t>
  </si>
  <si>
    <t>fellowship ANI-DPFCHA/Doctoral scholarship/2019; Chilean Antarctic Institute (INACh); Proyecto Basal CEDENNA(Comision Nacional de Investigacion Cientifica y Tecnologica (CONICYT)CONICYT PIA/BASAL); DICYT, University of Santiago de Chile</t>
  </si>
  <si>
    <t>This work has been supported by fellowship ANI-DPFCHA/Doctoral scholarship/2019 No 21191483 (RC-A), Chilean Antarctic Institute (INACh) RT_14-17 project (GZ), and Proyecto Basal CEDENNA AFB180001 (GZ). The financial support of DICYT, University of Santiago de Chile is also appreciated.</t>
  </si>
  <si>
    <t>FEB 23</t>
  </si>
  <si>
    <t>10.3389/fpls.2021.635491</t>
  </si>
  <si>
    <t>QT3GA</t>
  </si>
  <si>
    <t>WOS:000626476900001</t>
  </si>
  <si>
    <t>Sproson, AD; Takano, Y; Miyairi, Y; Aze, T; Matsuzaki, H; Ohkouchi, N; Yokoyama, Y</t>
  </si>
  <si>
    <t>Sproson, Adam D.; Takano, Yoshinori; Miyairi, Yosuke; Aze, Takahiro; Matsuzaki, Hiroyuki; Ohkouchi, Naohiko; Yokoyama, Yusuke</t>
  </si>
  <si>
    <t>Beryllium isotopes in sediments from Lake Maruwan Oike and Lake Skallen, East Antarctica, reveal substantial glacial discharge during the late Holocene</t>
  </si>
  <si>
    <t>Beryllium; Glacial discharge; Subglacial weathering; Lutzow-Holm bay; East Antarctic Ice Sheet; Holocene</t>
  </si>
  <si>
    <t>LUTZOW-HOLM BAY; RADIOCARBON AGE CALIBRATION; ICE-SHEET RETREAT; ENVIRONMENTAL-CHANGE; BE-10/BE-9 RATIOS; COSMOGENIC BE-10; MARINE SEDIMENT; METEORIC BE-10; CLIMATE-CHANGE; SEA-LEVEL</t>
  </si>
  <si>
    <t>Constraining East Antarctic Ice Sheet (EAIS) evolution during the Holocene is important for exploring the forcing mechanisms behind ice sheet retreat and to constrain numerical ice sheet models that aid predictions of future sea-level rise. Beryllium (Be) isotope analysis of bedrock and marine sediments have offered unparalleled insight into Antarctic ice sheet history since the Pliocene, but much of EAIS remains poorly studied. Here, we report the reactive (authigenic) Be-10 abundance, Be-9 abundance and Be-10/Be-9 ratios of Antarctic lake sediments, for the first time, from Lake Maruwan Oike and Lake Skallen along Soya Coast of Lfitzow-Holm Bay, East Antarctica. Beryllium isotope records reveal melting of local glaciers associated with higher subglacial erosion between similar to 4.1 and similar to 3.6 ka BP. Comparison to marine records from the Antarctic continental shelf suggests this was part of a circum-Antarctic phenomena that led to widespread glacial discharge from other sectors of the East and West Antarctic Ice Sheet. We suggest the incursion of relatively warm Circumpolar Deep Water (CDW) into Lutzow-Holm Bay during the Late Holocene led to frontal and basal melting of ice sheets along the Soya Coast, supporting the notion of Antarctic ice sheet instabilities as a contributor to global sea-level rise since the Mid Holocene. (C) 2021 Elsevier Ltd. All rights reserved.</t>
  </si>
  <si>
    <t>[Sproson, Adam D.; Miyairi, Yosuke; Aze, Takahiro; Yokoyama, Yusuke] Univ Tokyo, Atmosphere &amp; Ocean Res Inst AORI, Tokyo, Japan; [Sproson, Adam D.; Takano, Yoshinori; Ohkouchi, Naohiko; Yokoyama, Yusuke] Japan Agcy Marine Earth Sci &amp; Technol JAMSTEC, Biogeochem Res Ctr BGC, Yokosuka, Kanagawa, Japan; [Matsuzaki, Hiroyuki] Univ Tokyo, Micro Anal Lab, Tandem Accelerator MALT, Tokyo, Japan; [Yokoyama, Yusuke] Univ Tokyo, Grad Sch Sci, Dept Earth &amp; Planetary Sci, Tokyo, Japan; [Yokoyama, Yusuke] Univ Tokyo, Grad Programme Environm Sci, Meguro Ku, Tokyo, Japan</t>
  </si>
  <si>
    <t>University of Tokyo; Japan Agency for Marine-Earth Science &amp; Technology (JAMSTEC); University of Tokyo; University of Tokyo; University of Tokyo</t>
  </si>
  <si>
    <t>Sproson, AD (corresponding author), Univ Tokyo, Atmosphere &amp; Ocean Res Inst AORI, Tokyo, Japan.</t>
  </si>
  <si>
    <t>adamsproson@gmail.com</t>
  </si>
  <si>
    <t>Ohkouchi, Naohiko/B-2071-2008; Sproson, Adam/IST-5171-2023</t>
  </si>
  <si>
    <t>Sproson, Adam/0000-0002-1107-3673; Ohkouchi, Naohiko/0000-0002-6355-7469; Yokoyama, Yusuke/0000-0001-7869-5891</t>
  </si>
  <si>
    <t>Japan Society for the Promotion of Science (JSPS) [PE17712, P18791]; [20H00193]; [18F18791]</t>
  </si>
  <si>
    <t>Japan Society for the Promotion of Science (JSPS)(Ministry of Education, Culture, Sports, Science and Technology, Japan (MEXT)Japan Society for the Promotion of Science); ;</t>
  </si>
  <si>
    <t>We thank M. Fukui (Hokkaido Univ.), T. Sato (Hiroshima Univ.) and S. Imura (Natl. Inst. Polar Res.) for their support of field survey and sampling procedures, T. Sawagaki (Hokkaido Univ.) for the onsite field guide and members of the 47th Japan Antarctica Research Expedition for their logistical assistance. A.D. Sproson and Y. Yokoyama would like to thank the Japan Society for the Promotion of Science (JSPS) for supporting this study through their postdoctoral fellowships (PE17712 and P18791) and Grants-in-Aid (KAKENHI) for Scientific Research (20H00193 and 18F18791). Finally, we would like to thank Prof. Colm O'Cofaigh (Durham University), Dr. Stephen Roberts (British Antarctic Survey) and Dr. van der Bilt (University of Bergen) for their constructive and thoughtful reviews which greatly improved this manuscript.</t>
  </si>
  <si>
    <t>10.1016/j.quascirev.2021.106841</t>
  </si>
  <si>
    <t>QT0ZC</t>
  </si>
  <si>
    <t>WOS:000626320300012</t>
  </si>
  <si>
    <t>Purser, A; Dreutter, S; Griffiths, H; Hehemann, L; Jerosch, K; Nordhausen, A; Piepenburg, D; Richter, C; Schroder, H; Dorschel, B</t>
  </si>
  <si>
    <t>Purser, Autun; Dreutter, Simon; Griffiths, Huw; Hehemann, Laura; Jerosch, Kerstin; Nordhausen, Axel; Piepenburg, Dieter; Richter, Claudio; Schroder, Henning; Dorschel, Boris</t>
  </si>
  <si>
    <t>Seabed video and still images from the northern Weddell Sea and the western flanks of the Powell Basin</t>
  </si>
  <si>
    <t>LARSEN ICE SHELF; ANTARCTIC PENINSULA</t>
  </si>
  <si>
    <t>Research vessels equipped with fibre optic and copper-cored coaxial cables support the live onboard inspection of high-bandwidth marine data in real time. This allows for towed still-image and video sleds to be equipped with latest-generation higher-resolution digital camera systems and additional sensors. During RV Polarstern expedition PS118 in February-April 2019, the recently developed Ocean Floor Observation and Bathymetry System (OFOBS) of the Alfred Wegener Institute was used to collect still-image and video data from the seafloor at a total of 11 predominantly ice-covered locations in the northern Weddell Sea and Powell Basin. Still images of 26-megapixel resolution and HD (high-definition) quality video data were recorded throughout each deployment. In addition to downward-facing video and still-image cameras, the OFOBS also mounted side-scanning and forward-facing acoustic systems, which facilitated safe deployment in areas of high topographic complexity, such as above the steep flanks of the Powell Basin and the rapidly shallowing, iceberg-scoured Nachtigaller Shoal. To localise collected data, the OFOBS system was equipped with a Posidonia transponder for ultra-short baseline triangulation of OFOBS positions.</t>
  </si>
  <si>
    <t>[Purser, Autun; Dreutter, Simon; Hehemann, Laura; Jerosch, Kerstin; Piepenburg, Dieter; Richter, Claudio; Schroder, Henning; Dorschel, Boris] Helmholtz Ctr Polar &amp; Marine Res, Alfred Wegener Inst, Handelshafen 12, D-26570 Bremerhaven, Germany; [Griffiths, Huw] British Antarctic Survey, Madingley Rd, Cambridge CB3 0ET, England; [Nordhausen, Axel] Max Planck Inst Marine Microbiol, Celsiusstr 1, D-28359 Bremen, Germany; [Piepenburg, Dieter] Univ Oldenburg HIFMB, Helmholtz Inst Funct Marine Biodivers, Carl von Ossietzky Str 9-11, D-26129 Oldenburg, Germany</t>
  </si>
  <si>
    <t>Helmholtz Association; Alfred Wegener Institute, Helmholtz Centre for Polar &amp; Marine Research; UK Research &amp; Innovation (UKRI); Natural Environment Research Council (NERC); NERC British Antarctic Survey; Max Planck Society</t>
  </si>
  <si>
    <t>Purser, A (corresponding author), Helmholtz Ctr Polar &amp; Marine Res, Alfred Wegener Inst, Handelshafen 12, D-26570 Bremerhaven, Germany.</t>
  </si>
  <si>
    <t>autun.purser@awi.de</t>
  </si>
  <si>
    <t>Jerosch, Kerstin/ABC-8913-2020; Griffiths, Huw J/D-4234-2009</t>
  </si>
  <si>
    <t>Jerosch, Kerstin/0000-0003-0728-2154; Griffiths, Huw J/0000-0003-1764-223X; Dorschel, Boris/0000-0002-3495-5927; Piepenburg, Dieter/0000-0003-3977-2860; Hehemann, Laura/0000-0003-0967-8945</t>
  </si>
  <si>
    <t>10.5194/essd-13-609-2021</t>
  </si>
  <si>
    <t>QO2TF</t>
  </si>
  <si>
    <t>WOS:000622997600004</t>
  </si>
  <si>
    <t>Cleeland, JB; Pardo, D; Raymond, B; Tuck, GN; McMahon, CR; Phillips, RA; Alderman, R; Lea, MA; Hindell, MA</t>
  </si>
  <si>
    <t>Cleeland, Jaimie B.; Pardo, Deborah; Raymond, Ben; Tuck, Geoffrey N.; McMahon, Clive R.; Phillips, Richard A.; Alderman, Rachael; Lea, Mary-Anne; Hindell, Mark A.</t>
  </si>
  <si>
    <t>Disentangling the Influence of Three Major Threats on the Demography of an Albatross Community</t>
  </si>
  <si>
    <t>climate change; fisheries; invasive species; multi-event models; reproductive success; seabirds; Southern Ocean; survival</t>
  </si>
  <si>
    <t>SOUTHERN ANNULAR MODE; CLIMATE-CHANGE; POPULATION-DYNAMICS; SEA-ICE; LONGLINE FISHERIES; SEABIRD BYCATCH; PROVISIONING STRATEGIES; AMSTERDAM ALBATROSS; OCEAN CIRCULATION; DIOMEDEA-EXULANS</t>
  </si>
  <si>
    <t>Climate change, fisheries and invasive species represent three pervasive threats to seabirds, globally. Understanding the relative influence and compounding nature of marine and terrestrial threats on the demography of seabird communities is vital for evidence-based conservation. Using 20 years of capture-mark-recapture data from four sympatric species of albatross (black-browed Thalassarche melanophris, gray headed T. chrysostoma, light-mantled Phoebetria palpebrata and wandering Diomedea exulans) at subantarctic Macquarie Island, we quantified the temporal variability in survival, breeding probability and success. In three species (excluding the wandering albatross because of their small population), we also assessed the influence of fisheries, oceanographic and terrestrial change on these rates. The Southern Annular Mode (SAM) explained 20.87-29.38% of the temporal variability in survival in all three species and 22.72-28.60% in breeding success for black-browed and gray-headed albatross, with positive SAM events related to higher success. The El Nino Southern Oscillation (ENSO) Index explained 21.14-44.04% of the variability in survival, with higher survival rates following La Nina events. For black-browed albatrosses, effort in south-west Atlantic longline fisheries had a negative relationship with survival and explained 22.75-32.21% of the variability. Whereas increased effort in New Zealand trawl fisheries were related to increases in survival, explaining 21.26-28.29 % of variability. The inclusion of terrestrial covariates, reflecting extreme rainfall events and rabbit-driven habitat degradation, explained greater variability in trends breeding probability than oceanographic or fisheries covariates for all three species. These results indicate managing drivers of demographic trends that are most easily controlled, such as fisheries and habitat degradation, will be a viable option for some species (e.g., black-browed albatross) but less effective for others (e.g., light-mantled albatross). Our results illustrate the need to integrate fisheries, oceanographic and terrestrial processes when assessing demographic variability and formulating the appropriate management response.</t>
  </si>
  <si>
    <t>[Cleeland, Jaimie B.; Raymond, Ben; McMahon, Clive R.; Lea, Mary-Anne; Hindell, Mark A.] Univ Tasmania, Inst Marine &amp; Antarctic Studies, Hobart, Tas, Australia; [Cleeland, Jaimie B.; Raymond, Ben] Dept Agr Water &amp; Environm, Australian Antarctic Div, Kingston, Tas, Australia; [Pardo, Deborah; Phillips, Richard A.] British Antarctic Survey, Nat Environm Res Council, Cambridge, England; [Tuck, Geoffrey N.] CSIRO Oceans &amp; Atmosphere, Hobart, Tas, Australia; [McMahon, Clive R.] Sydney Inst Marine Sci, Mosman, NSW, Australia; [Alderman, Rachael] Dept Primary Ind Pk Water &amp; Environm, Hobart, Tas, Australia</t>
  </si>
  <si>
    <t>University of Tasmania; Australian Antarctic Division; UK Research &amp; Innovation (UKRI); Natural Environment Research Council (NERC); NERC British Antarctic Survey; Commonwealth Scientific &amp; Industrial Research Organisation (CSIRO); Sydney Institute of Marine Science</t>
  </si>
  <si>
    <t>Cleeland, JB (corresponding author), Univ Tasmania, Inst Marine &amp; Antarctic Studies, Hobart, Tas, Australia.;Cleeland, JB (corresponding author), Dept Agr Water &amp; Environm, Australian Antarctic Div, Kingston, Tas, Australia.</t>
  </si>
  <si>
    <t>jaimie.cleeland@gmail.com</t>
  </si>
  <si>
    <t>Hindell, Mark A/K-1131-2013; Tuck, Geoffrey N/E-2356-2012; McMahon, Clive R/D-5713-2013; Lea, Mary-Anne/E-9054-2013</t>
  </si>
  <si>
    <t>McMahon, Clive R/0000-0001-5241-8917; Cleeland, Jaimie/0000-0003-2196-3968; Lea, Mary-Anne/0000-0001-8318-9299</t>
  </si>
  <si>
    <t>Australian Antarctic Division through the Australian Antarctic Science Program at Macquarie Island [751, 2569, 4112]; Scientific Committee for Antarctic Research Fellowship; Antarctic Science Bursary; NERC [bas0100035] Funding Source: UKRI</t>
  </si>
  <si>
    <t>Australian Antarctic Division through the Australian Antarctic Science Program at Macquarie Island; Scientific Committee for Antarctic Research Fellowship; Antarctic Science Bursary; NERC(UK Research &amp; Innovation (UKRI)Natural Environment Research Council (NERC))</t>
  </si>
  <si>
    <t>The Australian Antarctic Division through the Australian Antarctic Science Program (Project numbers: 751, 2569, 4112) has supported this research at Macquarie Island. JC was supported by a Scientific Committee for Antarctic Research Fellowship and an Antarctic Science Bursary.</t>
  </si>
  <si>
    <t>10.3389/fmars.2021.578144</t>
  </si>
  <si>
    <t>QR4NR</t>
  </si>
  <si>
    <t>WOS:000625189100001</t>
  </si>
  <si>
    <t>Haba, MK; Lai, YJ; Wotzlaw, JF; Yamaguchi, A; Lugaro, M; Schönbächler, M</t>
  </si>
  <si>
    <t>Haba, Makiko K.; Lai, Yi-Jen; Wotzlaw, Joern-Frederik; Yamaguchi, Akira; Lugaro, Maria; Schoenbaechler, Maria</t>
  </si>
  <si>
    <t>Precise initial abundance of Niobium-92 in the Solar System and implications for p-process nucleosynthesis</t>
  </si>
  <si>
    <t>Niobium-92; short-lived radionuclide; Zr isotopes; mesosiderite; p-process nucleosynthesis</t>
  </si>
  <si>
    <t>HALF-LIFE; CHRONOLOGY; HETEROGENEITY; ZIRCONIUM; EARTH; ZR; DIFFERENTIATION; NB-92-ZR-92; METEORITES; CHEMISTRY</t>
  </si>
  <si>
    <t>The niobium-92-zirconium-92 (Nb-92-Zr-92) decay system with a half-life of 37 Ma has great potential to date the evolution of planetary materials in the early Solar System. Moreover, the initial abundance of the p-process isotope Nb-92 in the Solar System is important for quantifying the contribution of p-process nucleosynthesis in astrophysical models. Current estimates of the initial Nb-92/Nb-93 ratios have large uncertainties compromising the use of the Nb-92-Zr-92 cosmochronometer and leaving nucleosynthetic models poorly constrained. Here, the initial Nb-92 abundance is determined to high precision by combining the Nb-92-Zr-92 systematics of cogenetic rutiles and zircons from mesosiderites with U-Pb dating of the same zircons. The mineral pair indicates that the Nb-92/Nb-93 ratio of the Solar System started with (1.66 +/- 0.10) x 10(-5), and their Zr-92/Zr-90 ratios can be explained by a three-stage Nb-Zr evolution on the mesosiderite parent body. Because of the improvement by a factor of 6 of the precision of the initial Solar System Nb-92/Nb-93, we can show that the presence of Nb-92 in the early Solar System provides further evidence that both type Ia supernovae and core-collapse supernovae contributed to the light p-process nuclei.</t>
  </si>
  <si>
    <t>[Haba, Makiko K.; Lai, Yi-Jen; Wotzlaw, Joern-Frederik; Schoenbaechler, Maria] Swiss Fed Inst Technol, Inst Geochem &amp; Petrol, CH-8092 Zurich, Switzerland; [Haba, Makiko K.] Tokyo Inst Technol, Dept Earth &amp; Planetary Sci, Tokyo 1528551, Japan; [Lai, Yi-Jen] Macquarie Univ, Dept Earth &amp; Environm Sci, Macquarie GeoAnalyt, Sydney, NSW 2109, Australia; [Yamaguchi, Akira] Natl Inst Polar Res, Antarctic Meteorite Res Ctr, Tokyo 1908518, Japan; [Lugaro, Maria] Eotvos Lorand Res Network ELKH, Konkoly Observ, Res Ctr Astron &amp; Earth Sci, H-1121 Budapest, Hungary; [Lugaro, Maria] Eotvos Lorand Univ, Inst Phys, H-1117 Budapest, Hungary; [Lugaro, Maria] Monash Univ, Monash Ctr Astrophys, Sch Phys &amp; Astron, Clayton, Vic 3800, Australia</t>
  </si>
  <si>
    <t>Swiss Federal Institutes of Technology Domain; ETH Zurich; Tokyo Institute of Technology; Macquarie University; Research Organization of Information &amp; Systems (ROIS); National Institute of Polar Research (NIPR) - Japan; Hungarian Research Network; Hungarian Academy of Sciences; HUN-REN Research Centre for Astronomy &amp; Earth Sciences; Eotvos Lorand University; Monash University</t>
  </si>
  <si>
    <t>Haba, MK (corresponding author), Swiss Fed Inst Technol, Inst Geochem &amp; Petrol, CH-8092 Zurich, Switzerland.;Haba, MK (corresponding author), Tokyo Inst Technol, Dept Earth &amp; Planetary Sci, Tokyo 1528551, Japan.</t>
  </si>
  <si>
    <t>haba.m.aa@m.titech.ac.jp</t>
  </si>
  <si>
    <t>haba, makiko/GRX-2377-2022</t>
  </si>
  <si>
    <t>Wotzlaw, Jorn-Frederik/0000-0003-3363-7764; Schonbachler, Maria/0000-0003-4304-214X; Lai, Yi-Jen/0000-0002-3318-3670; Haba, Makiko/0000-0003-2554-7849</t>
  </si>
  <si>
    <t>Japan Society for the Promotion of Science Postdoctoral Fellowship for Research Abroad [27-699]; ETH Zurich postdoctoral fellowship program [FEL-14-09]; European Research Council under the European Union's Seventh Framework Programme (FP7/2007-2013)/European Research Council (ERC) Grant [279779]; Swiss National Science Foundation [200021_149282]; JSPS KAKENHI [19H01959]; NIPR Research Project [KP307]; ERC Consolidator Grant (Hungary) funding scheme (Project RADIOSTAR, G.A.) [724560]; Swiss National Science Foundation (SNF) [200021_149282] Funding Source: Swiss National Science Foundation (SNF); Grants-in-Aid for Scientific Research [19H01959] Funding Source: KAKEN</t>
  </si>
  <si>
    <t>Japan Society for the Promotion of Science Postdoctoral Fellowship for Research Abroad(Ministry of Education, Culture, Sports, Science and Technology, Japan (MEXT)Japan Society for the Promotion of Science); ETH Zurich postdoctoral fellowship program; European Research Council under the European Union's Seventh Framework Programme (FP7/2007-2013)/European Research Council (ERC) Grant; Swiss National Science Foundation(Swiss National Science Foundation (SNSF)); JSPS KAKENHI(Ministry of Education, Culture, Sports, Science and Technology, Japan (MEXT)Japan Society for the Promotion of ScienceGrants-in-Aid for Scientific Research (KAKENHI)); NIPR Research Project; ERC Consolidator Grant (Hungary) funding scheme (Project RADIOSTAR, G.A.); Swiss National Science Foundation (SNF)(Swiss National Science Foundation (SNSF)); Grants-in-Aid for Scientific Research(Ministry of Education, Culture, Sports, Science and Technology, Japan (MEXT)Japan Society for the Promotion of ScienceGrants-in-Aid for Scientific Research (KAKENHI))</t>
  </si>
  <si>
    <t>We thank NIPR for providing A 882023 and G. L. Luvizotto for rutile reference materials. M.K.H. acknowledges support from Japan Society for the Promotion of Science Postdoctoral Fellowship for Research Abroad (No. 27-699); J.F.W. from ETH Zurich postdoctoral fellowship program (FEL-14-09); Y.-J.L. and M.S. from the European Research Council under the European Union's Seventh Framework Programme (FP7/2007-2013)/European Research Council (ERC) Grant Agreement No. 279779 and the Swiss National Science Foundation (Project 200021_149282); A.Y. from JSPS KAKENHI Grant No. 19H01959 and NIPR Research Project KP307; and M.L. from ERC Consolidator Grant (Hungary) funding scheme (Project RADIOSTAR, G.A. No. 724560).</t>
  </si>
  <si>
    <t>e2017750118</t>
  </si>
  <si>
    <t>10.1073/pnas.2017750118</t>
  </si>
  <si>
    <t>QM5CL</t>
  </si>
  <si>
    <t>WOS:000621797000042</t>
  </si>
  <si>
    <t>Semedo, M; Lopes, E; Baptista, MS; Oller-Ruiz, A; Gilabert, J; Tomasino, MP; Magalhaes, C</t>
  </si>
  <si>
    <t>Semedo, Miguel; Lopes, Eva; Baptista, Mafalda S.; Oller-Ruiz, Ainhoa; Gilabert, Javier; Tomasino, Maria Paola; Magalhaes, Catarina</t>
  </si>
  <si>
    <t>Depth Profile of Nitrifying Archaeal and Bacterial Communities in the Remote Oligotrophic Waters of the North Pacific</t>
  </si>
  <si>
    <t>nitrification; thaumarchaeota; AOA; NOB; Pacific Subtropical Front</t>
  </si>
  <si>
    <t>AMMONIA OXIDATION-KINETICS; NITRITE OXIDATION; COMPLETE NITRIFICATION; NITROGEN; DIVERSITY; OXYGEN; ABUNDANCE; PATTERNS; REVEALS; NITRATE</t>
  </si>
  <si>
    <t>Nitrification is a vital ecosystem function in the open ocean that regenerates inorganic nitrogen and promotes primary production. Recent studies have shown that the ecology and physiology of nitrifying organisms is more complex than previously postulated. The distribution of these organisms in the remote oligotrophic ocean and their interactions with the physicochemical environment are relatively understudied. In this work, we aimed to evaluate the depth profile of nitrifying archaea and bacteria in the Eastern North Pacific Subtropical Front, an area with limited biological surveys but with intense trophic transferences and physicochemical gradients. Furthermore, we investigated the dominant physicochemical and biological relationships within and between ammonia-oxidizing archaea (AOA), ammonia-oxidizing bacteria (AOB), and nitrite-oxidizing bacteria (NOB) as well as with the overall prokaryotic community. We used a 16S rRNA gene sequencing approach to identify and characterize the nitrifying groups within the first 500 m of the water column and to analyze their abiotic and biotic interactions. The water column was characterized mainly by two contrasting environments, warm O-2-rich surface waters with low dissolved inorganic nitrogen (DIN) and a cold O-2-deficient mesopelagic layer with high concentrations of nitrate (NO3-). Thaumarcheotal AOA and bacterial NOB were highly abundant below the deep chlorophyll maximum (DCM) and in the mesopelagic. In the mesopelagic, AOA and NOB represented up to 25 and 3% of the total prokaryotic community, respectively. Interestingly, the AOA community in the mesopelagic was dominated by unclassified genera that may constitute a novel group of AOA highly adapted to the conditions observed at those depths. Several of these unclassified amplicon sequence variants (ASVs) were positively correlated with NO3- concentrations and negatively correlated with temperature and O-2, whereas known thaumarcheotal genera exhibited the opposite behavior. Additionally, we found a large network of positive interactions within and between putative nitrifying ASVs and other prokaryotic groups, including 13230 significant correlations and 23 sub-communities of AOA, AOB, NOB, irrespective of their taxonomic classification. This study provides new insights into our understanding of the roles that AOA may play in recycling inorganic nitrogen in the oligotrophic ocean, with potential consequences to primary production in these remote ecosystems.</t>
  </si>
  <si>
    <t>[Semedo, Miguel; Lopes, Eva; Baptista, Mafalda S.; Tomasino, Maria Paola; Magalhaes, Catarina] Univ Porto, Interdisciplinary Ctr Marine &amp; Environm Res CIIMA, Matosinhos, Portugal; [Baptista, Mafalda S.; Magalhaes, Catarina] Univ Porto, Fac Sci, Porto, Portugal; [Baptista, Mafalda S.] Univ Waikato, Int Centre Terr Antarctic Res, Hamilton, New Zealand; [Oller-Ruiz, Ainhoa; Gilabert, Javier] Univ Politecn Cartagena UPCT, Dept Chem &amp; Environm Engn, Cartagena, Spain; [Magalhaes, Catarina] Univ Waikato, Fac Sci &amp; Engn, Sch Sci, Hamilton, New Zealand</t>
  </si>
  <si>
    <t>Universidade do Porto; Universidade do Porto; University of Waikato; Universidad Politecnica de Cartagena; University of Waikato</t>
  </si>
  <si>
    <t>Semedo, M (corresponding author), Univ Porto, Interdisciplinary Ctr Marine &amp; Environm Res CIIMA, Matosinhos, Portugal.</t>
  </si>
  <si>
    <t>msemedo@ciimar.up.pt</t>
  </si>
  <si>
    <t>Baptista, Mafalda S./F-8301-2010; Oller, Ainhoa/KFS-5339-2024; Semedo, Miguel/AAQ-4816-2021; Gilabert, Javier/H-3540-2016</t>
  </si>
  <si>
    <t>Baptista, Mafalda S./0000-0002-2198-0410; Semedo, Miguel/0000-0003-2263-2212; Gilabert, Javier/0000-0002-0988-5445; Lopes, Eva/0000-0001-6928-5524; Tomasino, Maria Paola/0000-0003-3255-0982</t>
  </si>
  <si>
    <t>Portuguese Science and Technology Foundation (FCT) [PTDC/CTA-AMB/30997/2017, UIDB/04423/2020, UIDB/04565/2020]</t>
  </si>
  <si>
    <t>Portuguese Science and Technology Foundation (FCT)(Fundacao para a Ciencia e a Tecnologia (FCT))</t>
  </si>
  <si>
    <t>The authors acknowledge the support of the Schmidt Ocean Institute (SOI) for providing the R/V Falkor for a 3 week cruise within the Exploring Fronts with Multiple Robots expeditionw (https://schmidtocean.org/cruise/exploring_fronts_with_multipl e_aerial-surface-underwater-vehicles/). The Portuguese Science and Technology Foundation (FCT) funded this study through a grant to CM (PTDC/CTA-AMB/30997/2017) and partially supported this research through the projects UIDB/04423/2020, and UIDB/04565/2020.</t>
  </si>
  <si>
    <t>10.3389/fmicb.2021.624071</t>
  </si>
  <si>
    <t>QT0LV</t>
  </si>
  <si>
    <t>WOS:000626285200001</t>
  </si>
  <si>
    <t>Selley, HL; Hogg, AE; Cornford, S; Dutrieux, P; Shepherd, A; Wuite, J; Floricioiu, D; Kusk, A; Nagler, T; Gilbert, L; Slater, T; Kim, TW</t>
  </si>
  <si>
    <t>Selley, Heather L.; Hogg, Anna E.; Cornford, Stephen; Dutrieux, Pierre; Shepherd, Andrew; Wuite, Jan; Floricioiu, Dana; Kusk, Anders; Nagler, Thomas; Gilbert, Lin; Slater, Thomas; Kim, Tae-Wan</t>
  </si>
  <si>
    <t>Widespread increase in dynamic imbalance in the Getz region of Antarctica from 1994 to 2018</t>
  </si>
  <si>
    <t>The Getz region of West Antarctica is losing ice at an increasing rate; however, the forcing mechanisms remain unclear. Here we use satellite observations and an ice sheet model to measure the change in ice speed and mass balance of the drainage basin over the last 25-years. Our results show a mean increase in speed of 23.8 % between 1994 and 2018, with three glaciers accelerating by over 44 %. Speedup across the Getz basin is linear, with speedup and thinning directly correlated confirming the presence of dynamic imbalance. Since 1994, 315 Gt of ice has been lost contributing 0.90.6mm global mean sea level, with increased loss since 2010 caused by a snowfall reduction. Overall, dynamic imbalance accounts for two thirds of the mass loss from this region of West Antarctica over the past 25-years, with a longer-term response to ocean forcing the likely driving mechanism. The Getz region of West Antarctica is losing ice at an increasing rate; however, the forcing mechanisms remain unclear. Here we show for the first time that since 1994, widespread speedup has occurred on the majority of glaciers in the Getz drainage basin, with some glaciers speeding up by over 44 %.</t>
  </si>
  <si>
    <t>[Selley, Heather L.; Shepherd, Andrew; Slater, Thomas] Univ Leeds, Sch Earth &amp; Environm, Ctr Polar Observat &amp; Modelling, Leeds, W Yorkshire, England; [Hogg, Anna E.] Univ Leeds, Sch Earth &amp; Environm, Leeds, W Yorkshire, England; [Cornford, Stephen] Swansea Univ, Dept Geog, Swansea, W Glam, Wales; [Dutrieux, Pierre] Colombia Univ, Lamont Doherty Earth Observ, New York, NY USA; [Wuite, Jan; Nagler, Thomas] ENVEO IT GmbH, Innsbruck, Austria; [Floricioiu, Dana] German Aerosp Ctr DLR, Remote Sensing Technol Inst, Wessling, Germany; [Kusk, Anders] Tech Univ Denmark, Natl Space Inst, DTU Space, Lyngby, Denmark; [Gilbert, Lin] UCL, Dept Space &amp; Climate Phys, Mullard Space Sci Lab, London, England; [Kim, Tae-Wan] Korea Polar Res Inst, Incheon, South Korea; [Dutrieux, Pierre] Nat Environm Res Council NERC, British Antarctic Survey, Cambridge, England</t>
  </si>
  <si>
    <t>University of Leeds; University of Leeds; Swansea University; Columbia University; Helmholtz Association; German Aerospace Centre (DLR); Technical University of Denmark; University of London; University College London; Korea Polar Research Institute (KOPRI); UK Research &amp; Innovation (UKRI); Natural Environment Research Council (NERC); NERC British Antarctic Survey</t>
  </si>
  <si>
    <t>Selley, HL (corresponding author), Univ Leeds, Sch Earth &amp; Environm, Ctr Polar Observat &amp; Modelling, Leeds, W Yorkshire, England.</t>
  </si>
  <si>
    <t>eehls@leeds.ac.uk</t>
  </si>
  <si>
    <t>Kim, Tae-Wan/JGM-9981-2023; Dutrieux, Pierre/GVS-2890-2022</t>
  </si>
  <si>
    <t>Kim, Tae-Wan/0000-0001-5257-7256; Dutrieux, Pierre/0000-0002-8066-934X; Wuite, Jan/0000-0001-9333-1586; Kusk, Anders/0000-0001-7822-4758; Floricioiu, Dana/0000-0002-1647-7191; Selley, Heather/0000-0002-0793-8144</t>
  </si>
  <si>
    <t>NERC Centre for Polar Observation and Modelling [CPOM300001]; ESA Antarctic Ice Sheet Climate Change Initiative (AIS_CCI) project; NASA Measures programme; NERC DeCAdeS project [NE/T012757/1]; ESA Polar+ Ice Shelves project [ESA-IPL-POE-EF-cb-LE-2019-834]; NSF [1643285, 1644159]; Columbia University Climate and Life Fellowship; Korea Polar Research Institute [KOPRI PE20160]; NERC [NE/J005681/1, NE/J005657/1, bas0100033, cpom30001] Funding Source: UKRI; Office of Polar Programs (OPP); Directorate For Geosciences [1643285] Funding Source: National Science Foundation; Office of Polar Programs (OPP); Directorate For Geosciences [1644159] Funding Source: National Science Foundation</t>
  </si>
  <si>
    <t>NERC Centre for Polar Observation and Modelling; ESA Antarctic Ice Sheet Climate Change Initiative (AIS_CCI) project; NASA Measures programme; NERC DeCAdeS project(UK Research &amp; Innovation (UKRI)Natural Environment Research Council (NERC)); ESA Polar+ Ice Shelves project; NSF(National Science Foundation (NSF)); Columbia University Climate and Life Fellowship; Korea Polar Research Institute(Korea Polar Research Institute of Marine Research Placement (KOPRI)); NERC(UK Research &amp; Innovation (UKRI)Natural Environment Research Council (NERC)); Office of Polar Programs (OPP); Directorate For Geosciences(National Science Foundation (NSF)NSF - Directorate for Geosciences (GEO)); Office of Polar Programs (OPP); Directorate For Geosciences(National Science Foundation (NSF)NSF - Directorate for Geosciences (GEO))</t>
  </si>
  <si>
    <t>This work was led by the School of Earth and Environment at the University of Leeds, with support from the NERC Centre for Polar Observation and Modelling (CPOM300001). The authors gratefully acknowledge the ESA, the National Aeronautics and Space Administration, the Japan Aerospace Exploration Agency and the Canadian Space Agency for the acquisition of ERS-1 and -2 (C1P9925), Sentinel-1, Landsat-8, ALOS PALSAR and RADARSAT data, respectively. We acknowledge the use of datasets produced through the ESA Antarctic Ice Sheet Climate Change Initiative (AIS_CCI) project and the NASA Measures programme for funding the development of long-term climate data records from satellite observations. Anna E. Hogg was supported by the NERC DeCAdeS project (NE/T012757/1) and ESA Polar+ Ice Shelves project (ESA-IPL-POE-EF-cb-LE-2019-834). Pierre Dutrieux was supported by NSF awards 1643285, 1644159, and a Columbia University Climate and Life Fellowship. Tae-Wan Kim from the Korea Polar Research Institute, grant KOPRI PE20160.</t>
  </si>
  <si>
    <t>10.1038/s41467-021-21321-1</t>
  </si>
  <si>
    <t>QP4CU</t>
  </si>
  <si>
    <t>WOS:000623784900001</t>
  </si>
  <si>
    <t>Yin, JH; Mao, FY; Zang, L; Chen, JP; Lu, X; Hong, J</t>
  </si>
  <si>
    <t>Yin, Jianhua; Mao, Feiyue; Zang, Lin; Chen, Jiangping; Lu, Xin; Hong, Jia</t>
  </si>
  <si>
    <t>Retrieving PM2.5 with high spatio-temporal coverage by TOA reflectance of Himawari-8</t>
  </si>
  <si>
    <t>AOD; PM2.5; Spatio-temporal coverage; TOA reflectance</t>
  </si>
  <si>
    <t>AEROSOL OPTICAL DEPTH; GROUND-LEVEL PM2.5; BOUNDARY-LAYER HEIGHT; PARTICULATE MATTER; FORMATION MECHANISM; AIR-POLLUTION; CHINA; POLLUTANTS; NETWORK; CITIES</t>
  </si>
  <si>
    <t>Particulate matter with an aerodynamic diameter less than 2.5 mu m (PM2.5) has drawn considerable concern due to its significant air quality and public health effects. Aerosol optical depth (AOD) from polar-orbiting satellites has been widely used for estimating ground-level PM2.5 concentration. However, the PM2.5 estimation from the polar-orbiting satellites AOD are limited in spatio-temporal coverage due to its low revisit rate and the applicability issue of the AOD retrieval method. This study proposed a method to estimate PM2.5 distributions using the top-of-the-atmosphere reflectance (TOAR) of the Himawari-8 geostationary satellite over China. The results show that PM2.5 estimations from AOD and TOAR present a similar accuracy, with an R-2 (RMSE) of 0.86 (17.2 mu g/m(3)). For the marginal regions where valid AOD observations unavailable, the R-2 (RMSE) of PM2.5 estimated from TOAR also reaches 0.83 (23.7 mu g/m(3)). The spatio-temporal coverage of PM2.5 estimated by TOAR is about four times based on AOD data, which is important to capture the true distribution of fine particles and explore their diurnal evolution.</t>
  </si>
  <si>
    <t>[Yin, Jianhua; Mao, Feiyue; Chen, Jiangping] Wuhan Univ, Sch Remote Sensing &amp; Informat Engn, Wuhan 430079, Peoples R China; [Mao, Feiyue; Lu, Xin; Hong, Jia] Wuhan Univ, State Key Lab Informat Engn Surveying Mapping &amp; R, Wuhan 430079, Peoples R China; [Zang, Lin] Wuhan Univ, Chinese Antarctic Ctr Surveying &amp; Mapping, Wuhan 430079, Peoples R China</t>
  </si>
  <si>
    <t>Zang, L (corresponding author), Wuhan Univ, Chinese Antarctic Ctr Surveying &amp; Mapping, Wuhan 430079, Peoples R China.</t>
  </si>
  <si>
    <t>zanglin2018@whu.edu.cn</t>
  </si>
  <si>
    <t>National Key Research and Development Program of China [2017YFB0503604]; National Natural Science Foundation of China [41971285, 41627804]</t>
  </si>
  <si>
    <t>This study is supported by the National Key Research and Development Program of China (2017YFB0503604) and the National Natural Science Foundation of China (41971285 and 41627804). The authors are also grateful to the CMA, Japan Aerospace Exploration Agency, ECMWF, Data Center of the US NASA, and USGS for supporting the data for this study.</t>
  </si>
  <si>
    <t>10.1016/j.apr.2021.02.007</t>
  </si>
  <si>
    <t>RG5SX</t>
  </si>
  <si>
    <t>WOS:000635598900002</t>
  </si>
  <si>
    <t>Reed, KA; Lee, SG; Lee, JH; Park, H; Covi, JA</t>
  </si>
  <si>
    <t>Reed, Katherine A.; Lee, Sung Gu; Lee, Jun Hyuck; Park, Hyun; Covi, Joseph A.</t>
  </si>
  <si>
    <t>The ultrastructure of resurrection: Post-diapause development in an Antarctic freshwater copepod</t>
  </si>
  <si>
    <t>JOURNAL OF STRUCTURAL BIOLOGY</t>
  </si>
  <si>
    <t>Crustacean; Zooplankton; Diapause; Developmental biology; Partial syncytium; Electron microscopy</t>
  </si>
  <si>
    <t>The copepod, Boeckella poppei, is broadly distributed in Antarctic and subantarctic maritime lakes threatened by climate change and anthropogenic chemicals. Unfortunately, comparatively little is known about freshwater zooplankton in lakes influenced by the Southern Ocean. In order to predict the impact of climate change and chemicals on freshwater species like B. poppei, it is necessary to understand the nature of their most resilient life stages. Embryos of B. poppei survive up to two centuries in a resilient dormant state, but no published studies evaluate the encapsulating wall that protects theses embryos or their development after dormancy. This study fills that knowledge gap by using microscopy to examine development and the encapsulating wall in B. poppei embryos from Antarctica. The encapsulating wall of B. poppei is comprised of three layers that appear to be conserved among crustacean zooplankton, but emergence and hatching are uniquely delayed until the nauplius is fully formed in this species. Diapause embryos in Antarctic sediments appear to be in a partially syncytial midgastrula stage. The number of nuclei quadruples between the end of diapause and hatching. Approximately 75% of yolk platelets are completely consumed during the same time period. However, some yolk platelets are left completely intact at the time of hatching. Preservation of complete yolk platelets suggests an all-or-none biochemical process for activating yolk consumption that is inactivated during dormancy to preserve yolk for post-dormancy development. The implications of these and additional ultrastructural features are discussed in the context of anthropogenic influence and the natural environment.</t>
  </si>
  <si>
    <t>[Reed, Katherine A.; Covi, Joseph A.] Univ North Carolina Wilmington, Dept Biol &amp; Marine Biol, 601 S Coll Rd, Wilmington, NC 28403 USA; [Lee, Sung Gu; Lee, Jun Hyuck] Korea Polar Res Inst KOPRI, Unit Res Pract Applicat, Incheon 21990, South Korea; [Lee, Sung Gu; Lee, Jun Hyuck] Univ Sci &amp; Technol, Dept Polar Sci, Incheon 21990, South Korea; [Park, Hyun] Korea Univ, Div Biotechnol, 145 Anam Ro, Seoul, South Korea</t>
  </si>
  <si>
    <t>University of North Carolina; University of North Carolina Wilmington; Korea Polar Research Institute (KOPRI); Korea University</t>
  </si>
  <si>
    <t>Covi, JA (corresponding author), Univ North Carolina Wilmington, Dept Biol &amp; Marine Biol, 601 S Coll Rd, Wilmington, NC 28403 USA.</t>
  </si>
  <si>
    <t>covij@uncw.edu</t>
  </si>
  <si>
    <t>REED, KATHERINE/0000-0003-4142-0952; Park, Hyun/0000-0002-8055-2010</t>
  </si>
  <si>
    <t>Korea Polar Research Institute (KOPRI) [PE20040]; National Science Foundation Office of Polar Programs, United States Antarctic Program</t>
  </si>
  <si>
    <t>Korea Polar Research Institute (KOPRI); National Science Foundation Office of Polar Programs, United States Antarctic Program</t>
  </si>
  <si>
    <t>Grant support for this project was provided by the Korea Polar Research Institute (KOPRI) Grant PE20040. Access to shipping logistics with DAMCO was provided by the National Science Foundation Office of Polar Programs, United States Antarctic Program. The authors thank Dr. Alison Taylor and Mark Gay for technical training and consultation in Electron Microscopy. Electron Microscopy was conducted in the UNCW Richard Dillaman Biological Imaging Facility at UNCW. The authors thank Yanina Ciriani for field assistance.</t>
  </si>
  <si>
    <t>1047-8477</t>
  </si>
  <si>
    <t>1095-8657</t>
  </si>
  <si>
    <t>J STRUCT BIOL</t>
  </si>
  <si>
    <t>J. Struct. Biol.</t>
  </si>
  <si>
    <t>10.1016/j.jsb.2021.107705</t>
  </si>
  <si>
    <t>Biochemistry &amp; Molecular Biology; Biophysics; Cell Biology</t>
  </si>
  <si>
    <t>QY3JS</t>
  </si>
  <si>
    <t>WOS:000629940300028</t>
  </si>
  <si>
    <t>Sepúlveda, E; Cordero, RR; Damiani, A; Feron, S; Pizarro, J; Zamorano, F; Kivi, R; Sánchez, R; Yela, M; Jumelet, J; Godoy, A; Carrasco, J; Crespo, JS; Seckmeyer, G; Jorquera, JA; Carrera, JM; Valdevenito, B; Cabrera, S; Redondas, A; Rowe, PM</t>
  </si>
  <si>
    <t>Sepulveda, Edgardo; Cordero, Raul R.; Damiani, Alessandro; Feron, Sarah; Pizarro, Jaime; Zamorano, Felix; Kivi, Rigel; Sanchez, Ricardo; Yela, Margarita; Jumelet, Julien; Godoy, Alejandro; Carrasco, Jorge; Crespo, Juan S.; Seckmeyer, Gunther; Jorquera, Jose A.; Carrera, Juan M.; Valdevenito, Braulio; Cabrera, Sergio; Redondas, Alberto; Rowe, Penny M.</t>
  </si>
  <si>
    <t>Evaluation of Antarctic Ozone Profiles derived from OMPS-LP by using Balloon-borne Ozonesondes</t>
  </si>
  <si>
    <t>Predicting radiative forcing due to Antarctic stratospheric ozone recovery requires detecting changes in the ozone vertical distribution. In this endeavor, the Limb Profiler of the Ozone Mapping and Profiler Suite (OMPS-LP), aboard the Suomi NPP satellite, has played a key role providing ozone profiles over Antarctica since 2011. Here, we compare ozone profiles derived from OMPS-LP data (version 2.5 algorithm) with balloon-borne ozonesondes launched from 8 Antarctic stations over the period 2012-2020. Comparisons focus on the layer from 12.5 to 27.5 km and include ozone profiles retrieved during the Sudden Stratospheric Warming (SSW) event registered in Spring 2019. We found that, over the period December-January-February-March, the root mean square error (RMSE) tends to be larger (about 20%) in the lower stratosphere (12.5-17.5 km) and smaller (about 10%) within higher layers (17.5-27.5 km). During the ozone hole season (September-October-November), RMSE values rise up to 40% within the layer from 12.5 to 22 km. Nevertheless, relative to balloon-borne measurements, the mean bias error of OMPS-derived Antarctic ozone profiles is generally lower than 0.3 ppmv, regardless of the season.</t>
  </si>
  <si>
    <t>[Sepulveda, Edgardo; Cordero, Raul R.; Feron, Sarah; Pizarro, Jaime; Jorquera, Jose A.; Carrera, Juan M.; Valdevenito, Braulio; Rowe, Penny M.] Univ Santiago Chile, Av B OHiggins 3363, Santiago, Chile; [Damiani, Alessandro] Chiba Univ, Ctr Environm Remote Sensing, Chiba, Japan; [Feron, Sarah] Stanford Univ, Dept Earth Syst Sci, Stanford, CA 94305 USA; [Zamorano, Felix; Carrasco, Jorge] Univ Magallanes, Punta Arenas, Chile; [Kivi, Rigel] Finnish Meteorol Inst FMI, Space &amp; Earth Observat Ctr, Sodankyla, Finland; [Sanchez, Ricardo; Godoy, Alejandro] Serv Meteorol Nacl, Buenos Aires, DF, Argentina; [Yela, Margarita] Inst Nacl Tecn Aeroesp INTA, Madrid, Spain; [Jumelet, Julien] Sorbonne Univ, UVSQ, CNRS, LATMOS IPSL, Paris, France; [Crespo, Juan S.] Direcc Meteorol Chile, Santiago, Chile; [Seckmeyer, Gunther] Leibniz Univ Hannover, Herrenhauser Str 2, Hannover, Germany; [Cabrera, Sergio] Univ Chile, Inst Ciencias Biomed, Santiago, Chile; [Redondas, Alberto] State Meteorol Agcy AEMET, Izana Atmospher Res Ctr IARC, Santa Cruz De Tenerife, Spain; [Rowe, Penny M.] NorthWest Res Associates, Redmond, WA USA</t>
  </si>
  <si>
    <t>Universidad de Santiago de Chile; Chiba University; Stanford University; Universidad de Magallanes; Finnish Meteorological Institute; Universite Paris Cite; Sorbonne Universite; Centre National de la Recherche Scientifique (CNRS); Universite Paris Saclay; Leibniz University Hannover; Universidad de Chile; Agencia Estatal de Meteorologia (AEMET); NorthWest Research Associates</t>
  </si>
  <si>
    <t>Cordero, RR; Feron, S (corresponding author), Univ Santiago Chile, Av B OHiggins 3363, Santiago, Chile.;Feron, S (corresponding author), Stanford Univ, Dept Earth Syst Sci, Stanford, CA 94305 USA.</t>
  </si>
  <si>
    <t>raul.cordero@usach.cl; sferon@stanford.edu</t>
  </si>
  <si>
    <t>Godoy, Alejandro/GPS-4942-2022; Redondas, Alberto/L-9299-2015; Carrasco, Jorge/AAC-4799-2021; Carrasco, Jorge/ACG-6766-2022; Yela Gonzalez, Margarita/J-7346-2016</t>
  </si>
  <si>
    <t>Redondas, Alberto/0000-0002-4826-6823; Carrasco, Jorge/0000-0003-2154-5483; Carrasco, Jorge/0000-0003-2154-5483; Damiani, Alessandro/0000-0003-3014-6193; Cordero, Raul R./0000-0001-7607-7993; Yela Gonzalez, Margarita/0000-0003-3775-3156; Godoy, Alejandro Anibal/0000-0002-8599-4029; Feron, Sarah/0000-0002-0572-5639</t>
  </si>
  <si>
    <t>Chilean Antarctic Institute (INACH) [Preis RT_32-15, RT_70-18]; Consejo Nacional de Ciencia y Tecnologia CONICYT [Preis FONDECYT 1191932, REDES180158]; Corporacion Fomento de la Produccion [Preis CORFO 19BP-117358, 18BPE-93920, 18BPCR-89100]; Finnish Antarctic research program (FINNARP); Consejo Nacional de Ciencia y Tecnologia CONICYT (CONICYT-DFG-SouthTrac)</t>
  </si>
  <si>
    <t>Chilean Antarctic Institute (INACH); Consejo Nacional de Ciencia y Tecnologia CONICYT(Consejo Nacional de Ciencia y Tecnologia (CONACyT)Comision Nacional de Investigacion Cientifica y Tecnologica (CONICYT)); Corporacion Fomento de la Produccion; Finnish Antarctic research program (FINNARP); Consejo Nacional de Ciencia y Tecnologia CONICYT (CONICYT-DFG-SouthTrac)</t>
  </si>
  <si>
    <t>We thank the researchers contributing to the World Ozone and UV Data Center (WOUDC) and the Network for the Detection of Atmospheric Composition Change (NDACC) for providing the ozonesonde data. We also thank the OMPS team for the data access and all their hard work in producing such a data set. The support of the Chilean Antarctic Institute (INACH, Preis RT_32-15 and RT_70-18), Consejo Nacional de Ciencia y Tecnologia CONICYT (Preis FONDECYT 1191932, REDES180158 and CONICYT-DFG-SouthTrac) and Corporacion Fomento de la Produccion (Preis CORFO 19BP-117358, 18BPE-93920 and 18BPCR-89100) is gratefully acknowledged. Ozone sounding program at Marambio has been supported by the Finnish Antarctic research program (FINNARP).</t>
  </si>
  <si>
    <t>FEB 22</t>
  </si>
  <si>
    <t>10.1038/s41598-021-81954-6</t>
  </si>
  <si>
    <t>QM6UA</t>
  </si>
  <si>
    <t>WOS:000621911100002</t>
  </si>
  <si>
    <t>Hai, G; Xie, H; Du, WJ; Xia, ML; Tong, XH; Li, RX</t>
  </si>
  <si>
    <t>Hai, Gang; Xie, Huan; Du, Wenjia; Xia, Menglian; Tong, Xiaohua; Li, Rongxing</t>
  </si>
  <si>
    <t>Characterizing slope correction methods applied to satellite radar altimetry data: A case study around Dome Argus in East Antarctica</t>
  </si>
  <si>
    <t>ADVANCES IN SPACE RESEARCH</t>
  </si>
  <si>
    <t>Slope correction methods; Radar altimetry; CyroSat-2; REMA; East Antarctica; Comparative analysis</t>
  </si>
  <si>
    <t>Slope correction is important to improve the accuracy of satellite radar elevation measurements by mitigating the slope-induced error (SE), especially over uneven ground surfaces. Although several slope correction methods have been proposed, guidance in the form of stepwise algorithm on how to implement these methods in processing radar altimetric data at the coding level, and the differences among these methods need to be presented and discussed systematically. In this paper, three existing types of slope correction methods-the direct method (DM), intermediate method (IM), and relocation method (RM, further divided into RM1 and RM2)-are described in detail. In addition, their main differences and features for various scientific applications are analyzed. We conduct a systematic experiment with CryoSat-2 Low Resolution Mode (LRM) data in a physically stable area around Dome Argus in East Antarctica, where in-situ measurements were available for comparison. The slope correction is implemented separately using the three methods, with the latest high-accuracy Reference Elevation Model of Antarctica (REMA) as the a-priori topography model. The bias and precision of the slope-corrected CryoSat-2 data results from the RM2 is -0.18 +/- 0.86 m based on the comparison with the field Global Navigation Satellite System (GNSS) data. The results from the RM2 indicate higher precision compared to those from the RM1. According to the correlation analysis of the slope-corrected CryoSat-2 data results (RM1 and RM2), the bias enlarges and the precision becomes worse when the surface slope increases from 0 to 0.85 degrees. After a comprehensively comparative analysis, we find that the results from the RM1 and RM2 are superior in precision (0.93 m and 0.86 m) with respect to the GNSS data. The relatively low precision (1.22 m) from the IM is due to the potential error from the a-priori digital elevation model (DEM). The DM has the lowest precision (2.66 m). Another experiment over rough topography in West Antarctica is carried out for comparison, especially between the RM1 (precision of 15.27 m) and RM2 (precision of 16.25 m). In general, the RM is recommended for the SE elimination among the three methods. Moreover, the RM2 is firstly considered over smooth topography due to the superior performance in bias and precision, while the RM1 is more suggested over the rough topography because of the slightly smaller bias and better precision. The IM relies much on the accuracy of the a-prior DEM and is not usually recommended, because of the strict requirement in the sampling time between the radar altimetry data and the a-priori DEM to avoid any surface change over time. (C) 2021 COSPAR. Published by Elsevier B.V. All rights reserved.</t>
  </si>
  <si>
    <t>[Hai, Gang; Xie, Huan; Du, Wenjia; Xia, Menglian; Tong, Xiaohua; Li, Rongxing] Tongji Univ, Coll Surveying &amp; Geoinformat, Ctr Spatial Informat Sci &amp; Sustainable Dev Applic, 1239 Siping Rd, Shanghai, Peoples R China</t>
  </si>
  <si>
    <t>Tongji University</t>
  </si>
  <si>
    <t>Xie, H (corresponding author), Tongji Univ, Coll Surveying &amp; Geoinformat, Ctr Spatial Informat Sci &amp; Sustainable Dev Applic, 1239 Siping Rd, Shanghai, Peoples R China.</t>
  </si>
  <si>
    <t>ganghai@tongji.edu.cn; huanxie@tongji.edu.cn; 1253507@tongji.edu.cn; 1351209@tongji.edu.cn; xhtong@tongji.edu.cn; rli@tongji.edu.cn</t>
  </si>
  <si>
    <t>xie, huan/GQQ-4398-2022</t>
  </si>
  <si>
    <t>Hai, Gang/0000-0002-8622-6128</t>
  </si>
  <si>
    <t>National Key Research and Development Program of China [2017YFA0603100]; Chinese National Natural Science Foundation [41822106, 41571407, 41730102]; Shanghai Youth Talent Support Program; Shuguang Program - Shanghai Education Development Foundation [18SG22]; Shanghai Municipal Education Commission [18SG22]; State Key Laboratory of Disaster Reduction in Civil Engineering [SLDRCE19-B-35]; Fundamental Research Funds for the Central Universities</t>
  </si>
  <si>
    <t>National Key Research and Development Program of China; Chinese National Natural Science Foundation(National Natural Science Foundation of China (NSFC)); Shanghai Youth Talent Support Program; Shuguang Program - Shanghai Education Development Foundation; Shanghai Municipal Education Commission(Shanghai Municipal Education Commission (SHMEC)); State Key Laboratory of Disaster Reduction in Civil Engineering; Fundamental Research Funds for the Central Universities(Fundamental Research Funds for the Central Universities)</t>
  </si>
  <si>
    <t>This work was supported by the National Key Research and Development Program of China [2017YFA0603100]; the Chinese National Natural Science Foundation [Nos. 41822106, 41571407, and 41730102]; the Shanghai Youth Talent Support Program; the Shuguang Program supported by the Shanghai Education Development Foundation and Shanghai Municipal Education Commission [18SG22]; the State Key Laboratory of Disaster Reduction in Civil Engineering under grant SLDRCE19-B-35; and the Fundamental Research Funds for the Central Universities. The authors would like to thank the European Space Agency and Polar Geospatial Center for providing the CryoSat-2 and REMA data. We would also like to thank the Chinese National Antarctic Research Expeditions for the field data collection.</t>
  </si>
  <si>
    <t>0273-1177</t>
  </si>
  <si>
    <t>1879-1948</t>
  </si>
  <si>
    <t>ADV SPACE RES</t>
  </si>
  <si>
    <t>Adv. Space Res.</t>
  </si>
  <si>
    <t>10.1016/j.asr.2021.01.016</t>
  </si>
  <si>
    <t>Engineering, Aerospace; Astronomy &amp; Astrophysics; Geosciences, Multidisciplinary; Meteorology &amp; Atmospheric Sciences</t>
  </si>
  <si>
    <t>Engineering; Astronomy &amp; Astrophysics; Geology; Meteorology &amp; Atmospheric Sciences</t>
  </si>
  <si>
    <t>QL8DA</t>
  </si>
  <si>
    <t>WOS:000621310300006</t>
  </si>
  <si>
    <t>Rossi, ME; Avila, C; Moles, J</t>
  </si>
  <si>
    <t>Rossi, Maria Eleonora; Avila, Conxita; Moles, Juan</t>
  </si>
  <si>
    <t>Orange is the new white: taxonomic revision of Tritonia species (Gastropoda: Nudibranchia) from the Weddell Sea and Bouvet Island</t>
  </si>
  <si>
    <t>Phylogenetic analyses; Southern Ocean; Species delimitation tests; Tritoniidae taxonomy</t>
  </si>
  <si>
    <t>DIVERSITY; MOLLUSCA; OPISTHOBRANCHIA; COLORATION; DISPERSAL; RADIATION; LINEAGES; DEFENSE; ORIGIN; ELIOT</t>
  </si>
  <si>
    <t>Among nudibranch molluscs, the family Tritoniidae gathers taxa with an uncertain phylogenetic position, such as some species of the genus Tritonia Cuvier, 1798. Currently, 37 valid species belong to this genus and only three of them are found in the Southern Ocean, namely T. challengeriana Bergh, 1884, T. dantarti Ballesteros &amp; Avila, 2006, and T. vorax (Odhner, 1926). In this study, we shed light on the long-term discussed systematics and taxonomy of Antarctic Tritonia species using morpho-anatomical and molecular techniques. Samples from the Weddell Sea and Bouvet Island were dissected and prepared for scanning electron microscopy. The three molecular markers COI, 16S, and H3 were sequenced and analysed through maximum-likelihood and Bayesian methods. The phylogenetic analyses and species delimitation tests clearly distinguished two species, T. challengeriana widely spread in the Southern Ocean and T. dantarti endemic to Bouvet Island. Colouration seems to be an unreliable character to differentiate among species since molecular data revealed both species can either have orange or white colour morphotypes. This variability could be explained by pigment sequestration from the soft coral species they feed on. Morphological analyses reveal differences between Antarctic and Magellanic specimens of T. challengeriana. However, the relationship between T. challengeriana specimens from these two regions remains still unclear due to the lack of molecular data. Therefore, the validity of the T. antarctica Martens &amp; Pfeffer, 1886, exclusively found in Antarctic waters requires further systematic work.</t>
  </si>
  <si>
    <t>[Rossi, Maria Eleonora] Nat Hist Museum, Life Sci Dept, Cromwell Rd, London SW7 5BD, England; [Rossi, Maria Eleonora] Univ Bristol, Sch Biol Sci, Life Sci Bldg,24 Tyndall Ave, Bristol BS8 1TH, Avon, England; [Avila, Conxita] Univ Barcelona, Dept Evolutionary Biol Ecol &amp; Environm Sci, Fac Biol, 643 Diagonal Av, Barcelona 08028, Catalonia, Spain; [Avila, Conxita] Univ Barcelona, Biodivers Res Inst IRBio, 643 Diagonal Av, Barcelona 08028, Catalonia, Spain; [Moles, Juan] SNSB Bavarian State Collect Zool, Sect Mollusca, Munchhausenstr 21, D-81247 Munich, Germany; [Moles, Juan] Ludwig Maximilians Univ Munchen, GeoBio Ctr LMU Munich, Biozentrum, Munich, Germany</t>
  </si>
  <si>
    <t>Natural History Museum London; University of Bristol; University of Barcelona; University of Barcelona; University of Munich</t>
  </si>
  <si>
    <t>Rossi, ME (corresponding author), Nat Hist Museum, Life Sci Dept, Cromwell Rd, London SW7 5BD, England.;Rossi, ME (corresponding author), Univ Bristol, Sch Biol Sci, Life Sci Bldg,24 Tyndall Ave, Bristol BS8 1TH, Avon, England.</t>
  </si>
  <si>
    <t>m.eleonora.rossi@gmail.com; conxita.avila@ub.edu; moles.sanchez@gmail.com</t>
  </si>
  <si>
    <t>Moles, Juan/H-4786-2018; Avila, Conxita/B-9466-2008</t>
  </si>
  <si>
    <t>Moles, Juan/0000-0003-4511-4055; Rossi, Maria Eleonora/0000-0002-4076-5601; Avila, Conxita/0000-0002-5489-8376</t>
  </si>
  <si>
    <t>Spanish government through the ECOQUIM [REN2003-00545, REN2002-12006-E ANT]; Spanish government through DISTANTCOM [CTM2013-42667/ANT]; Ramon Areces (Spain); Alexander von Humboldt Foundation (Germany); Erasmus + Grant from La Sapienza, University of Rome, at the University of Barcelona</t>
  </si>
  <si>
    <t>Spanish government through the ECOQUIM; Spanish government through DISTANTCOM; Ramon Areces (Spain); Alexander von Humboldt Foundation (Germany)(Alexander von Humboldt Foundation); Erasmus + Grant from La Sapienza, University of Rome, at the University of Barcelona</t>
  </si>
  <si>
    <t>We are indebted to Prof W. Arntz, T. Brey, M. Rauschert, and the crew of R/V Polarstern, for allowing the participation of CA in the Antarctic cruises ANT XV/3 and ANT XXI/2 (AWI, Bremerhaven, Germany) and providing support during the sampling. E. Prats (CCiT-UB, Barcelona, Spain) is acknowledged for her help during the SEM sessions. We also thank M. Ballesteros, P. Brueggeman, G. Giribet, S. Harper, T. Heran, and D. Thompson for kindly providing the pictures of the live animals, and S. Taboada for helpful discussion and support. Two anonymous referees and Stefano Schiaparelli provided valuable comments that improved the ms. Funding was provided by the Spanish government through the ECOQUIM (REN2003-00545, REN2002-12006-E ANT) and DISTANTCOM (CTM2013-42667/ANT) grants to CA. JM postdoctoral fellowships were supported by the Ramon Areces (Spain) and the Alexander von Humboldt Foundation (Germany). MER was supported by an Erasmus + Grant from La Sapienza, University of Rome, at the University of Barcelona. This paper is part of the AntEco (State of the Antarctic Ecosystem) Scientific Research Programme.</t>
  </si>
  <si>
    <t>10.1007/s00300-021-02813-8</t>
  </si>
  <si>
    <t>QS8CY</t>
  </si>
  <si>
    <t>WOS:000620456900003</t>
  </si>
  <si>
    <t>Uchida, M; Suzuki, I; Ito, K; Ishizuka, M; Ikenaka, Y; Nakayama, SMM; Tamura, T; Konishi, K; Bando, T; Mitani, Y</t>
  </si>
  <si>
    <t>Uchida, Mayuka; Suzuki, Ippei; Ito, Keizo; Ishizuka, Mayumi; Ikenaka, Yoshinori; Nakayama, Shouta M. M.; Tamura, Tsutomu; Konishi, Kenji; Bando, Takeharu; Mitani, Yoko</t>
  </si>
  <si>
    <t>Estimation of the feeding record of pregnant Antarctic minke whales (Balaenoptera bonaerensis) using carbon and nitrogen stable isotope analysis of baleen plates</t>
  </si>
  <si>
    <t>Feeding record; Stable isotope analysis; Baleen plate; Antarctic minke whales; Antarctic</t>
  </si>
  <si>
    <t>Antarctic minke whales (Balaenoptera bonaerensis) are migratory capital breeders that experience intensive summer feeding on Antarctic krill (Euphausia superba) in the Southern Ocean and winter breeding at lower latitudes, but their prey outside of the Antarctic is unknown. Stable isotope analyses were conducted on delta C-13 and delta N-15 from the baleen plates of ten pregnant Antarctic minke whales to understand the growth rate of the baleen plate and their diet in lower latitudes. Two to three oscillations along the length of the edge of the baleen plate were observed in delta N-15, and the annual growth rate was estimated to be 75.2 +/- 20.4 mm, with a small amplitude (0.97 +/- 0.21 parts per thousand). Bayesian stable isotope mixing models were used to understand the dominant prey that contributed to the isotopic component of the baleen plate using Antarctic krill from the stomach contents and reported values of Antarctic coastal krill (Euphausia crystallorophias), Antarctic silver fish (Pleuragramma antarcticum), Australian krill spp., and Australian pelagic fish spp.. The models showed that the diet composition of the most recent three records from the base of the baleen plates (model 1) and the highest delta N-15 values in each baleen plate (model 2) were predominantly Antarctic krill, with a contribution rate of approximately 80%. The rates were approximately 10% for Antarctic coastal krill and less than 2.0% for the two Australian prey groups in both models. These results suggest that pregnant Antarctic minke whales did not feed on enough prey outside of the Antarctic to change the stable isotope values in their baleen plates.</t>
  </si>
  <si>
    <t>[Uchida, Mayuka; Ito, Keizo] Hokkaido Univ, Grad Sch Environm Sci, Hakodate, Hokkaido, Japan; [Suzuki, Ippei; Mitani, Yoko] Hokkaido Univ, Field Sci Ctr Northern Biosphere, Hakodate, Hokkaido, Japan; [Suzuki, Ippei] Hokkaido Univ, Field Sci Ctr Northern Biosphere, Akkeshi Marine Stn, Akkeshi, Japan; [Ito, Keizo] Sarufutsu Fishery Cooperat Assoc, Sarufutsu, Japan; [Ishizuka, Mayumi; Ikenaka, Yoshinori; Nakayama, Shouta M. M.] Hokkaido Univ, Fac Vet Med, Sapporo, Hokkaido, Japan; [Ikenaka, Yoshinori] North West Univ, Water Res Grp, Unit Environm Sci &amp; Management, Potchefstroom, South Africa; [Tamura, Tsutomu; Konishi, Kenji; Bando, Takeharu] Inst Cetacean Res, Tokyo, Japan</t>
  </si>
  <si>
    <t>Hokkaido University; Hokkaido University; Hokkaido University; Hokkaido University; North West University - South Africa</t>
  </si>
  <si>
    <t>Suzuki, I (corresponding author), Hokkaido Univ, Field Sci Ctr Northern Biosphere, Hakodate, Hokkaido, Japan.;Suzuki, I (corresponding author), Hokkaido Univ, Field Sci Ctr Northern Biosphere, Akkeshi Marine Stn, Akkeshi, Japan.</t>
  </si>
  <si>
    <t>ippszk@gmail.com</t>
  </si>
  <si>
    <t>; Mitani, Yoko/D-5779-2012</t>
  </si>
  <si>
    <t>Ikenaka, Yoshinori/0000-0002-6633-6637; Konishi, Kenji/0000-0002-6120-9903; Suzuki, Ippei/0000-0002-5162-1267; Mitani, Yoko/0000-0002-7420-0596</t>
  </si>
  <si>
    <t>Institute of Cetacean Research; Grants-in-Aid for Scientific Research [20H05707] Funding Source: KAKEN</t>
  </si>
  <si>
    <t>Institute of Cetacean Research; Grants-in-Aid for Scientific Research(Ministry of Education, Culture, Sports, Science and Technology, Japan (MEXT)Japan Society for the Promotion of ScienceGrants-in-Aid for Scientific Research (KAKENHI))</t>
  </si>
  <si>
    <t>Financial support to Ippei Suzuki and Yoko Mitani was provided by the Institute of Cetacean Research.</t>
  </si>
  <si>
    <t>10.1007/s00300-021-02816-5</t>
  </si>
  <si>
    <t>WOS:000620456900001</t>
  </si>
  <si>
    <t>Conners, MG; Michelot, T; Heywood, EI; Orben, RA; Phillips, RA; Vyssotski, AL; Shaffer, SA; Thorne, LH</t>
  </si>
  <si>
    <t>Conners, Melinda G.; Michelot, Theo; Heywood, Eleanor, I; Orben, Rachael A.; Phillips, Richard A.; Vyssotski, Alexei L.; Shaffer, Scott A.; Thorne, Lesley H.</t>
  </si>
  <si>
    <t>Hidden Markov models identify major movement modes in accelerometer and magnetometer data from four albatross species</t>
  </si>
  <si>
    <t>MOVEMENT ECOLOGY</t>
  </si>
  <si>
    <t>Accelerometer; Albatross; Animal movement; Behavioral classification; Dynamic soaring; Hidden Markov models; Inertial measurement unit; Magnetometer</t>
  </si>
  <si>
    <t>ANIMAL MOVEMENT; ACCELERATION DATA; MARINE PREDATOR; BIG DATA; BEHAVIOR; STRATEGIES; PATTERNS; SEABIRDS; PATHS; WIND</t>
  </si>
  <si>
    <t>Background Inertial measurement units (IMUs) with high-resolution sensors such as accelerometers are now used extensively to study fine-scale behavior in a wide range of marine and terrestrial animals. Robust and practical methods are required for the computationally-demanding analysis of the resulting large datasets, particularly for automating classification routines that construct behavioral time series and time-activity budgets. Magnetometers are used increasingly to study behavior, but it is not clear how these sensors contribute to the accuracy of behavioral classification methods. Development of effective classification methodology is key to understanding energetic and life-history implications of foraging and other behaviors. Methods We deployed accelerometers and magnetometers on four species of free-ranging albatrosses and evaluated the ability of unsupervised hidden Markov models (HMMs) to identify three major modalities in their behavior: 'flapping flight', 'soaring flight', and 'on-water'. The relative contribution of each sensor to classification accuracy was measured by comparing HMM-inferred states with expert classifications identified from stereotypic patterns observed in sensor data. Results HMMs provided a flexible and easily interpretable means of classifying behavior from sensor data. Model accuracy was high overall (92%), but varied across behavioral states (87.6, 93.1 and 91.7% for 'flapping flight', 'soaring flight' and 'on-water', respectively). Models built on accelerometer data alone were as accurate as those that also included magnetometer data; however, the latter were useful for investigating slow and periodic behaviors such as dynamic soaring at a fine scale. Conclusions The use of IMUs in behavioral studies produces large data sets, necessitating the development of computationally-efficient methods to automate behavioral classification in order to synthesize and interpret underlying patterns. HMMs provide an accessible and robust framework for analyzing complex IMU datasets and comparing behavioral variation among taxa across habitats, time and space.</t>
  </si>
  <si>
    <t>[Conners, Melinda G.; Heywood, Eleanor, I; Thorne, Lesley H.] SUNY Stony Brook, Sch Marine &amp; Atmospher Sci, Stony Brook, NY 11794 USA; [Michelot, Theo] Univ St Andrews, Ctr Res Ecol &amp; Environm Modelling, St Andrews KY16 9LZ, Fife, Scotland; [Orben, Rachael A.] Oregon State Univ, Hatfield Marine Sci Ctr, Dept Fisheries &amp; Wildlife, 2030 SE Marine Sci Dr, Newport, OR 97365 USA; [Phillips, Richard A.] British Antarctic Survey, Nat Environm Res Council, Madingley Rd, Cambridge CB3 0ET, England; [Vyssotski, Alexei L.] Univ Zurich, Inst Neuroinformat, CH-8057 Zurich, Switzerland; [Vyssotski, Alexei L.] Swiss Fed Inst Technol, CH-8057 Zurich, Switzerland; [Shaffer, Scott A.] San Jose State Univ, Dept Biol Sci, San Jose, CA 95192 USA</t>
  </si>
  <si>
    <t>State University of New York (SUNY) System; State University of New York (SUNY) Stony Brook; University of St Andrews; Oregon State University; UK Research &amp; Innovation (UKRI); Natural Environment Research Council (NERC); NERC British Antarctic Survey; University of Zurich; Swiss Federal Institutes of Technology Domain; ETH Zurich; California State University System; San Jose State University</t>
  </si>
  <si>
    <t>Conners, MG (corresponding author), SUNY Stony Brook, Sch Marine &amp; Atmospher Sci, Stony Brook, NY 11794 USA.</t>
  </si>
  <si>
    <t>melinda.conners@stonybrook.edu</t>
  </si>
  <si>
    <t>Orben, Rachael A./H-9460-2019; Shaffer, Scott/D-5015-2009</t>
  </si>
  <si>
    <t>Orben, Rachael A./0000-0002-0802-407X; Conners, Melinda/0000-0003-0572-0026; Heywood, Eleanor/0000-0003-4854-4069; Shaffer, Scott/0000-0002-7751-5059</t>
  </si>
  <si>
    <t>NSF CAREER [79804]; Minghua Zhang Early Career Faculty Innovation award; NERC [bas0100035] Funding Source: UKRI</t>
  </si>
  <si>
    <t>NSF CAREER(National Science Foundation (NSF)NSF - Office of the Director (OD)); Minghua Zhang Early Career Faculty Innovation award; NERC(UK Research &amp; Innovation (UKRI)Natural Environment Research Council (NERC))</t>
  </si>
  <si>
    <t>Funding was provided by an NSF CAREER award to L. Thorne under award number 79804, and by a Minghua Zhang Early Career Faculty Innovation award to L Thorne.</t>
  </si>
  <si>
    <t>2051-3933</t>
  </si>
  <si>
    <t>MOV ECOL</t>
  </si>
  <si>
    <t>Mov. Ecol.</t>
  </si>
  <si>
    <t>10.1186/s40462-021-00243-z</t>
  </si>
  <si>
    <t>QK7YF</t>
  </si>
  <si>
    <t>WOS:000620596800001</t>
  </si>
  <si>
    <t>Stein, R; van Velzen, S; Kowalski, M; Franckowiak, A; Gezari, S; Miller-Jones, JCA; Frederick, S; Sfaradi, I; Bietenholz, MF; Horesh, A; Fender, R; Garrappa, S; Ahumada, T; Andreoni, I; Belicki, J; Bellm, EC; Böttcher, M; Brinnel, V; Burruss, R; Cenko, SB; Coughlin, MW; Cunningham, V; Drake, A; Farrar, GR; Feeney, M; Foley, RJ; Gal-Yam, A; Golkhou, VZ; Goobar, A; Graham, MJ; Hammerstein, E; Helou, G; Hung, T; Kasliwal, MM; Kilpatrick, CD; Kong, AKH; Kupfer, T; Laher, RR; Mahabal, AA; Masci, FJ; Necker, J; Nordin, J; Perley, DA; Rigault, M; Reusch, S; Rodriguez, H; Rojas-Bravo, C; Rusholme, B; Shupe, DL; Singer, LP; Sollerman, J; Soumagnac, MT; Stern, D; Taggart, K; van Santen, J; Ward, C; Woudt, P; Yao, YH</t>
  </si>
  <si>
    <t>Stein, Robert; Velzen, Sjoert van; Kowalski, Marek; Franckowiak, Anna; Gezari, Suvi; Miller-Jones, James C. A.; Frederick, Sara; Sfaradi, Itai; Bietenholz, Michael F.; Horesh, Assaf; Fender, Rob; Garrappa, Simone; Ahumada, Tomas; Andreoni, Igor; Belicki, Justin; Bellm, Eric C.; Bottcher, Markus; Brinnel, Valery; Burruss, Rick; Cenko, S. Bradley; Coughlin, Michael W.; Cunningham, Virginia; Drake, Andrew; Farrar, Glennys R.; Feeney, Michael; Foley, Ryan J.; Gal-Yam, Avishay; Golkhou, V. Zach; Goobar, Ariel; Graham, Matthew J.; Hammerstein, Erica; Helou, George; Hung, Tiara; Kasliwal, Mansi M.; Kilpatrick, Charles D.; Kong, Albert K. H.; Kupfer, Thomas; Laher, Russ R.; Mahabal, Ashish A.; Masci, Frank J.; Necker, Jannis; Nordin, Jakob; Perley, Daniel A.; Rigault, Mickael; Reusch, Simeon; Rodriguez, Hector; Rojas-Bravo, Cesar; Rusholme, Ben; Shupe, David L.; Singer, Leo P.; Sollerman, Jesper; Soumagnac, Maayane T.; Stern, Daniel; Taggart, Kirsty; van Santen, Jakob; Ward, Charlotte; Woudt, Patrick; Yao, Yuhan</t>
  </si>
  <si>
    <t>A tidal disruption event coincident with a high-energy neutrino</t>
  </si>
  <si>
    <t>NATURE ASTRONOMY</t>
  </si>
  <si>
    <t>Cosmic neutrinos provide a unique window into the otherwise hidden mechanism of particle acceleration in astrophysical objects. The IceCube Collaboration recently reported the likely association of one high-energy neutrino with a flare from the relativistic jet of an active galaxy pointed towards the Earth. However a combined analysis of many similar active galaxies revealed no excess from the broader population, leaving the vast majority of the cosmic neutrino flux unexplained. Here we present the likely association of a radio-emitting tidal disruption event, AT2019dsg, with a second high-energy neutrino. AT2019dsg was identified as part of our systematic search for optical counterparts to high-energy neutrinos with the Zwicky Transient Facility. The probability of finding any coincident radio-emitting tidal disruption event by chance is 0.5%, while the probability of finding one as bright in bolometric energy flux as AT2019dsg is 0.2%. Our electromagnetic observations can be explained through a multizone model, with radio analysis revealing a central engine, embedded in a UV photosphere, that powers an extended synchrotron-emitting outflow. This provides an ideal site for petaelectronvolt neutrino production. Assuming that the association is genuine, our observations suggest that tidal disruption events with mildly relativistic outflows contribute to the cosmic neutrino flux. The tidal disruption event AT2019dsg is probably associated with a high-energy neutrino, suggesting that such events can contribute to the cosmic neutrino flux. The electromagnetic emission is explained in terms of a central engine, a photosphere and an extended synchrotron-emitting outflow.</t>
  </si>
  <si>
    <t>[Stein, Robert; Kowalski, Marek; Franckowiak, Anna; Garrappa, Simone; Necker, Jannis; Reusch, Simeon; van Santen, Jakob] Deutsch Elektronen Synchrotron DESY, Zeuthen, Germany; [Stein, Robert; Kowalski, Marek; Franckowiak, Anna; Garrappa, Simone; Brinnel, Valery; Necker, Jannis; Nordin, Jakob; Reusch, Simeon] Humboldt Univ, Inst Phys, Berlin, Germany; [Velzen, Sjoert van; Farrar, Glennys R.] NYU, Ctr Cosmol &amp; Particle Phys, New York, NY 10003 USA; [Velzen, Sjoert van; Gezari, Suvi; Frederick, Sara; Ahumada, Tomas; Cunningham, Virginia; Hammerstein, Erica; Ward, Charlotte] Univ Maryland, Dept Astron, College Pk, MD 20742 USA; [Velzen, Sjoert van] Leiden Univ, Leiden Observ, Leiden, Netherlands; [Kowalski, Marek] Columbia Univ City New York, Columbia Astrophys Lab, New York, NY 10027 USA; [Gezari, Suvi; Cenko, S. Bradley] Univ Maryland, Joint Space Sci Inst, College Pk, MD 20742 USA; [Miller-Jones, James C. A.] Curtin Univ, Int Ctr Radio Astron Res, Perth, WA, Australia; [Sfaradi, Itai; Horesh, Assaf] Hebrew Univ Jerusalem, Racah Inst Phys, Jerusalem, Israel; [Bietenholz, Michael F.] SARAO, Hartebeesthoek Radio Astron Observ, Krugersdorp, South Africa; [Bietenholz, Michael F.] York Univ, Dept Phys &amp; Astron, Toronto, ON, Canada; [Fender, Rob] Univ Oxford, Dept Phys, Astrophys, Oxford, England; [Fender, Rob; Woudt, Patrick] Univ Cape Town, Dept Astron, Rondebosch, South Africa; [Andreoni, Igor; Drake, Andrew; Graham, Matthew J.; Kasliwal, Mansi M.; Mahabal, Ashish A.; Yao, Yuhan] CALTECH, Div Phys Math &amp; Astron, Pasadena, CA 91125 USA; [Belicki, Justin; Burruss, Rick; Feeney, Michael; Rodriguez, Hector] CALTECH, Opt Observ, Pasadena, CA 91125 USA; [Bellm, Eric C.; Golkhou, V. Zach] Univ Washington, Dept Astron, DIRAC Inst, Seattle, WA 98195 USA; [Bottcher, Markus] North West Univ, Ctr Space Res, Potchefstroom, South Africa; [Cenko, S. Bradley; Singer, Leo P.] NASA, Astroparticle Phys Lab, Goddard Space Flight Ctr, Greenbelt, MD USA; [Coughlin, Michael W.] Univ Minnesota, Sch Phys &amp; Astron, Minneapolis, MN 55455 USA; [Foley, Ryan J.; Hung, Tiara; Kilpatrick, Charles D.; Rojas-Bravo, Cesar] Univ Calif Santa Cruz, Dept Astron &amp; Astrophys, Santa Cruz, CA 95064 USA; [Gal-Yam, Avishay; Soumagnac, Maayane T.] Weizmann Inst Sci, Dept Particle Phys &amp; Astrophys, Rehovot, Israel; [Golkhou, V. Zach] Univ Washington, eSci Inst, Seattle, WA 98195 USA; [Goobar, Ariel] Stockholm Univ, AlbaNova, Dept Phys, Oskar Klein Ctr, Stockholm, Sweden; [Helou, George; Laher, Russ R.; Masci, Frank J.; Rusholme, Ben; Shupe, David L.] CALTECH, IPAC, Pasadena, CA 91125 USA; [Kong, Albert K. H.] Natl Tsing Hua Univ, Inst Astron, Hsinchu, Taiwan; [Kupfer, Thomas] Univ Calif Santa Barbara, Kavli Inst Theoret Phys, Santa Barbara, CA 93106 USA; [Mahabal, Ashish A.] CALTECH, Ctr Data Driven Discovery, Pasadena, CA 91125 USA; [Perley, Daniel A.; Taggart, Kirsty] Liverpool John Moores Univ, Astrophys Res Inst, Liverpool, Merseyside, England; [Rigault, Mickael] Univ Claude Bernard Lyon 1, Univ Lyon, CNRS, IN2P3,IP2I Lyon, Villeurbanne, France; [Sollerman, Jesper] Stockholm Univ, AlbaNova, Dept Astron, Oskar Klein Ctr, Stockholm, Sweden; [Soumagnac, Maayane T.] Lawrence Berkeley Natl Lab, Berkeley, CA USA; [Stern, Daniel] CALTECH, Jet Prop Lab, Pasadena, CA USA</t>
  </si>
  <si>
    <t>Helmholtz Association; Deutsches Elektronen-Synchrotron (DESY); Humboldt University of Berlin; New York University; University System of Maryland; University of Maryland College Park; Leiden University; Leiden University - Excl LUMC; Columbia University; University System of Maryland; University of Maryland College Park; University of Western Australia; Curtin University; Hebrew University of Jerusalem; National Research Foundation - South Africa; Hartebeesthoek Radio Astronomy Observatory; York University - Canada; University of Oxford; University of Cape Town; California Institute of Technology; California Institute of Technology; University of Washington; University of Washington Seattle; North West University - South Africa; National Aeronautics &amp; Space Administration (NASA); NASA Goddard Space Flight Center; University of Minnesota System; University of Minnesota Twin Cities; University of California System; University of California Santa Cruz; Weizmann Institute of Science; University of Washington; University of Washington Seattle; Stockholm University; Oskar Klein Centre; California Institute of Technology; National Tsing Hua University; University of California System; University of California Santa Barbara; California Institute of Technology; Liverpool John Moores University; Universite Claude Bernard Lyon 1; Centre National de la Recherche Scientifique (CNRS); CNRS - National Institute of Nuclear and Particle Physics (IN2P3); Oskar Klein Centre; Stockholm University; United States Department of Energy (DOE); Lawrence Berkeley National Laboratory; National Aeronautics &amp; Space Administration (NASA); NASA Jet Propulsion Laboratory (JPL); California Institute of Technology</t>
  </si>
  <si>
    <t>Stein, R; Kowalski, M (corresponding author), Deutsch Elektronen Synchrotron DESY, Zeuthen, Germany.;Stein, R; Kowalski, M (corresponding author), Humboldt Univ, Inst Phys, Berlin, Germany.;van Velzen, S (corresponding author), NYU, Ctr Cosmol &amp; Particle Phys, New York, NY 10003 USA.;van Velzen, S (corresponding author), Univ Maryland, Dept Astron, College Pk, MD 20742 USA.;van Velzen, S (corresponding author), Leiden Univ, Leiden Observ, Leiden, Netherlands.;Kowalski, M (corresponding author), Columbia Univ City New York, Columbia Astrophys Lab, New York, NY 10027 USA.</t>
  </si>
  <si>
    <t>robert.stein@desy.de; sjoert@nyu.edu; marek.kowalski@desy.de</t>
  </si>
  <si>
    <t>Rigault, Mickael/AAR-6632-2021; Horesh, Assaf/O-9873-2016; Kowalski, Marek/G-5546-2012; Miller-Jones, James/B-2411-2013</t>
  </si>
  <si>
    <t>Rigault, Mickael/0000-0002-8121-2560; Woudt, Patrick/0000-0002-6896-1655; Taggart, Kirsty/0000-0002-5748-4558; Sfaradi, Itai/0000-0003-0466-3779; Ahumada, Tomas/0000-0002-2184-6430; Soumagnac, Maayane/0000-0001-6753-1488; Kong, Albert/0000-0002-5105-344X; Horesh, Assaf/0000-0002-5936-1156; Foley, Ryan/0000-0002-2445-5275; Reusch, Simeon/0000-0002-7788-628X; Kowalski, Marek/0000-0001-8594-8666; Farrar, Glennys/0000-0003-2417-5975; Stern, Daniel/0000-0003-2686-9241; Miller-Jones, James/0000-0003-3124-2814</t>
  </si>
  <si>
    <t>Initiative and Networking Fund of the Helmholtz Association through the Young Investigator Group programme; James Arthur Postdoctoral Fellowship; Australian Government through the Australian Research Council [DP200102471]; South African Research Chair Initiative of the National Research Foundation; Department of Science and Innovation of South Africa, under SARChI Chair grant [64789]; I-Core Program of the Planning and Budgeting Committee; Israel Science Foundation; NSF [AST-1518052]; NASA/Swift grant [80NSSC19K1386]; Gordon &amp; Betty Moore Foundation; Heising-Simons Foundation; David and Lucile Packard Foundation; EU via ERC [725161]; ISF GW Excellence Center, an IMOS space infrastructure grant; BSF/Transformative and GIF grants; Benoziyo Endowment Fund for the Advancement of Science; Veronika A. Rabl Physics Discretionary Fund; Helen and Martin Kimmel Award for Innovative Investigation; European Research Council (ERC) under the European Union's Horizon 2020 research and innovation programme [759194-USNAC]; Helmholtz Weizmann Research School on Multimessenger Astronomy through the Initiative and Networking Fund of the Helmholtz Association, DESY; Humboldt University of Berlin; University of Potsdam; National Science Foundation [AST-1440341, 1106171]; GROWTH project - National Science Foundation Partnership in International Research and Education program [1545949]; UK Science and Technology Facilities Council; DOE [DE-AC02-76SF00515]; Andre Deloro Institute for Advanced Research in Space and Optics; WIS-CIT joint research grant; Weizmann Institute; Caltech; IPAC; Weizmann Institute for Science; Oskar Klein Center at Stockholm University; University of Maryland; University of Washington; Deutsches Elektronen-Synchrotron and Humboldt University; Los Alamos National Laboratories; TANGO Consortium of Taiwan; University of Wisconsin at Milwaukee and Lawrence Berkeley National Laboratories; Australian Research Council [DP200102471] Funding Source: Australian Research Council; STFC [ST/S006176/1, ST/T00147X/1] Funding Source: UKRI</t>
  </si>
  <si>
    <t>Initiative and Networking Fund of the Helmholtz Association through the Young Investigator Group programme; James Arthur Postdoctoral Fellowship; Australian Government through the Australian Research Council(Australian Research Council); South African Research Chair Initiative of the National Research Foundation; Department of Science and Innovation of South Africa, under SARChI Chair grant; I-Core Program of the Planning and Budgeting Committee; Israel Science Foundation(Israel Science Foundation); NSF(National Science Foundation (NSF)); NASA/Swift grant; Gordon &amp; Betty Moore Foundation(Gordon and Betty Moore Foundation); Heising-Simons Foundation; David and Lucile Packard Foundation(The David &amp; Lucile Packard Foundation); EU via ERC; ISF GW Excellence Center, an IMOS space infrastructure grant; BSF/Transformative and GIF grants; Benoziyo Endowment Fund for the Advancement of Science; Veronika A. Rabl Physics Discretionary Fund; Helen and Martin Kimmel Award for Innovative Investigation; European Research Council (ERC) under the European Union's Horizon 2020 research and innovation programme(European Research Council (ERC)); Helmholtz Weizmann Research School on Multimessenger Astronomy through the Initiative and Networking Fund of the Helmholtz Association, DESY; Humboldt University of Berlin; University of Potsdam; National Science Foundation(National Science Foundation (NSF)); GROWTH project - National Science Foundation Partnership in International Research and Education program; UK Science and Technology Facilities Council(UK Research &amp; Innovation (UKRI)Science &amp; Technology Facilities Council (STFC)); DOE(United States Department of Energy (DOE)); Andre Deloro Institute for Advanced Research in Space and Optics; WIS-CIT joint research grant; Weizmann Institute; Caltech; IPAC; Weizmann Institute for Science; Oskar Klein Center at Stockholm University; University of Maryland; University of Washington(University of Washington); Deutsches Elektronen-Synchrotron and Humboldt University; Los Alamos National Laboratories(United States Department of Energy (DOE)Los Alamos National Laboratory); TANGO Consortium of Taiwan; University of Wisconsin at Milwaukee and Lawrence Berkeley National Laboratories; Australian Research Council(Australian Research Council); STFC(UK Research &amp; Innovation (UKRI)Science &amp; Technology Facilities Council (STFC))</t>
  </si>
  <si>
    <t>We thank C. Lunardini, A. MacFadyen, B. Metzger, A. Mummery, A. Pizzuto, N. Stone, A. Taylor and W. Winter for discussions. We also thank the IceCube Collaboration for publishing high-energy neutrino alerts. We thank S. Digel, K. Fang, D. Horan, M. Kerr, V. Paliya and J. Racusin for feedback provided during a Fermi collaboration review. R.S. is grateful to NYU for facilitating a visit to develop this work. M.K. is grateful for the hospitality received from Columbia University and NYU during a sabbatical visit. This work was supported by the Initiative and Networking Fund of the Helmholtz Association through the Young Investigator Group programme (A.F.). S.v.V. is supported by the James Arthur Postdoctoral Fellowship. This research was partially supported by the Australian Government through the Australian Research Council's Discovery Projects funding scheme (project DP200102471). The work of M.B. is supported through the South African Research Chair Initiative of the National Research Foundation and the Department of Science and Innovation of South Africa, under SARChI Chair grant no. 64789. Any opinion, finding and conclusion or recommendation expressed in this material is that of the authors and the NRF does not accept any liability in this regard. A.H. acknowledges support by the I-Core Program of the Planning and Budgeting Committee and the Israel Science Foundation. The UCSC transient team is supported in part by NSF grant AST-1518052, NASA/Swift grant 80NSSC19K1386, the Gordon &amp; Betty Moore Foundation, the Heising-Simons Foundation and a fellowship from the David and Lucile Packard Foundation to R.J.F. V.Z.G. is a Moore-Sloan, WRF Innovation in Data Science and DIRAC Fellow. A.G.-Y.'s research is supported by the EU via ERC grant no. 725161, the ISF GW Excellence Center, an IMOS space infrastructure grant and BSF/Transformative and GIF grants, as well as the Benoziyo Endowment Fund for the Advancement of Science, the Andre Deloro Institute for Advanced Research in Space and Optics, the Veronika A. Rabl Physics Discretionary Fund, Paul and Tina Gardner, Yeda-Sela and the WIS-CIT joint research grant; A.G.-Y. is the recipient of the Helen and Martin Kimmel Award for Innovative Investigation. M.R. has received funding from the European Research Council (ERC) under the European Union's Horizon 2020 research and innovation programme (grant agreement no. 759194-USNAC). The work of D.S. was carried out at the Jet Propulsion Laboratory, California Institute of Technology, under a contract with NASA. The work of S.R. was supported by the Helmholtz Weizmann Research School on Multimessenger Astronomy, funded through the Initiative and Networking Fund of the Helmholtz Association, DESY, the Weizmann Institute, the Humboldt University of Berlin and the University of Potsdam. This work is based on observations obtained with the Samuel Oschin telescope 48-inch and the 60-inch telescope at the Palomar Observatory as part of the ZTF project. ZTF is supported by the National Science Foundation under grant no. AST-1440341 and a collaboration including Caltech, IPAC, the Weizmann Institute for Science, the Oskar Klein Center at Stockholm University, the University of Maryland, the University of Washington, Deutsches Elektronen-Synchrotron and Humboldt University, Los Alamos National Laboratories, the TANGO Consortium of Taiwan, the University of Wisconsin at Milwaukee and Lawrence Berkeley National Laboratories. Operations are conducted by COO, IPAC and UW. SED Machine is based upon work supported by the National Science Foundation under grant no.; 1106171. The National Radio Astronomy Observatory is a facility of the National Science Foundation operated under cooperative agreement by Associated Universities, Inc. The MeerKAT telescope is operated by the South African Radio Astronomy Observatory, which is a facility of the National Research Foundation, an agency of the Department of Science and Innovation. The work was supported by the GROWTH project funded by the National Science Foundation Partnership in International Research and Education program under grant no. 1545949. GROWTH is a collaborative project between the California Institute of Technology (United States), Pomona College (United States), San Diego State University (United States), Los Alamos National Laboratory (United States), University of Maryland College Park (United States), University of Wisconsin at Milwaukee (United States), Tokyo Institute of Technology (Japan), National Central University (Taiwan), Indian Institute of Astrophysics (India), Inter-University Center for Astronomy and Astrophysics (India), Weizmann Institute of Science (Israel), The Oskar Klein Centre at Stockholm University (Sweden) and Humboldt University (Germany). The Liverpool Telescope is operated on the island of La Palma by Liverpool John Moores University in the Spanish Observatorio del Roque de los Muchachos of the Instituto de Astrofisica de Canarias with financial support from the UK Science and Technology Facilities Council. Research at Lick Observatory is partially supported by a gift from Google. The Fermi-LAT Collaboration acknowledges support for LAT development, operation and data analysis from NASA and DOE (United States), CEA/Irfu and IN2P3/CNRS (France), ASI and INFN (Italy), MEXT, KEK and JAXA (Japan) and the K.A. Wallenberg Foundation, the Swedish Research Council and the National Space Board (Sweden). Science analysis support in the operations phase from INAF (Italy) and CNES (France) is also acknowledged. This work was performed in part under DOE contract DE-AC02-76SF00515. IceCube Neutrino Observatory is a facility of the National Science Foundation operated at the US Amundsen-Scott South Pole Station under the US Antarctic Program.</t>
  </si>
  <si>
    <t>2397-3366</t>
  </si>
  <si>
    <t>NAT ASTRON</t>
  </si>
  <si>
    <t>Nat. Astron.</t>
  </si>
  <si>
    <t>10.1038/s41550-020-01295-8</t>
  </si>
  <si>
    <t>SD6VF</t>
  </si>
  <si>
    <t>WOS:000620431500002</t>
  </si>
  <si>
    <t>Schine, CMS; Alderkamp, AC; van Dijken, G; Gerringa, LJA; Sergi, S; Laan, P; van Haren, H; van de Poll, WH; Arrigo, KR</t>
  </si>
  <si>
    <t>Schine, Casey M. S.; Alderkamp, Anne-Carlijn; van Dijken, Gert; Gerringa, Loes J. A.; Sergi, Sara; Laan, Patrick; van Haren, Hans; van de Poll, Willem H.; Arrigo, Kevin R.</t>
  </si>
  <si>
    <t>Massive Southern Ocean phytoplankton bloom fed by iron of possible hydrothermal origin</t>
  </si>
  <si>
    <t>DISSOLVED IRON; GAS-EXCHANGE; WIND-SPEED; ROSS SEA; FERTILIZATION; VARIABILITY; DISTRIBUTIONS; PRODUCTIVITY; SUPPLIES; ATLANTIC</t>
  </si>
  <si>
    <t>Primary production in the Southern Ocean (SO) is limited by iron availability. Hydrothermal vents have been identified as a potentially important source of iron to SO surface waters. Here we identify a recurring phytoplankton bloom in the high-nutrient, low-chlorophyll waters of the Antarctic Circumpolar Current in the Pacific sector of the SO, that we argue is fed by iron of hydrothermal origin. In January 2014 the bloom covered an area of similar to 266,000 km(2) with depth-integrated chlorophyll a &gt; 300 mg m(-2), primary production rates &gt;1 g C m(-2) d(-1), and a mean CO2 flux of -0.38 g C m(-2) d(-1). The elevated iron supporting this bloom is likely of hydrothermal origin based on the recurrent position of the bloom relative to two active hydrothermal vent fields along the Australian Antarctic Ridge and the association of the elevated iron with a distinct water mass characteristic of a nonbuoyant hydrothermal vent plume.</t>
  </si>
  <si>
    <t>[Schine, Casey M. S.; van Dijken, Gert; Arrigo, Kevin R.] Stanford Univ, Dept Earth Syst Sci, Stanford, CA 94305 USA; [Alderkamp, Anne-Carlijn] Foothill Coll, Dept Biol, Los Altos Hills, CA 94022 USA; [Gerringa, Loes J. A.; Laan, Patrick; van Haren, Hans] Royal Netherlands Inst Sea Res NIOZ, POB 59, NL-1790 AB Den Burg, Netherlands; [Sergi, Sara] Sorbonne Univ, CNRS, Lab Oceanog &amp; Climat Expt &amp; Approches Numer LOCEA, IRD,MNHN, F-75005 Paris, France; [van de Poll, Willem H.] Univ Groningen, Energy &amp; Sustainabil Res Inst Gronigen, Dept Ocean Ecosyst, Fac Sci &amp; Engn, Nijenborgh 7, NL-9747 AG Groningen, Netherlands</t>
  </si>
  <si>
    <t>Stanford University; Utrecht University; Royal Netherlands Institute for Sea Research (NIOZ); Museum National d'Histoire Naturelle (MNHN); Sorbonne Universite; Institut de Recherche pour le Developpement (IRD); Centre National de la Recherche Scientifique (CNRS); University of Groningen</t>
  </si>
  <si>
    <t>Schine, CMS (corresponding author), Stanford Univ, Dept Earth Syst Sci, Stanford, CA 94305 USA.</t>
  </si>
  <si>
    <t>cmsmith9@stanford.edu</t>
  </si>
  <si>
    <t>Van Dijken, Gert L/C-5276-2011</t>
  </si>
  <si>
    <t>van de Poll, Willem/0000-0003-4095-4338; Arrigo, Kevin/0000-0002-7364-876X; Van Dijken, Gert/0000-0002-9587-6317; Schine, Casey/0000-0003-1944-0703</t>
  </si>
  <si>
    <t>National Science Foundation, Office of Polar Programs [ANT-1063592]</t>
  </si>
  <si>
    <t>National Science Foundation, Office of Polar Programs(National Science Foundation (NSF)NSF - Directorate for Geosciences (GEO))</t>
  </si>
  <si>
    <t>We thank the captain and crew of the RVIB Nathaniel B. Palmer for their assistance during the cruise. We also thank all the members of the Phantastic I research team, whose tireless work contributed greatly to this research. This work was supported by the National Science Foundation, Office of Polar Programs (ANT-1063592).</t>
  </si>
  <si>
    <t>10.1038/s41467-021-21339-5</t>
  </si>
  <si>
    <t>QM7BG</t>
  </si>
  <si>
    <t>WOS:000621929900003</t>
  </si>
  <si>
    <t>Crosta, X; Etourneau, J; Orme, LC; Dalaiden, Q; Campagne, P; Swingedouw, D; Goosse, H; Massé, G; Miettinen, A; McKay, RM; Dunbar, RB; Escutia, C; Ikehara, M</t>
  </si>
  <si>
    <t>Crosta, Xavier; Etourneau, Johan; Orme, Lisa C.; Dalaiden, Quentin; Campagne, Philippine; Swingedouw, Didier; Goosse, Hugues; Masse, Guillaume; Miettinen, Arto; McKay, Robert M.; Dunbar, Robert B.; Escutia, Carlota; Ikehara, Minoru</t>
  </si>
  <si>
    <t>Multi-decadal trends in Antarctic sea-ice extent driven by ENSO-SAM over the last 2,000 years</t>
  </si>
  <si>
    <t>NATURE GEOSCIENCE</t>
  </si>
  <si>
    <t>SOUTHERN ANNULAR MODE; DATA ASSIMILATION; CLIMATE VARIABILITY; INDIAN SECTOR; ADELIE LAND; OCEAN; OSCILLATION; TEMPERATURE; SEDIMENTS; HOLOCENE</t>
  </si>
  <si>
    <t>Antarctic sea ice has paradoxically become more extensive over the past four decades despite a warming climate. The regional expression of this trend has been linked to changes in vertical redistribution of ocean heat and large-scale wind-field shifts. However, the short length of modern observations has hindered attempts to attribute this trend to anthropogenic forcing or natural variability. Here, we present two new decadal-resolution records of sea ice and sea surface temperatures that document pervasive regional climate heterogeneity in Indian Antarctic sea-ice cover over the last 2,000 years. Data assimilation of our marine records in a climate model suggests that the reconstructed dichotomous regional conditions were driven by the multi-decadal variability of the El Nino Southern Oscillation and Southern Annular Mode (SAM). For example, during an El Nino/SAM- combination, the northward sea-ice transport was reduced while heat advection from the subtropics to the Southern Ocean increased, which resulted in reduced sea-ice extent in the Indian sector as sea ice was compacted along the Antarctic coast. Our results therefore indicate that natural variability is large in the Southern Ocean and suggest that it has played a crucial role in the recent sea-ice trends and their decadal variability in this region.</t>
  </si>
  <si>
    <t>[Crosta, Xavier; Etourneau, Johan; Campagne, Philippine; Swingedouw, Didier] Univ Bordeaux, CNRS, EPHE, UMR EPOC 5805, Pessac, France; [Etourneau, Johan] EPHE PSL Res Univ, Paris, France; [Orme, Lisa C.] Maynooth Univ, Dept Geog, ICARUS, Maynooth, Kildare, Ireland; [Dalaiden, Quentin; Goosse, Hugues] Univ Catholique Louvain UCL, Earth &amp; Life Inst ELI, Louvain La Neuve, Belgium; [Masse, Guillaume] Univ Paris 06, LOCEAN, UMR CNRS, UPCM,IRD,MNHN 7159, Paris, France; [Miettinen, Arto] Norwegian Polar Res Inst, Tromso, Norway; [McKay, Robert M.] Victoria Univ Wellington, Antarctic Res Ctr, Wellington, New Zealand; [Dunbar, Robert B.] Stanford Univ, Sch Earth Energy &amp; Environm Sci, Stanford, CA 94305 USA; [Escutia, Carlota] Univ Granada, Andaluz Inst Earth Sci, CSIC, Granada, Spain; [Ikehara, Minoru] Kochi Univ, Ctr Adv Marine Core Res, Nankoku, Kochi, Japan; [Miettinen, Arto] Univ Helsinki, Ecosyst &amp; Environm Res Programme, Helsinki, Finland</t>
  </si>
  <si>
    <t>Universite de Bordeaux; Universite PSL; Ecole Pratique des Hautes Etudes (EPHE); Centre National de la Recherche Scientifique (CNRS); CNRS - National Institute for Earth Sciences &amp; Astronomy (INSU); Universite PSL; Ecole Pratique des Hautes Etudes (EPHE); Maynooth University; Sorbonne Universite; Museum National d'Histoire Naturelle (MNHN); Institut de Recherche pour le Developpement (IRD); Centre National de la Recherche Scientifique (CNRS); Norwegian Polar Institute; Victoria University Wellington; Stanford University; University of Granada; Consejo Superior de Investigaciones Cientificas (CSIC); CSIC - Instituto Andaluz de Ciencias de la Tierra (IACT); Kochi University; University of Helsinki</t>
  </si>
  <si>
    <t>Crosta, X (corresponding author), Univ Bordeaux, CNRS, EPHE, UMR EPOC 5805, Pessac, France.</t>
  </si>
  <si>
    <t>xavier.crosta@u-bordeaux.fr</t>
  </si>
  <si>
    <t>Escutia, Carlota/B-8614-2015; Miettinen, Arto/E-2458-2013; Swingedouw, Didier/D-1408-2010; campagne, philippine/G-3444-2017</t>
  </si>
  <si>
    <t>Miettinen, Arto/0000-0003-4537-2556; Swingedouw, Didier/0000-0002-0583-0850; Dalaiden, Quentin/0000-0002-3885-3848; campagne, philippine/0000-0002-4784-2008; McKay, Robert/0000-0002-5602-6985; Dunbar, Robert/0000-0002-9728-5609; Crosta, Xavier/0000-0002-8005-9939; Orme, Lisa Claire/0000-0003-0210-9264</t>
  </si>
  <si>
    <t>ERC StG ICEPROXY project [203441]; ANR CLIMICE project, FP7 Past4Future project [243908]; RCN OCTEL project [248776/E10]; Belgian Research Action through Interdisciplinary Networks Mass2Ant project [BR/165/A2/Mass2Ant]; JSPS KAKENHI [23244102, 17H06318]; Royal Society Te Aprangi Marsden Fund [MFP-VUW1808]; MBIE NZ Antarctic Science Platform [ANTA1801]; European Union [727852]; Grants-in-Aid for Scientific Research [17H06318, 23244102] Funding Source: KAKEN; New Zealand Ministry of Business, Innovation &amp; Employment (MBIE) [ANTA1801] Funding Source: New Zealand Ministry of Business, Innovation &amp; Employment (MBIE)</t>
  </si>
  <si>
    <t>ERC StG ICEPROXY project(European Research Council (ERC)); ANR CLIMICE project, FP7 Past4Future project(Agence Nationale de la Recherche (ANR)); RCN OCTEL project; Belgian Research Action through Interdisciplinary Networks Mass2Ant project; JSPS KAKENHI(Ministry of Education, Culture, Sports, Science and Technology, Japan (MEXT)Japan Society for the Promotion of ScienceGrants-in-Aid for Scientific Research (KAKENHI)); Royal Society Te Aprangi Marsden Fund; MBIE NZ Antarctic Science Platform(New Zealand Ministry of Business, Innovation and Employment (MBIE)); European Union(European Union (EU)); Grants-in-Aid for Scientific Research(Ministry of Education, Culture, Sports, Science and Technology, Japan (MEXT)Japan Society for the Promotion of ScienceGrants-in-Aid for Scientific Research (KAKENHI)); New Zealand Ministry of Business, Innovation &amp; Employment (MBIE)(New Zealand Ministry of Business, Innovation and Employment (MBIE))</t>
  </si>
  <si>
    <t>This research was funded by the ERC StG ICEPROXY project (203441), the ANR CLIMICE project, FP7 Past4Future project (243908), the RCN OCTEL project (248776/E10), the Belgian Research Action through Interdisciplinary Networks Mass2Ant project (BR/165/A2/Mass2Ant), the JSPS KAKENHI (grants 23244102 and 17H06318), the Royal Society Te Aprangi Marsden Fund (MFP-VUW1808) and the MBIE NZ Antarctic Science Platform (ANTA1801). It also benefited from the ESF PolarClimate HOLOCLIP project. D.S. benefited from the Blue-Action project (European Union's Horizon 2020 Research and Innovation Program, grant number: 727852) and the French LEFE-IMAGO programme. Hole U1357B samples and data were provided by the International Ocean Discovery Program (IODP).</t>
  </si>
  <si>
    <t>1752-0894</t>
  </si>
  <si>
    <t>1752-0908</t>
  </si>
  <si>
    <t>NAT GEOSCI</t>
  </si>
  <si>
    <t>Nat. Geosci.</t>
  </si>
  <si>
    <t>10.1038/s41561-021-00697-1</t>
  </si>
  <si>
    <t>QT6PG</t>
  </si>
  <si>
    <t>WOS:000620437700001</t>
  </si>
  <si>
    <t>Silvestro, AM; Santos, MM; Juáres, MA; Libertelli, M; Hidalgo, KE; Kass, NA; Casaux, R</t>
  </si>
  <si>
    <t>Silvestro, Anahi M.; Santos, Mercedes M.; Juares, Mariana A.; Libertelli, Marcela; Hidalgo, Keila E.; Kass, Nicolas A.; Casaux, Ricardo</t>
  </si>
  <si>
    <t>First record of White-rumped Sandpiper (Calidris fuscicollis) at Esperanza/Hope Bay, Antarctica</t>
  </si>
  <si>
    <t>Vagrancy; Antarctic Peninsula; Migrant birds; Charadriiformes; Scolopacidae</t>
  </si>
  <si>
    <t>The White-rumped Sandpiper (Calidris fuscicollis) (Vieillot 1819) is one of the longest migrating birds that breeds in the high Arctic in Alaska and Canada and spends the post-breeding period in South America. This bird is a frequent vagrant visitor of Islas Georgias del Sur/South Georgia and the South Shetland islands. Here we provide the first record for the White-rumped Sandpiper at the Continental Antarctica. The individual was observed the 2 February 2019 at Esperanza/Hope Bay (63 degrees 23 ' 56 '' S, 56 degrees 59 ' 06 '' W), the north of the Antarctic Peninsula, in an ice-free rockery close to a melt-water-run-off area. At the moment of the observation, the temperature was above 0 degrees C and the wind calm. However, strong winds from the north-west and west directions were registered during the last week of January 2019 at Esperanza Station (peak 65 knots) and at the Drake Passage (peak 49 knots) which might explain the presence of the White-rumped Sandpiper individual at Hope Bay. Our report contributes to list the non-native species observed in Antarctica. One plausible explanation could be related to changes in migratory routes of flying birds.</t>
  </si>
  <si>
    <t>[Silvestro, Anahi M.; Casaux, Ricardo] Ctr Invest Esquel Montana &amp; Estepa Patagon CIEMEP, Roca 780,U9200CIL, Esquel, Chubut, Argentina; [Santos, Mercedes M.; Juares, Mariana A.; Libertelli, Marcela] Inst Antartico Argentino, Dept Biol Predadores Tope, 25 Mayo 1143,B1650CSP, San Martin, Buenos Aires, Argentina; [Hidalgo, Keila E.; Kass, Nicolas A.] Univ Nacl La Plata, Fac Ciencias Nat &amp; Museo, Calle 64 3,B1904AMA, La Plata, Buenos Aires, Argentina; [Silvestro, Anahi M.; Juares, Mariana A.] Consejo Nacl Invest Cient &amp; Tecn CONICET, 2290,C1425FQB, Godoy Cruz, Buenos Aires, Argentina; [Santos, Mercedes M.; Juares, Mariana A.] Univ Nacl La Plata, Lab Anexos, Fac Ciencias Nat &amp; Museo, Calle 64 3,B1904AMA, La Plata, Buenos Aires, Argentina</t>
  </si>
  <si>
    <t>Instituto Antartico Argentino; National University of La Plata; Museo La Plata; National University of La Plata; Museo La Plata</t>
  </si>
  <si>
    <t>Silvestro, AM (corresponding author), Ctr Invest Esquel Montana &amp; Estepa Patagon CIEMEP, Roca 780,U9200CIL, Esquel, Chubut, Argentina.;Silvestro, AM (corresponding author), Consejo Nacl Invest Cient &amp; Tecn CONICET, 2290,C1425FQB, Godoy Cruz, Buenos Aires, Argentina.</t>
  </si>
  <si>
    <t>asilvestro@comahue-conicet.gob.ar</t>
  </si>
  <si>
    <t>Juares, Mariana A./0000-0002-6763-0416; Silvestro, Anahi Mariel/0000-0002-8134-9815</t>
  </si>
  <si>
    <t>PICTO [2010-0111]; FONCYT [PI 5/09]</t>
  </si>
  <si>
    <t>PICTO; FONCYT(FONCyT)</t>
  </si>
  <si>
    <t>Funding was provided by PICTO 2010-0111, FONCYT y PI 5/09.</t>
  </si>
  <si>
    <t>10.1007/s00300-021-02828-1</t>
  </si>
  <si>
    <t>WOS:000620456900002</t>
  </si>
  <si>
    <t>Zeng, ZL; Gui, K; Wang, ZM; Luo, M; Geng, H; Ge, EJ; An, JC; Song, XY; Ning, GC; Zhai, SX; Liu, HZ</t>
  </si>
  <si>
    <t>Zeng, Zhaoliang; Gui, Ke; Wang, Zemin; Luo, Ming; Geng, Hong; Ge, Erjia; An, Jiachun; Song, Xiangyu; Ning, Guicai; Zhai, Shixian; Liu, Haizhi</t>
  </si>
  <si>
    <t>Estimating hourly surface PM2.5 concentrations across China from high-density meteorological observations by machine learning</t>
  </si>
  <si>
    <t>Hourly PM2.5 virtual network; LightGBM; High-density meteorological observations; High temporal resolution; Machine learning</t>
  </si>
  <si>
    <t>AIR-POLLUTION; TRENDS; VISIBILITY; DISTRIBUTIONS; EMISSIONS; ENSEMBLE; QUALITY; IMPACT</t>
  </si>
  <si>
    <t>The spatial-temporal variations of the ground-based and satellite-derived PM2.5 are crucial for studying air quality, human health, and climate change. However, the existing ground-based PM2.5 monitoring network has sparsely-distributed sites and satellite cannot give 24-h PM2.5, which make it difficult to grasp the spatial and sub-daily variation characteristics of PM2.5. This study aims to fill that gap by establishing a virtual network of hourly PM2.5 concentration using the LightGBM model, based on the high-density ground meteorological observations at similar to 2400 sites across China. The virtual network shows a desirable performance of hourly PM2.5 estimation across China, with R-2 of 0.86, root-mean-square error values of 14.99 mu g/m(3), and mean absolute error of 9.48 mu g/m(3) (the results of Cross-Validation). It also exhibits high spatial-temporal consistencies with the observed PM2.5. Spatially, the heaviest PM2.5 pollution is mainly distributed in eastern China (especially the Beijing-Tianjin-Hebei, the Yangtze and Pearl river deltas, and the Sichuan-Chongqing areas). Temporarily, PM2.5 exhibits remarkable seasonal and diurnal changes characterized by higher concentration in winter and nighttime and lower in summer and daytime. Meanwhile, we found that visibility can be used as the primary predictor in the machine learning model to enhance the accuracy of estimated PM2.5. The established virtual hourly PM2.5 network (similar to 2400 stations) provides a more intuitive and detailed PM2.5 data for us to understand the diurnal variation of PM2.5 and monitor inter-regional transport of haze over China. It thus is of benefit to the study of air pollution control and related diseases.</t>
  </si>
  <si>
    <t>[Zeng, Zhaoliang; Wang, Zemin; An, Jiachun; Song, Xiangyu] Wuhan Univ, Chinese Antarct Ctr Surveying &amp; Mapping, Wuhan 430079, Peoples R China; [Gui, Ke] Chinese Acad Meteorol Sci, CMA, State Key Lab Severe Weather LASW, Beijing 100081, Peoples R China; [Gui, Ke] Chinese Acad Meteorol Sci, CMA, Key Lab Atmospher Chem LAC, Beijing 100081, Peoples R China; [Luo, Ming] Sun Yat Sen Univ, Sch Geog &amp; Planning &amp; Guangdong, Key Lab Urbanizat &amp; Geosimulat, Guangzhou 510275, Peoples R China; [Geng, Hong] Wuhan Univ, Sch Resource &amp; Environm Sci, Wuhan 430079, Peoples R China; [Ge, Erjia] Univ Toronto, Dalla Lana Sch Publ Hlth, Toronto, ON, Canada; [Ning, Guicai] Chinese Univ Hong Kong, Inst Environm Energy &amp; Sustainabil, Shatin, Hong Kong, Peoples R China; [Zhai, Shixian] Harvard Univ, John A Paulson Sch Engn &amp; Appl Sci, Cambridge, MA 02138 USA; [Liu, Haizhi] CMA, Natl Meteorol Ctr, Beijing 100081, Peoples R China</t>
  </si>
  <si>
    <t>Wuhan University; China Meteorological Administration; Chinese Academy of Meteorological Sciences (CAMS); China Meteorological Administration; Chinese Academy of Meteorological Sciences (CAMS); Sun Yat Sen University; Wuhan University; University of Toronto; Chinese University of Hong Kong; Harvard University; China Meteorological Administration</t>
  </si>
  <si>
    <t>Wang, ZM (corresponding author), Wuhan Univ, Chinese Antarct Ctr Surveying &amp; Mapping, Wuhan 430079, Peoples R China.;Luo, M (corresponding author), Sun Yat Sen Univ, Sch Geog &amp; Planning &amp; Guangdong, Key Lab Urbanizat &amp; Geosimulat, Guangzhou 510275, Peoples R China.</t>
  </si>
  <si>
    <t>zmwang@whu.edu.cn; luom38@mail.sysu.edu.cn</t>
  </si>
  <si>
    <t>Luo, Ming/IUQ-1554-2023; Gui, Ke/F-6377-2016; Zhai, Shixian/GYA-2560-2022; Zeng, Zhaoliang/AAV-8359-2021; Luo, Ming/AAE-8527-2021</t>
  </si>
  <si>
    <t>Luo, Ming/0000-0002-5474-3892; Gui, Ke/0000-0002-8444-9547; Zhai, Shixian/0000-0002-0073-7809; Luo, Ming/0000-0002-5474-3892; Zeng, Zhaoliang/0000-0002-9108-8575</t>
  </si>
  <si>
    <t>National Natural Science Foundation of China [41941010, 41871029]; Pearl River Talent Recruitment Program of Guangdong Province, China [2017GC010634]</t>
  </si>
  <si>
    <t>National Natural Science Foundation of China(National Natural Science Foundation of China (NSFC)); Pearl River Talent Recruitment Program of Guangdong Province, China</t>
  </si>
  <si>
    <t>This work was supported by the National Natural Science Foundation of China under grants 41941010 and 41871029. The appointment of M. Luo at Sun Yatsen University is partially supported by the Pearl River Talent Recruitment Program of Guangdong Province, China (2017GC010634) . The authors are grateful to China National Environmental Monitoring Center (http:// www.cnemc.cn) for providing the groundlevel PM2.5 observations and the National Information Centre (http://data.cma.cn/site/index.html) of the China Meteorological Administration for providing the meteorological data in this study. Z. Zeng also greatly appreciates the help from the Antarctic overwinter expeditioners at the Chinese Zhongshan Station.</t>
  </si>
  <si>
    <t>10.1016/j.atmosres.2021.105516</t>
  </si>
  <si>
    <t>RH6BE</t>
  </si>
  <si>
    <t>WOS:000636300800001</t>
  </si>
  <si>
    <t>Grant, ML; Lavers, JL; Hutton, I; Bond, AL</t>
  </si>
  <si>
    <t>Grant, Megan L.; Lavers, Jennifer L.; Hutton, Ian; Bond, Alexander L.</t>
  </si>
  <si>
    <t>Seabird breeding islands as sinks for marine plastic debris</t>
  </si>
  <si>
    <t>Ardenna; Flesh-footed Shearwater; Litter; Pollution; Vector</t>
  </si>
  <si>
    <t>FLESH-FOOTED SHEARWATERS; GULL LARUS-MICHAHELLIS; PUFFINUS-CARNEIPES; TRACE-ELEMENTS; TAILED SHEARWATERS; ATLANTIC ISLANDS; ACCUMULATION; COLONIES; PTERODROMA; INGESTION</t>
  </si>
  <si>
    <t>Seabirds are apex predators in the marine environment and well-known ecosystem engineers, capable of changing their terrestrial habitats by introducing marine-derived nutrients via deposition of guano and other allochthonous inputs. However, with the health of the world's oceans under threat due to anthropogenic pressures such as organic, inorganic, and physical pollutants, seabirds are depositing these same pollutants wherever they come to land. Using data from 2018 to 2020, we quantify how the Flesh-footed Shearwater (Ardenna carneipes) has inadvertently introduced physical pollutants to their colonies on Lord Howe Island, a UNESCO World Heritage site in the Tasman Sea and their largest breeding colony, through a mix of regurgitated pellet (bolus) deposition and carcasses containing plastic debris. The density of plastics within the shearwater colonies ranged between 1.32 and 3.66 pieces/m(2) (mean +/- SE: 2.18 +/- 0.32), and a total of 688,480 (95% CI: 582,409-800,877) pieces are deposited on the island each year. Our research demonstrates that seabirds are a transfer mechanism for marine-derived plastics, reintroducing items back into the terrestrial environment, thus making seabird colonies a sink for plastic debris. This phenomenon is likely occurring in seabird colonies across the globe and will increase in severity as global plastic production and marine plastic pollution accelerates without adequate mitigation strategies. (C) 2021 Elsevier Ltd. All rights reserved.</t>
  </si>
  <si>
    <t>[Grant, Megan L.] Univ Tasmania, Inst Marine &amp; Antarctic Studies, Sch Rd, Newnham, Tas 7248, Australia; [Lavers, Jennifer L.; Bond, Alexander L.] Univ Tasmania, Inst Marine &amp; Antarctic Studies, 20 Castray Esplanade, Battery Point, Tas 7004, Australia; [Hutton, Ian] Lord Howe Isl Museum, Lord Howe Isl, NSW 2898, Australia; [Bond, Alexander L.] Nat Hist Museum, Bird Grp, Dept Life Sci, Akeman St, Tring HP23 6AP, Herts, England</t>
  </si>
  <si>
    <t>University of Tasmania; University of Tasmania; Natural History Museum London</t>
  </si>
  <si>
    <t>Lavers, JL (corresponding author), Univ Tasmania, Inst Marine &amp; Antarctic Studies, 20 Castray Esplanade, Battery Point, Tas 7004, Australia.</t>
  </si>
  <si>
    <t>Lavers, Jennifer/IWM-5417-2023; Bond, Alexander L/A-3786-2010; Lavers, Jennifer/O-4831-2017</t>
  </si>
  <si>
    <t>Lavers, Jennifer/0000-0001-7596-6588; Bond, Alexander/0000-0003-2125-7238; Grant, Megan/0000-0002-0407-8468</t>
  </si>
  <si>
    <t>Detached Cultural Organization; Natural History Museum; BirdLife Northern New South Wales; Holsworth Wildlife Endowment; Thomas Davies Research Grant for Marine, Soil and Plant Biology</t>
  </si>
  <si>
    <t>Special thanks to Detached Cultural Organization, the Natural History Museum, BirdLife Northern New South Wales, Holsworth Wildlife Endowment, Thomas Davies Research Grant for Marine, Soil and Plant Biology, C. Noone, and L. Brice for providing funding for this project. Samples were collected with the permission of the Lord Howe Island Board (permit no. LHIB 06/16 and 07/18) under the approval of the University of Tasmania Animal Ethics Committee (permit no. A16357 and A16656) and New South Wales Department of Environment &amp; Heritage (licence no. SL100619 and SL102382). Assistance in the field was provided by generous volunteers, particularly P. Clive and Adrift Lab team members. The authors thank the New Zealand Department of Conservation for permission to release the necropsy data collected under contract by Wildlife Management International Ltd (partially funded through a levy on the quota owners of relevant commercial fish stocks). We would like to thank the two anonymous reviewers for their feedback which helped improve our manuscript.</t>
  </si>
  <si>
    <t>10.1016/j.envpol.2021.116734</t>
  </si>
  <si>
    <t>QZ5OA</t>
  </si>
  <si>
    <t>WOS:000630774100063</t>
  </si>
  <si>
    <t>Hurst, RAJ</t>
  </si>
  <si>
    <t>Hurst, Rachel Alpha Johnston</t>
  </si>
  <si>
    <t>Unsettling gender and sexuality at the Point Barrow, Alaska station of the First International Polar Year (1882-1883)</t>
  </si>
  <si>
    <t>SETTLER COLONIAL STUDIES</t>
  </si>
  <si>
    <t>Settler colonialism; gender and sexuality; First International polar Year; Inupiat</t>
  </si>
  <si>
    <t>The American expedition to Point Barrow, Alaska to establish a station for the First International Polar Year (IPY) in 1881 was shaped by familiar gendered and sexualised settler colonial discourses about the North as secretive, unknown, and ethereal, yet knowable by techniques of scientific observation. The First IPY (1882-1883) was a significant moment in colonial scientific exploration and research, as the largest coordinated international effort to gather scientific data about the Arctic and Antarctic related to meteorology, geomagnetism, and auroral observation. This essay looks at the relationship between the Americans and Inupiaq, and specifically at settler fantasies about race, gender and sexuality that circulate in the documents of the expedition. This analysis focuses on how Inupiaq women operate as a reference point from which to construct Inupiaq masculinity as deficient and American masculinity as superior. This 'failure' to conform to settler norms of gender and sexuality supported the pervasive settler narrative of Indigenous peoples as a 'vanishing race' declining as a result of a natural process, rather than due to settler colonialism. I then situate the Point Barrow expedition in relation to literature on polar exploration in other sites - for example, the North Pole and Antarctica - to contextualise this expedition and its implications for settler colonial studies.</t>
  </si>
  <si>
    <t>[Hurst, Rachel Alpha Johnston] St Francis Xavier Univ, Jules Leger Scholar Humanities &amp; Social Sci, Womens &amp; Gender Studies, Antigonish, NS, Canada</t>
  </si>
  <si>
    <t>Saint Francis Xavier University - Canada</t>
  </si>
  <si>
    <t>Hurst, RAJ (corresponding author), St Francis Xavier Univ, Jules Leger Scholar Humanities &amp; Social Sci, Womens &amp; Gender Studies, Antigonish, NS, Canada.</t>
  </si>
  <si>
    <t>rahurst@stfx.ca</t>
  </si>
  <si>
    <t>TAYLOR &amp; FRANCIS AUSTRALIA</t>
  </si>
  <si>
    <t>MELBOURNE</t>
  </si>
  <si>
    <t>LEVEL 2, 11 QUEENS RD, MELBOURNE, VIC 3004, AUSTRALIA</t>
  </si>
  <si>
    <t>2201-473X</t>
  </si>
  <si>
    <t>1838-0743</t>
  </si>
  <si>
    <t>SETTL COLON STUD</t>
  </si>
  <si>
    <t>Settl. Colon. Stud.</t>
  </si>
  <si>
    <t>10.1080/2201473X.2021.1888406</t>
  </si>
  <si>
    <t>Social Sciences, Interdisciplinary</t>
  </si>
  <si>
    <t>Social Sciences - Other Topics</t>
  </si>
  <si>
    <t>TM5YM</t>
  </si>
  <si>
    <t>WOS:000620510200001</t>
  </si>
  <si>
    <t>Martorell, MM; Lannert, M; Matula, CV; Quartino, ML; de Figueroa, LIC; Mac Cormack, WP; Ruberto, LAM</t>
  </si>
  <si>
    <t>Martorell, M. M.; Lannert, M.; Matula, C., V; Quartino, M. L.; de Figueroa, L. I. C.; Mac Cormack, W. P.; Ruberto, L. A. M.</t>
  </si>
  <si>
    <t>Studies toward the comprehension of fungal-macroalgae interaction in cold marine regions from a biotechnological perspective</t>
  </si>
  <si>
    <t>FUNGAL BIOLOGY</t>
  </si>
  <si>
    <t>Filamentous fungi; Macroalgae; Antarctica; Antifungal; Psychrophile</t>
  </si>
  <si>
    <t>DIVERSITY; COMMUNITIES; ANTARCTICA; ECOLOGY; EXTRACTS; GROWTH; MONOTERPENES; ENZYMES</t>
  </si>
  <si>
    <t>In marine ecosystems, macroalgae are the habitat for several microorganisms, fungi being among them. In the Antarctic benthic coastal ecosystem, macroalgae play a key role in organic matter cycling. In this study, 13 different macroalgae from Potter Cove and surrounding areas were sampled and 48 fungal isolates were obtained from six species, four Rhodophyta Ballia callitricha, Gigartina skottsbergii, Neuroglossum delesseriae and Palmaria decipiens, and two Phaeophyceae: Adenocystis utricularis and Ascoseira mirabilis. Fungal isolates mostly belonged to the Ascomycota phylum (Antarctomyces, Cadophora, Cladosporium, Penicillium, Phialocephala, and Pseudogymnoascus) and only one to the phylum Mucoromycota. Two of the isolates could not be identified to genus level, implying that Antarctica is a source of probable novel fungal taxa with enormous bioprospecting and biotechnological potential. 73% of the fungal isolates were moderate eurypsychrophilic (they grew at 5-25 degrees C), 12.5% were eurypsychrophilic and grew in the whole range, 12.5% of the isolates were narrow eurypsychrophilic (growth at 15-25 degrees C), and Mucoromycota AUe4 was classified as stenopsychrophilic as it grew at 5-15 degrees C. Organic extracts of seven macroalgae from which no fungal growth was obtained (three red algae Georgiella confluens, Gymnogongrus turquetii, Plocamium cartlagineum, and four brown algae Desmarestia anceps, D. Antarctica, Desmarestia menziesii, Himantothallus grandifolius) were tested against representative fungi of the genera isolated in this work. All extracts presented fungal inhibition, those from Plocamium cartilagineum and G. turquetii showed the best results, and for most of these macroalgae, this represents the first report of antifungal activity and constitute a promising source of compounds for future evaluation. (C) 2020 British Mycological Society. Published by Elsevier Ltd. All rights reserved.</t>
  </si>
  <si>
    <t>[Martorell, M. M.; Lannert, M.; Matula, C., V; Quartino, M. L.; Mac Cormack, W. P.; Ruberto, L. A. M.] Inst Antartico Argentino IAA, Buenos Aires, DF, Argentina; [Martorell, M. M.; Mac Cormack, W. P.; Ruberto, L. A. M.] Univ Buenos Aires, Fac Farm &amp; Bioquim, Buenos Aires, DF, Argentina; [Martorell, M. M.; Mac Cormack, W. P.; Ruberto, L. A. M.] Inst Nanobiotecnol NANOBIOTEC UBA CONICET, Buenos Aires, DF, Argentina; [de Figueroa, L. I. C.] Planta Piloto Proc Ind Microbiol PROIMI CONICET, San Miguel De Tucuman, Argentina; [de Figueroa, L. I. C.] Univ Nacl Tucuman, San Miguel De Tucuman, Argentina</t>
  </si>
  <si>
    <t>University of Buenos Aires; Consejo Nacional de Investigaciones Cientificas y Tecnicas (CONICET); Universidad Nacional de Tucuman</t>
  </si>
  <si>
    <t>Martorell, MM (corresponding author), Inst Antartico Argentino IAA, Buenos Aires, DF, Argentina.</t>
  </si>
  <si>
    <t>marmartorellsaez@gmail.com</t>
  </si>
  <si>
    <t>MARTORELL, MARIA MARTHA/0000-0002-4266-8629</t>
  </si>
  <si>
    <t>Instituto Antartico Argentino/Direccion Nacional del Antartico (IAA/DNA); Consejo Nacional de Investigaciones Cientificas y Tecnicas (CONICET); Agencia Nacional de Promocion Cientifica y Tecnologica [PICT 2016-2771]; Universidad de Buenos Aires</t>
  </si>
  <si>
    <t>Instituto Antartico Argentino/Direccion Nacional del Antartico (IAA/DNA); Consejo Nacional de Investigaciones Cientificas y Tecnicas (CONICET)(Consejo Nacional de Investigaciones Cientificas y Tecnicas (CONICET)); Agencia Nacional de Promocion Cientifica y Tecnologica(ANPCyTSpanish Government); Universidad de Buenos Aires(University of Buenos Aires)</t>
  </si>
  <si>
    <t>This work was supported by the Instituto Antartico Argentino/Direccion Nacional del Antartico (IAA/DNA), Consejo Nacional de Investigaciones Cientificas y Tecnicas (CONICET), Agencia Nacional de Promocion Cientifica y Tecnologica (PICT 2016-2771) and Universidad de Buenos Aires. We want to thank the scientific, logistic and military crew, especially the divers, of Carlini Station, for their hospitality and support, Marta Sierra and Cecilia Ferreiro for their help with the maps and English language editing, respectively.</t>
  </si>
  <si>
    <t>1878-6146</t>
  </si>
  <si>
    <t>1878-6162</t>
  </si>
  <si>
    <t>FUNGAL BIOL-UK</t>
  </si>
  <si>
    <t>Fungal Biol.</t>
  </si>
  <si>
    <t>10.1016/j.funbio.2020.11.003</t>
  </si>
  <si>
    <t>Mycology</t>
  </si>
  <si>
    <t>QL5CV</t>
  </si>
  <si>
    <t>WOS:000621095700007</t>
  </si>
  <si>
    <t>Acevedo, J; Capella, J; Cheeseman, T; Monnahan, CC; Southerland, K; Acuña, P; Aguayo-Lobo, A</t>
  </si>
  <si>
    <t>Acevedo, Jorge; Capella, Juan; Cheeseman, Ted; Monnahan, Cole C.; Southerland, Ken; Acuna, Paola; Aguayo-Lobo, Anelio</t>
  </si>
  <si>
    <t>First evidence of interchange of humpback whales (Megaptera novaeangliae) between the Magellan Strait and Antarctic Peninsula feeding grounds</t>
  </si>
  <si>
    <t>Eastern South Pacific; Interchange; Humpback whale (Megaptera novaeangliae); Magellan strait; Antarctic Peninsula</t>
  </si>
  <si>
    <t>POPULATION-STRUCTURE; DELTA-C-13; MOVEMENTS; VALUES</t>
  </si>
  <si>
    <t>Eastern South Pacific humpback whales (Megaptera novaeangliae) migrate to three distinct mid- to high-latitude feeding areas. While movements between local breeding sites have been reported, interchange among the feeding areas has not been documented and thus has assumed not to exist. Identifying photographs of 187 humpback whales in the Magellan Strait were compared with 2,553 whales from the Antarctic Peninsula feeding area, resulting in two matches. Additionally, 37 skin samples collected at the Magellan Strait were analyzed for carbon and nitrogen stable isotopes, resulting in evidence that two other individuals traveled to the Antarctic Peninsula. Our findings provide the first known evidence of interchange between two of these feeding areas in the eastern South Pacific. The data suggest a very limited interchange, but demonstrate that some whales may permanently leave the Magellan Strait, or perform short, round-trip movement between these areas. This previously undocumented interchanges do not necessarily change existing management recommendations that the Magellan Strait is a demographically independent feeding area, but does suggest that future abundance estimate models should assume low immigration rates. Further research to better understand the extent and frequency of interchange in the austral region of South America is needed, as this will further clarify the population structure of these whales leading to more accurate scientific knowledge supporting the conservation and management of the species.</t>
  </si>
  <si>
    <t>[Acevedo, Jorge; Acuna, Paola] Fdn CEQUA, Ctr Estudios Cuaternario Fuego Patagonia &amp; Antart, Punta Arenas, Chile; [Acevedo, Jorge] Univ Autonoma Baja Calif Sur, Programa Doctorado Ciencias Mar &amp; Costera CIMACO, La Paz, Mexico; [Capella, Juan] Whalesound Ltda, Punta Arenas, Chile; [Cheeseman, Ted; Southerland, Ken] Happywhale, Columbia St, Santa Cruz, CA USA; [Cheeseman, Ted] Southern Cross Univ, Lismore, NSW, Australia; [Monnahan, Cole C.] Univ Washington, Sch Aquat &amp; Fishery Sci, Box 355020, Seattle, WA 98105 USA; [Monnahan, Cole C.] NOAA, Alaska Fisheries Sci Ctr, Natl Marine Fisheries Serv, 7600 Sand Point Way NE, Seattle, WA 98115 USA; [Aguayo-Lobo, Anelio] Inst Antartico Chileno, Punta Arenas, Chile</t>
  </si>
  <si>
    <t>Universidad Autonoma de Baja California; Southern Cross University; University of Washington; University of Washington Seattle; National Oceanic Atmospheric Admin (NOAA) - USA</t>
  </si>
  <si>
    <t>Acevedo, J (corresponding author), Fdn CEQUA, Ctr Estudios Cuaternario Fuego Patagonia &amp; Antart, Punta Arenas, Chile.;Acevedo, J (corresponding author), Univ Autonoma Baja Calif Sur, Programa Doctorado Ciencias Mar &amp; Costera CIMACO, La Paz, Mexico.</t>
  </si>
  <si>
    <t>jorge.acevedo@cequa.cl</t>
  </si>
  <si>
    <t>Cheeseman, Ted/0000-0002-5805-2431; Acevedo, Jorge/0000-0002-6106-0838</t>
  </si>
  <si>
    <t>Conicyt [R16A10002]; Conacyt (Mexico)</t>
  </si>
  <si>
    <t>Conicyt(Comision Nacional de Investigacion Cientifica y Tecnologica (CONICYT)); Conacyt (Mexico)(Consejo Nacional de Ciencia y Tecnologia (CONACyT))</t>
  </si>
  <si>
    <t>The data presented herein are the result of a collaborative effort. We thanks to the Happywhale team and contributors, especially Stephen Anstee and Vicki Beaver who provided the photographs of both whales in the Antarctic Peninsula. We also thank the Grupo de Oceanografia de Altas Latitudes-GOAL/High Latitudes Oceanography Group and the research group Ecologia e ConservacAo da Megafauna Marinha-EcoMega/CNPq, Brazil for sharing original stable isotope data for the Bransfield and Gerlache Straits. We thank all crew members from the M/V Tanu and M/N Forrest, field assistants and Carlos Valladares from Whalesound L.T.D. for logistical support at sea and at camping site in Carlos III Island along years, and Juan Jose Salas and Francisco Martinez from Fitz Roy Expeditions and our own institutions. We also thank Ana Cypriano and an anonymous reviewer for their constructive comments on a previous draft. The first author thanks to Conicyt Regional grant number R16A10002 for financial support in Chile; as well as to Conacyt (Mexico) for providing the PhD scholarship at the Universidad Autonoma de Baja California Sur.</t>
  </si>
  <si>
    <t>10.1007/s00300-021-02827-2</t>
  </si>
  <si>
    <t>WOS:000619890100001</t>
  </si>
  <si>
    <t>Xiong, SY; Hao, YF; Li, YM; Yang, RQ; Pei, ZG; Zhang, QH; Jiang, GB</t>
  </si>
  <si>
    <t>Xiong, Siyuan; Hao, Yanfen; Li, Yingming; Yang, Ruiqiang; Pei, Zhiguo; Zhang, Qinghua; Jiang, Guibin</t>
  </si>
  <si>
    <t>Accumulation and influencing factors of novel brominated flame retardants in soil and vegetation from Fildes Peninsula, Antarctica</t>
  </si>
  <si>
    <t>Novel brominated flame retardants; Soil; Lichen; Moss; Antarctica</t>
  </si>
  <si>
    <t>KING-GEORGE ISLAND; PERSISTENT ORGANIC POLLUTANTS; SOUTH SHETLAND ISLANDS; DIPHENYL ETHERS PBDES; ORGANOCHLORINE PESTICIDES; DECHLORANE PLUS; POLYCHLORINATED-BIPHENYLS; EXPOSURE; LICHENS; ORGANOPHOSPHATE</t>
  </si>
  <si>
    <t>The concentrations and distributions of nine novel brominated flame retardants (NBFRs) were analyzed in soil, lichen (Usnea aurantiaco-atra), and moss (Sanionia uncinata) samples collected from the Chinese Antarctic Great Wall Station and surrounding Fildes Peninsula area in west Antarctica. Total NBFR concentrations ranged from 61.2-225 pg/g dry weight (dw) in soil, 283-1065 pg/gdw in moss, and 135-401 pg/g dw in lichen, respectively. Decabromodiphenyl ethane (DBDPE) was the dominant NBFR in all samples, accounting for 652%, 50.1%, and 72.4% of cumulative NBFR concentration in soil, moss, and lichen, respectively. The concentrations of NBFRs in plant samples were higher than those in soil, which may be related to plant bioaccumulation. Significant log/log-linear correlations (p &lt; 0.05) were found between the concentrations of BEHTEBP and total organic carbon (TOC) in soil, and between DBDPE and lipid content in mosses, indicating that TOC and lipid content potentially affect certain NBFRs in Antarctic soil and moss. This study presents the first report on NBFR contamination in soil and various vegetation in Antarctica. (C) 2020 Elsevier B.V. All rights reserved.</t>
  </si>
  <si>
    <t>[Xiong, Siyuan; Hao, Yanfen; Li, Yingming; Yang, Ruiqiang; Pei, Zhiguo; Zhang, Qinghua; Jiang, Guibin] Chinese Acad Sci, Res Ctr Ecoenvironm Sci, State Key Lab Environm Chem &amp; Ecotoxicol, Beijing 100085, Peoples R China; [Xiong, Siyuan; Hao, Yanfen; Li, Yingming; Zhang, Qinghua; Jiang, Guibin] Univ Chinese Acad Sci, Beijing 100049, Peoples R China; [Yang, Ruiqiang; Zhang, Qinghua; Jiang, Guibin] UCAS, Hangzhou Inst Adv Study, Inst Environm &amp; Hlth, Hangzhou 310000, Peoples R China</t>
  </si>
  <si>
    <t>Chinese Academy of Sciences; Research Center for Eco-Environmental Sciences (RCEES); Chinese Academy of Sciences; University of Chinese Academy of Sciences, CAS</t>
  </si>
  <si>
    <t>Li, YM (corresponding author), Chinese Acad Sci, Res Ctr Ecoenvironm Sci, State Key Lab Environm Chem &amp; Ecotoxicol, Beijing 100085, Peoples R China.</t>
  </si>
  <si>
    <t>ymli@rcees.ac.cn</t>
  </si>
  <si>
    <t>Zhang, Qinghua/L-7652-2019</t>
  </si>
  <si>
    <t>Zhang, Qinghua/0000-0001-9086-7000</t>
  </si>
  <si>
    <t>National Natural Science Foundation of China [91743206, 21777186, 22076215]; Eco-Environmental Excellent Innovation Projects of the Research Center for Eco-Environmental Sciences [RCEES-EEI-2019-01]</t>
  </si>
  <si>
    <t>National Natural Science Foundation of China(National Natural Science Foundation of China (NSFC)); Eco-Environmental Excellent Innovation Projects of the Research Center for Eco-Environmental Sciences</t>
  </si>
  <si>
    <t>This study was supported by the National Natural Science Foundation of China (91743206, 21777186, and 22076215) and Eco-Environmental Excellent Innovation Projects of the Research Center for Eco-Environmental Sciences (RCEES-EEI-2019-01). We also thank the Chinese Arctic and Antarctic Administration and Polar Research Institute of China for their support in arranging the Chinese Antarctic Expeditions.</t>
  </si>
  <si>
    <t>FEB 20</t>
  </si>
  <si>
    <t>10.1016/j.scitotenv.2020.144088</t>
  </si>
  <si>
    <t>PM0FY</t>
  </si>
  <si>
    <t>WOS:000603487500129</t>
  </si>
  <si>
    <t>Maritati, A; Halpin, JA; Whittaker, JM; Daczko, NR; Wainman, CC</t>
  </si>
  <si>
    <t>Maritati, Alessandro; Halpin, Jacqueline A.; Whittaker, Joanne M.; Daczko, Nathan R.; Wainman, Carmine C.</t>
  </si>
  <si>
    <t>Provenance of Upper Jurassic-Lower Cretaceous strata in the Mentelle Basin, southwestern Australia, reveals a trans-Gondwanan fluvial pathway</t>
  </si>
  <si>
    <t>OFFSHORE WESTERN-AUSTRALIA; PRINCE-CHARLES MOUNTAINS; ZIRCON U-PB; EAST ANTARCTICA; DETRITAL ZIRCON; PERTH BASIN; SEDIMENT PROVENANCE; NATURALISTE PLATEAU; BASEMENT PROVINCES; INDIA EVIDENCE</t>
  </si>
  <si>
    <t>Australia, and East Gondwana more broadly, host extensive PaleozoicMesozoic sedimentary basins with thick siliciclastic sequences. These sediments were for the greater part transported by large-scale fluvial systems; however, the spatial and temporal patterns of sediment dispersal remain poorly understood. We investigate the provenance of rift strata in the Mentelle Basin, Western Australia, which were deposited during the Late Jurassic-Early Cretaceous breakup of India from Australia-Antarctica. Monazite U-Pb and zircon U-Pb-Hf isotopic signatures suggest that the Upper Jurassic-Lower Cretaceous syn-rift sediments were supplied predominately by a transcontinental river system draining sediments from interior regions of East Antarctica to the northern Gondwanan passive margin. This fluvial system was focused within the developing rift between India and Australia-Antarctica. Provenance of the transgressive marine post-breakup strata reflects a transition to a proximal sediment source and marks the end of the transcontinental fluvial system after the final breakup of India from Australia-Antarctica in the Valanginian (similar to 136 Ma). Statistical comparison of detrital zircon spectra of Mentelle Basin syn-rift strata with other Australian Paleozoic-Mesozoic rift strata located along our proposed transport route suggests that the transcontinental fluvial pathway was active since the Late Paleozoic. We infer that this fluvial system was one of the principal modes of siliciclastic sediment delivery to rift and passive margin basins of western Australia. (C) 2021 International Association for Gondwana Research. Published by Elsevier B.V. All rights reserved.</t>
  </si>
  <si>
    <t>[Maritati, Alessandro; Halpin, Jacqueline A.; Whittaker, Joanne M.] Univ Tasmania, Inst Marine &amp; Antarctic Studies, Private Bag 129, Hobart, Tas 7001, Australia; [Daczko, Nathan R.] Macquarie Univ, ARC Ctr Excellence Core Crust Fluid Syst, Sydney, NSW 2109, Australia; [Daczko, Nathan R.] Macquarie Univ, GEMOC, Dept Earth &amp; Planetary Sci, Sydney, NSW 2109, Australia; [Wainman, Carmine C.] Univ Adelaide, Australian Sch Petr &amp; Energy Resources, Adelaide, SA 5005, Australia</t>
  </si>
  <si>
    <t>University of Tasmania; Macquarie University; Macquarie University; University of Adelaide</t>
  </si>
  <si>
    <t>Maritati, A (corresponding author), Univ Tasmania, Inst Marine &amp; Antarctic Studies, Private Bag 129, Hobart, Tas 7001, Australia.</t>
  </si>
  <si>
    <t>alessandro.maritati@utas.edu.au</t>
  </si>
  <si>
    <t>Whittaker, Joanne/B-3695-2010</t>
  </si>
  <si>
    <t>Whittaker, Joanne/0000-0002-3170-3935; Daczko, Nathan/0000-0002-3737-3818</t>
  </si>
  <si>
    <t>Australian Government through the Australian Research Council's LIEF funding scheme [LE160100067]; AustralianGovernment Research Training Program(RTP) Scholarship; Australian Research Council`s Special Research Initiative for Antarctic Gateway Partnership [SR140300001]; DEST Systemic Infrastructure Grants; ARC LIEF; NCRIS/AuScope; Macquarie University; Australian Research Council [LE160100067] Funding Source: Australian Research Council</t>
  </si>
  <si>
    <t>Australian Government through the Australian Research Council's LIEF funding scheme; AustralianGovernment Research Training Program(RTP) Scholarship(Australian GovernmentDepartment of Industry, Innovation and Science); Australian Research Council`s Special Research Initiative for Antarctic Gateway Partnership(Australian Research Council); DEST Systemic Infrastructure Grants(Australian GovernmentDepartment of Industry, Innovation and Science); ARC LIEF(Australian Research Council); NCRIS/AuScope(Australian GovernmentDepartment of Industry, Innovation and Science); Macquarie University; Australian Research Council(Australian Research Council)</t>
  </si>
  <si>
    <t>This research used samples provided by the International Ocean Discovery Program(IODP). We thank IODP and the Australia-New Zealand IODP Consortium (ANZIC), which enabled Alessandro Maritati and Carmine Wainman to participate in IODP Expedition 369 and awarded post-expedition funding to Alessandro Maritati for this study. ANZIC is supported by the Australian Government through the Australian Research Council's LIEF funding scheme LE160100067 and the Australian and New Zealand consortium of universities and government agencies. AlessandroMaritati is supported by an AustralianGovernment Research Training Program(RTP) Scholarship and the Australian Research Council`s Special Research Initiative for Antarctic Gateway Partnership (Project ID SR140300001). We thank the IODP Expedition 369 participants for their assistance during the drilling of Site U1515 and the analysis of data on the JOIDES Resolution. J. Thompson and J. Tolley (Centre for for Ore Deposit and Earth Science, University of Tasmania), K. Goemann and S. Feig (Central Science Laboratory, University of Tasmania) and Y. Lai (ARC Centre of Excellence for Core to Crust Fluid Systems, CCFS, Macquarie University, Australia) are thanked for analytical assistance. This is contribution 1563 from the ARC Centre of Excellence for Core to Crust Fluid Systems (http://www.ccfs.mq.edu.au) and 1425 in the GEMOC Key Centre (http://www.gemoc.mq.edu.au).Some of the analytical data were obtained using instrumentation funded by DEST Systemic Infrastructure Grants, ARC LIEF, NCRIS/AuScope, industry partners and Macquarie University, We thank Milo Barham, Chris Kirkland and Naomi Tucker for their constructive reviews which helped improve the manuscript.</t>
  </si>
  <si>
    <t>10.1016/j.gr.2020.12.032</t>
  </si>
  <si>
    <t>RF0HU</t>
  </si>
  <si>
    <t>WOS:000634530100003</t>
  </si>
  <si>
    <t>Rodrigues, WF; de Oliveira, FS; Schaefer, CEGR; Leite, MGP; Pavinato, PS</t>
  </si>
  <si>
    <t>Rodrigues, William Fortes; de Oliveira, Fabio Soares; Schaefer, Carlos Ernesto G. R.; Praca Leite, Mariangela Garcia; Pavinato, Paulo Sergio</t>
  </si>
  <si>
    <t>Phosphatization under birds' activity: Ornithogenesis at different scales on Antarctic Soilscapes</t>
  </si>
  <si>
    <t>Phosphatization; Ornithogenesis; Marine bird's ecology; Secondary phosphates</t>
  </si>
  <si>
    <t>Extensive areas of penguins' nesting (Pygoscelis sp.), on ice-free areas, account for vast deposits of organic matter-rich guano in maritime Antarctica. One such area, at Harmony Point, currently houses different penguin colonies with extensive and unique ornithogenic soils, where phosphatization is the key soil-forming process. We sought to enhance the knowledge of phosphatization process, products, cycles, and phosphorus (P) forms in these unusual soils. We compared ornithogenic and non-ornithogenic soils, based on advanced chemical, micromorphological and mineralogical analyses of samples of guano and phosphate biocrusts, complete with P and OM fractionation. Ornithogenic soils have the organic P-pool as the largest phosphorous compartment, followed by varying P-Ca forms. In contrast, soils unaffected by phosphatization showed a high inorganic P-pool. Penguin guano is enriched with P, Ca, K, Cu, Zn, C and N. The phosphatic biocrusts are composed of struvite and hydroxyapatite, forming a gradient of phosphate forms. We recognized three different phosphatization environments, namely (i) present-day marine birds' rookeries, (ii) adjacent zone of rookeries and (iii) abandoned rookeries. Geomorphological evolution of the coastal areas, by Holocene glacier retreat, resulted in the changing location of penguin colonies, resulting in a larger area and varying ages of phosphatization, forming ornithogenic soils with contrasting evolution degrees. Abandoned areas have greater vegetation growth, with higher diversity.</t>
  </si>
  <si>
    <t>[Rodrigues, William Fortes; Praca Leite, Mariangela Garcia] Univ Fed Ouro Preto, Dept Geol, BR-35400000 Ouro Preto, MG, Brazil; [de Oliveira, Fabio Soares] Univ Fed Minas Gerais, Dept Geog, IGC, BR-31270901 Belo Horizonte, MG, Brazil; [Schaefer, Carlos Ernesto G. R.] Univ Fed Vicosa, Soil Sci Dept, BR-36570000 Vicosa, MG, Brazil; [Pavinato, Paulo Sergio] Coll Agr Luiz de Queiroz ESALQ USP, Av Padua Dias 11, BR-13418900 Piracicaba, SP, Brazil</t>
  </si>
  <si>
    <t>Universidade Federal de Ouro Preto; Universidade Federal de Minas Gerais; Universidade Federal de Vicosa</t>
  </si>
  <si>
    <t>Rodrigues, WF (corresponding author), Univ Fed Ouro Preto, Dept Geol, BR-35400000 Ouro Preto, MG, Brazil.</t>
  </si>
  <si>
    <t>willfordrigues@gmail.com</t>
  </si>
  <si>
    <t>Pavinato, Paulo/B-9513-2012; Schaefer, Carlos Ernesto/AAY-4977-2020</t>
  </si>
  <si>
    <t>Pavinato, Paulo/0000-0003-3244-2666; Fortes, William/0000-0003-0980-282X</t>
  </si>
  <si>
    <t>CNPq (Conselho Nacional de Desenvolvimento Cientifico e Tecnologico); CAPES (Coordenacao de Aperfeicoamento de Pessoal de Nivel Superior); FAPEMIG (Fundacao de Amparo a Pesquisa do Estado de Minas Gerais); INCT da Criosfera; TERRANTAR; PERMACLIMA; MARINHA DO BRASIL (PROANTAR PROGRAM)</t>
  </si>
  <si>
    <t>CNPq (Conselho Nacional de Desenvolvimento Cientifico e Tecnologico)(Conselho Nacional de Desenvolvimento Cientifico e Tecnologico (CNPQ)); CAPES (Coordenacao de Aperfeicoamento de Pessoal de Nivel Superior)(Coordenacao de Aperfeicoamento de Pessoal de Nivel Superior (CAPES)); FAPEMIG (Fundacao de Amparo a Pesquisa do Estado de Minas Gerais)(Fundacao de Amparo a Pesquisa do Estado de Minas Gerais (FAPEMIG)); INCT da Criosfera; TERRANTAR; PERMACLIMA; MARINHA DO BRASIL (PROANTAR PROGRAM)</t>
  </si>
  <si>
    <t>The authors thank CNPq (Conselho Nacional de Desenvolvimento Cientifico e Tecnologico), CAPES (Coordenacao de Aperfeicoamento de Pessoal de Nivel Superior) and FAPEMIG (Fundacao de Amparo a Pesquisa do Estado de Minas Gerais) for financial support. We are grateful to INCT da Criosfera, TERRANTAR, PERMACLIMA and MARINHA DO BRASIL (PROANTAR PROGRAM) for financial support and field assistance.</t>
  </si>
  <si>
    <t>10.1016/j.geoderma.2021.114950</t>
  </si>
  <si>
    <t>QS4NB</t>
  </si>
  <si>
    <t>WOS:000625877700002</t>
  </si>
  <si>
    <t>Müller, F; Schoyen, H</t>
  </si>
  <si>
    <t>Mueller, Felix; Schoyen, Halvor</t>
  </si>
  <si>
    <t>Polar research and supply vessel capabilities - An exploratory study</t>
  </si>
  <si>
    <t>OCEAN ENGINEERING</t>
  </si>
  <si>
    <t>Polar research and supply vessel (PRSV); Capability assessment; Polar engineering; Polar operations; Climate change; Ice-going ship</t>
  </si>
  <si>
    <t>Many countries engaged in polar research are commissioning polar research and supply vessels (PRSVs), inter alia, Britain's RRS Sir David Attenborough and Australia's RSV Nuyina. The prevalent climate change has placed the Arctic and Antarctic regions in the forefront of operations requiring specialist ships to support and deploy research activities. This study focuses on PRSVs and examines potential means of assessing their capabilities by identifying and gathering sources of information into a database. Further, this study presents established models of ship performance assessment in the academic literature. Links are drawn between these models, PRSV characteristics and the need for scientific capabilities and transport logistics in polar science. An adapted model is then applied to the data collected, enabling the assessment of PRSV capabilities. The assessment is based on the following key characteristics: (1) icebreaking, (2) logistics, (3) science and (4) ship size, each using attributes from the database to provide a normalised score. Data pertaining to five PRSVs are examined and the results are depicted as a radar diagram. The results show the general applicability of the model.</t>
  </si>
  <si>
    <t>[Mueller, Felix] iSURVEY Grp AS, POB 300, NO-1396 Billingstad, Norway; [Schoyen, Halvor] Univ South Eastern Norway, POB 4, NO-3199 Borre, Norway</t>
  </si>
  <si>
    <t>University College of Southeast Norway</t>
  </si>
  <si>
    <t>Schoyen, H (corresponding author), Univ South Eastern Norway, POB 4, NO-3199 Borre, Norway.</t>
  </si>
  <si>
    <t>felix.mueller.online@outlook.com; hs@usn.no</t>
  </si>
  <si>
    <t>Markom 2020</t>
  </si>
  <si>
    <t>The authors are grateful to research institutes and ship management associations for providing data for this study. We are thankful to anonymous referees for their comments on an earlier version of this paper. Halvor Schoyen is grateful for the funding provided by Markom 2020. We thank associate professor Alice Tonzig and Richard Nelson for proofreading of the English language. Any errors are our responsibility.</t>
  </si>
  <si>
    <t>0029-8018</t>
  </si>
  <si>
    <t>1873-5258</t>
  </si>
  <si>
    <t>OCEAN ENG</t>
  </si>
  <si>
    <t>Ocean Eng.</t>
  </si>
  <si>
    <t>10.1016/j.oceaneng.2021.108671</t>
  </si>
  <si>
    <t>Engineering, Marine; Engineering, Civil; Engineering, Ocean; Oceanography</t>
  </si>
  <si>
    <t>QW8QM</t>
  </si>
  <si>
    <t>WOS:000628913000004</t>
  </si>
  <si>
    <t>Yang, DY; Ding, MH; Dou, TF; Han, W; Liu, WG; Zhang, JY; Du, ZH; Xiao, CD</t>
  </si>
  <si>
    <t>Yang, Diyi; Ding, Minghu; Dou, Tingfeng; Han, Wei; Liu, Weigang; Zhang, Jianyong; Du, Zhiheng; Xiao, Cunde</t>
  </si>
  <si>
    <t>On the Differences in Precipitation Type Between the Arctic, Antarctica and Tibetan Plateau</t>
  </si>
  <si>
    <t>precipitation types; tri-polar regions; single temperature threshold; precipitation trend; freezing level</t>
  </si>
  <si>
    <t>Under the effect of global warming, more precipitation will shift to rainfall in cryospheric regions. Considering the influence of the precipitation type on surface energy and mass cycles, it is important to determine the specific precipitation features and to classify the precipitation type in key areas correctly. We analyzed the monthly distribution, variations in each precipitation type's annual days, and trends based on daily precipitation and air temperature observations from six tripolar stations. The results indicated that snow dominated the precipitation type at Zhongshan station (69.4 degrees S, 76.4 degrees E) throughout the year, while the Greatwall station (62.2 degrees S, 59.0 degrees W) exhibited a relatively diverse precipitation type distribution and significant seasonal cycles. Compared to the Greatwall station, every precipitation type was less frequently encountered at the Barrow (71.3 degrees N, 156.8 degrees W), Coral Harbour (64.2 degrees N, 83.4 degrees W), Linzhi (29.6 degrees N, 94.5 degrees E), and Maqu stations (34 degrees N, 102.1 degrees E), in which all the sites demonstrated classical reverse seasonal variation. A consistent trend across the years was found regarding the trends of the different precipitation types, except at the Greatwall and Coral Harbour stations. Due to snow/rain conditions partly converting into sleet conditions, which may be related to air temperature changes and synoptic atmospheric activities, inconsistent increasing trends of the sleet days were observed compared to the snow/rain days. Furthermore, a hyperbolic parameterized model was also fitted to determine the air temperature threshold of precipitation type transitions in this paper. According to the threshold comparison results, a warm bias in the temperature threshold was found at the warm stations. We also proposed that high relative humidity and low freezing levels were the likely reasons for the ERA5 reanalysis datasets. Finally, this paper's fitted parameterized model was proven to perform better than the ERA5 reanalysis datasets through validation. This preliminary research provides observational evidence and possible interpretation of the mechanism of precipitation type changes in tripolar areas.</t>
  </si>
  <si>
    <t>[Yang, Diyi; Ding, Minghu] Chinese Acad Meteorol Sci, State Key Lab Severe Weather, Beijing, Peoples R China; [Yang, Diyi] Chinese Acad Sci, Northwest Inst Ecoenvironm &amp; Resources, State Key Lab Cryospher Sci, Lanzhou, Peoples R China; [Ding, Minghu; Dou, Tingfeng; Du, Zhiheng; Xiao, Cunde] Chinese Acad Sci, Northwest Inst Ecoenvironm &amp; Resources, State Key Lab Cryospher Sci, Lanzhou, Peoples R China; [Dou, Tingfeng] Univ Chinese Acad Sci, Coll Resources &amp; Environm, Beijing, Peoples R China; [Han, Wei] Beijing Meteorol Observ Ctr, Beijing, Peoples R China; [Liu, Weigang] China Meteorol Adm, Inst Arid Meteorol, Lanzhou, Peoples R China; [Zhang, Jianyong] Meteorol Bur Gannan Tibetan Autonomous Prefecture, Hezuo, Peoples R China; [Xiao, Cunde] Beijing Normal Univ, State Key Lab Earth Surface &amp; Resource Ecol, Beijing, Peoples R China</t>
  </si>
  <si>
    <t>China Meteorological Administration; Chinese Academy of Meteorological Sciences (CAMS); Chinese Academy of Sciences; Chinese Academy of Sciences; Chinese Academy of Sciences; University of Chinese Academy of Sciences, CAS; China Meteorological Administration; Beijing Normal University</t>
  </si>
  <si>
    <t>Ding, MH (corresponding author), Chinese Acad Meteorol Sci, State Key Lab Severe Weather, Beijing, Peoples R China.;Ding, MH (corresponding author), Chinese Acad Sci, Northwest Inst Ecoenvironm &amp; Resources, State Key Lab Cryospher Sci, Lanzhou, Peoples R China.</t>
  </si>
  <si>
    <t>dingminghu@foxmail.com</t>
  </si>
  <si>
    <t>Ding, Minghu/AFU-3600-2022; Han, Wei/L-7391-2016</t>
  </si>
  <si>
    <t>Ding, Minghu/0000-0002-1142-6598; Han, Wei/0000-0002-1966-446X; Yang, Diyi/0000-0002-1844-5900</t>
  </si>
  <si>
    <t>National Key R&amp;D Program of China [2019YFC1509100]; Strategic Priority Research Program of the Chinese Academy of Sciences [XDA20100300]; National Natural Science Foundation of China [41771064]; Basic Fund of the Chinese Academy of Meteorological Sciences [2018Z001, 2019Z008]</t>
  </si>
  <si>
    <t>National Key R&amp;D Program of China; Strategic Priority Research Program of the Chinese Academy of Sciences(Chinese Academy of Sciences); National Natural Science Foundation of China(National Natural Science Foundation of China (NSFC)); Basic Fund of the Chinese Academy of Meteorological Sciences</t>
  </si>
  <si>
    <t>This study was funded by the National Key R&amp;D Program of China (2019YFC1509100), the Strategic Priority Research Program of the Chinese Academy of Sciences (XDA20100300), the National Natural Science Foundation of China (41771064), and the Basic Fund of the Chinese Academy of Meteorological Sciences (Grant Nos. 2018Z001 and 2019Z008). The observations in Antarctica were logistically supported by the Chinese National Antarctic Research Expedition (CHINARE).</t>
  </si>
  <si>
    <t>FEB 19</t>
  </si>
  <si>
    <t>10.3389/feart.2021.607487</t>
  </si>
  <si>
    <t>QS3PT</t>
  </si>
  <si>
    <t>WOS:000625814900001</t>
  </si>
  <si>
    <t>Bastias, J; Spikings, R; Riley, T; Ulianov, A; Grunow, A; Chiaradia, M; Hervé, F</t>
  </si>
  <si>
    <t>Bastias, Joaquin; Spikings, Richard; Riley, Teal; Ulianov, Alexey; Grunow, Anne; Chiaradia, Massimo; Herve, Francisco</t>
  </si>
  <si>
    <t>A revised interpretation of the Chon Aike magmatic province: Active margin origin and implications for the opening of the Weddell Sea</t>
  </si>
  <si>
    <t>LITHOS</t>
  </si>
  <si>
    <t>LARGE IGNEOUS PROVINCE; ZIRCON U-PB; GONDWANA BREAK-UP; ANTARCTIC PENINSULA; FLOOD BASALTS; MANTLE-PLUME; GRAHAM LAND; JURASSIC RHYOLITE; SOUTH-AMERICA; RIFT SYSTEM</t>
  </si>
  <si>
    <t>Late Triassic - Jurassic igneous rocks of the Antarctic Peninsula and Patagonia provide evidence for the evolution of the margin of southwestern Gondwana. We present new geochronological (LA-ICP-MS zircon U-Pb dates) analyses of 12 intrusive and volcanic rocks, which are complemented by geochemical and zircon isotopic (Hf) as well as whole rock isotopic (Nd, Sr) data. These are combined with similar analyses of 73 other igneous rocks by previous studies, to constrain the magmatic evolution and Late Triassic - Jurassic tectonic setting. The distribution of crystallisation ages reveals four main magmatic pulses that collectively span similar to 225-145 Ma, all of which have compositions that are consistent with a continental arc setting. The first episode occurred between similar to 223-200 Ma, and records active margin magmatism within the Antarctic Peninsula and northern Patagonia, and reveals the presence of a flat-slab that gave rise to magmatism in eastern Patagonia. After a period of magmatic quiescence (similar to 200-188 Ma), the second episode occurred between similar to 188 and 178 Ma, with a continuation of arc magmatism above a flattened slab. The third episode spanned similar to 173-160 Ma, and its geographic distribution suggests the slab was steepening, driving magmatism towards the south and west in Patagonia. Finally, the fourth period occurred between similar to 157 and similar to 145 Ma, during which time magmas were emplaced along the Antarctic Peninsula and western Patagonia, with no evidence for flat-slab subduction. The analysed rocks include the Chon Aike magmatic province, which has been considered to have been influenced by the break-up of Gondwana, via heating associated with the Karoo plume in southern Africa and the active margin in western Patagonia and the Antarctic Peninsula. Our new data and revised compilation now suggest that the Early - Middle Chon Aike Jurassic silicic magmatic province in Patagonia and the Antarctic Peninsula can be entirely accounted by active margin processes. We also show that the final stage of Jurassic magmatism (similar to 157-145 Ma) was coincident with rifting that formed oceanic lithosphere of the Weddell Sea and back-arc extension of the Rocas Verdes Basin, potentially revealing the presence of a triple junction located between southern Patagonia and the northern Antarctic Peninsula that led to the disassembly of southern Gondwana. (C) 2021 The Author(s). Published by Elsevier B.V.</t>
  </si>
  <si>
    <t>[Bastias, Joaquin; Spikings, Richard; Chiaradia, Massimo] Univ Geneva, Dept Earth Sci, CH-1205 Geneva, Switzerland; [Bastias, Joaquin] Univ Santo Tomas, Fac Ingn, Escuela Geol, Ejercito 146, Santiago, Chile; [Riley, Teal] British Antarctic Survey, Madingley Rd, Cambridge CB3 0ET, England; [Ulianov, Alexey] Univ Lausanne, Inst Earth Sci, CH-1015 Lausanne, Switzerland; [Grunow, Anne] Ohio State Univ, Byrd Polar Res Ctr, 108 Scott Hall,1090 Carmack Rd, Columbus, OH 43210 USA; [Herve, Francisco] Univ Andres Bello, Fac Ingn, Carrera Geol, Santiago 8370106, Chile; [Herve, Francisco] Univ Chile, Dept Geol, Plaza Ercilla 803, Santiago, Chile</t>
  </si>
  <si>
    <t>University of Geneva; Universidad Santo Tomas; UK Research &amp; Innovation (UKRI); Natural Environment Research Council (NERC); NERC British Antarctic Survey; University of Lausanne; University System of Ohio; Ohio State University; Universidad Andres Bello; Universidad de Chile</t>
  </si>
  <si>
    <t>Bastias, J (corresponding author), Univ Geneva, Dept Earth Sci, CH-1205 Geneva, Switzerland.</t>
  </si>
  <si>
    <t>j.bastias.silva@gmail.com</t>
  </si>
  <si>
    <t>Bastias, Joaquin/A-6995-2016; Herve, Francisco/HDO-6628-2022; Grunow, Anne/F-7844-2017</t>
  </si>
  <si>
    <t>Bastias, Joaquin/0000-0001-6678-3173; Grunow, Anne/0000-0002-1655-0424; Riley, Teal/0000-0002-3333-5021</t>
  </si>
  <si>
    <t>National Science Foundation [OPP-1643713]; Chilean Antarctic Institute Project [RT-06-14]; University of Geneva; CONICYT-Chile; NERC [bas0100030] Funding Source: UKRI</t>
  </si>
  <si>
    <t>National Science Foundation(National Science Foundation (NSF)); Chilean Antarctic Institute Project; University of Geneva; CONICYT-Chile(Comision Nacional de Investigacion Cientifica y Tecnologica (CONICYT)); NERC(UK Research &amp; Innovation (UKRI)Natural Environment Research Council (NERC))</t>
  </si>
  <si>
    <t>The authors are grateful for the extensive logistical support provided by the Instituto Antartico Chileno (INACH) during two field campaigns to the Antarctic Peninsula. This manuscript is based on rocks provided by the British Antarctic Survey and the Polar Rock Repository with support from the National Science Foundation, under Cooperative Agreement OPP-1643713. Supportwas provided by the staff and laboratories of the Isotope Geochemistry Group of the University of Geneva. This Project was funded by the Chilean Antarctic Institute Project RT-06-14 and the University of Geneva. J.B. holds a PhD-scholarship from CONICYT-Chile.</t>
  </si>
  <si>
    <t>0024-4937</t>
  </si>
  <si>
    <t>1872-6143</t>
  </si>
  <si>
    <t>Lithos</t>
  </si>
  <si>
    <t>10.1016/j.lithos.2021.106013</t>
  </si>
  <si>
    <t>RB6ZE</t>
  </si>
  <si>
    <t>WOS:000632257200004</t>
  </si>
  <si>
    <t>Zhang, X; Cvetkovska, M; Morgan-Kiss, R; Hüner, NPA; Smith, DR</t>
  </si>
  <si>
    <t>Zhang, Xi; Cvetkovska, Marina; Morgan-Kiss, Rachael; Huner, Norman P. A.; Smith, David Roy</t>
  </si>
  <si>
    <t>Draft genome sequence of the Antarctic green alga Chlamydomonas sp. UWO241</t>
  </si>
  <si>
    <t>ICE-BINDING PROTEINS; GENE DUPLICATION; EVOLUTION; ADAPTATION; IDENTIFICATION; DIVERSITY; PLATFORM; PROGRAM; TOOL; CHLOROPHYCEAE</t>
  </si>
  <si>
    <t>Antarctica is home to an assortment of psychrophilic algae, which have evolved various survival strategies for coping with their frigid environments. Here, we explore Antarctic psychrophily by examining the similar to 212 Mb draft nuclear genome of the green alga Chlamydomonas sp. UWO241, which resides within the water column of a perennially ice-covered, hypersaline lake. Like certain other Antarctic algae, UWO241 encodes a large number (&gt;= 37) of ice-binding proteins, putatively originating from horizontal gene transfer. Even more striking, UWO241 harbors hundreds of highly similar duplicated genes involved in diverse cellular processes, some of which we argue are aiding its survival in the Antarctic via gene dosage. Gene and partial gene duplication appear to be an ongoing phenomenon within UWO241, one which might be mediated by retrotransposons. Ultimately, we consider how such a process could be associated with adaptation to extreme environments but explore potential non-adaptive hypotheses as well.</t>
  </si>
  <si>
    <t>[Zhang, Xi; Huner, Norman P. A.; Smith, David Roy] Univ Western Ontario, Dept Biol, London, ON N6A 5B7, Canada; [Cvetkovska, Marina] Univ Ottawa, Dept Biol, Ottawa, ON K1N 6N5, Canada; [Morgan-Kiss, Rachael] Miami Univ, Dept Microbiol, Oxford, OH 45056 USA</t>
  </si>
  <si>
    <t>Western University (University of Western Ontario); University of Ottawa; University System of Ohio; Miami University</t>
  </si>
  <si>
    <t>Hüner, NPA; Smith, DR (corresponding author), Univ Western Ontario, Dept Biol, London, ON N6A 5B7, Canada.</t>
  </si>
  <si>
    <t>nhuner@uwo.ca; dsmit242@uwo.ca</t>
  </si>
  <si>
    <t>Zhang, Xi/GLU-4807-2022; Smith, David Roy/L-7910-2015</t>
  </si>
  <si>
    <t>Zhang, Xi/0000-0003-2821-9066; Smith, David Roy/0000-0001-9560-5210; Cvetkovska, Marina/0000-0002-7080-8203</t>
  </si>
  <si>
    <t>Natural Sciences and Engineering Research Council of Canada (NSERC)</t>
  </si>
  <si>
    <t>Natural Sciences and Engineering Research Council of Canada (NSERC)(Natural Sciences and Engineering Research Council of Canada (NSERC))</t>
  </si>
  <si>
    <t>MC, NPAH, and DRS are supported by Discovery Grants from the Natural Sciences and Engineering Research Council of Canada (NSERC). We thank Bojian Zhong and JinlaiMiao for sharing the ICE-L genome sequences, as well as Rory Craig for useful discussion on TE curation. We also thank Yining Hu for her assistance with computer programming.</t>
  </si>
  <si>
    <t>10.1016/j.isci.2021.102084</t>
  </si>
  <si>
    <t>QL7MH</t>
  </si>
  <si>
    <t>WOS:000621266700059</t>
  </si>
  <si>
    <t>Cooper, A; Turney, CSM; Palmer, J; Hogg, A; McGlone, M; Wilmshurst, J; Lorrey, AM; Heaton, TJ; Russell, JM; McCracken, K; Anet, JG; Rozanov, E; Friedel, M; Suter, I; Peter, T; Muscheler, R; Adolphi, F; Dosseto, A; Faith, JT; Fenwick, P; Fogwill, CJ; Hughen, K; Lipson, M; Liu, JB; Nowaczyk, N; Rainsley, E; Ramsey, CB; Sebastianelli, P; Souilmi, Y; Stevenson, J; Thomas, Z; Tobler, R; Zech, R</t>
  </si>
  <si>
    <t>Cooper, Alan; Turney, Chris S. M.; Palmer, Jonathan; Hogg, Alan; McGlone, Matt; Wilmshurst, Janet; Lorrey, Andrew M.; Heaton, Timothy J.; Russell, James M.; McCracken, Ken; Anet, Julien G.; Rozanov, Eugene; Friedel, Marina; Suter, Ivo; Peter, Thomas; Muscheler, Raimund; Adolphi, Florian; Dosseto, Anthony; Faith, J. Tyler; Fenwick, Pavla; Fogwill, Christopher J.; Hughen, Konrad; Lipson, Mathew; Liu, Jiabo; Nowaczyk, Norbert; Rainsley, Eleanor; Bronk Ramsey, Christopher; Sebastianelli, Paolo; Souilmi, Yassine; Stevenson, Janelle; Thomas, Zoe; Tobler, Raymond; Zech, Roland</t>
  </si>
  <si>
    <t>A global environmental crisis 42,000 years ago</t>
  </si>
  <si>
    <t>Geological archives record multiple reversals of Earth's magnetic poles, but the global impacts of these events, if any, remain unclear. Uncertain radiocarbon calibration has limited investigation of the potential effects of the last major magnetic inversion, known as the Laschamps Excursion [41 to 42 thousand years ago (ka)]. We use ancient New Zealand kauri trees (Agathis australis) to develop a detailed record of atmospheric radiocarbon levels across the Laschamps Excursion. We precisely characterize the geomagnetic reversal and perform global chemistry-climate modeling and detailed radiocarbon dating of paleoenvironmental records to investigate impacts. We find that geomagnetic field minima similar to 42 ka, in combination with Grand Solar Minima, caused substantial changes in atmospheric ozone concentration and circulation, driving synchronous global climate shifts that caused major environmental changes, extinction events, and transformations in the archaeological record.</t>
  </si>
  <si>
    <t>[Cooper, Alan] South Australian Museum, Adelaide, SA 5000, Australia; [Cooper, Alan] BlueSky Genet, POB 287, Adelaide, SA 5137, Australia; [Turney, Chris S. M.; Palmer, Jonathan; Thomas, Zoe] Univ New South Wales, Chronos, Sydney, NSW 2052, Australia; [Rozanov, Eugene] Univ New South Wales, Carbon Cycle Facil, Sydney, NSW 2052, Australia; [Rozanov, Eugene] Univ New South Wales, Earth &amp; Sustainabil Sci Res Ctr, Sydney, NSW 2052, Australia; [Hogg, Alan] Univ Waikato, Radiocarbon Dating Lab, Hamilton 3240, New Zealand; [McGlone, Matt; Wilmshurst, Janet] Landcare Res, POB 69040, Lincoln, New Zealand; [Wilmshurst, Janet] Univ Auckland, Sch Environm, Private Bag 92019, Auckland 1142, New Zealand; [Lorrey, Andrew M.] Natl Inst Water &amp; Atmospher Res Ltd, Auckland 1010, New Zealand; [Heaton, Timothy J.] Univ Sheffield, Sch Math &amp; Stat, Sheffield S3 7RH, S Yorkshire, England; [Russell, James M.] Brown Univ, Dept Geol Sci, Providence, RI 02912 USA; [McCracken, Ken] Univ New South Wales, Sydney, NSW 2052, Australia; [Anet, Julien G.] Zurich Univ Appl Sci, Ctr Aviat, CH-8401 Winterthur, Switzerland; [Rozanov, Eugene; Friedel, Marina; Peter, Thomas] Swiss Fed Inst Technol, Inst Atmospher &amp; Climat Sci, CH-8006 Zurich, Switzerland; [Rozanov, Eugene] Phys Meteorol Observat Davos &amp; World Radiat Ctr, CH-7260 Davos, Switzerland; [Rozanov, Eugene] St Petersburg State Univ, Dept Phys Earth, Fac Phys, St Petersburg 198504, Russia; [Suter, Ivo] Swiss Fed Labs Mat Sci &amp; Technol Empa, CH-8600 Dubendorf, Switzerland; [Muscheler, Raimund] Lund Univ, Dept Geol, Quaternary Sci, S-22362 Lund, Sweden; [Adolphi, Florian] Helmholtz Ctr Polar &amp; Marine Res, Alfred Wegener Inst, D-27570 Bremerhaven, Germany; [Dosseto, Anthony] Univ Wollongong, Sch Earth Atmospher &amp; Life Sci, Wollongong Isotope Geochronol Lab, Wollongong, NSW 2522, Australia; [Faith, J. Tyler] Univ Utah, Nat Hist Museum Utah, Salt Lake City, UT 84108 USA; [Faith, J. Tyler] Univ Utah, Dept Anthropol, Salt Lake City, UT 84108 USA; [Fenwick, Pavla] Gondwana Tree Ring Lab, POB 14, Canterbury 7546, New Zealand; [Fogwill, Christopher J.; Rainsley, Eleanor] Univ Keele, Sch Geog Geol &amp; Environm, Keele ST5 5BG, Staffs, England; [Hughen, Konrad] Woods Hole Oceanog Inst, Dept Marine Chem &amp; Geochem, Woods Hole, MA 02543 USA; [Lipson, Mathew] Univ New South Wales, Ctr Excellence Climate Syst Sci, Sydney, NSW 2052, Australia; [Liu, Jiabo] Southern Univ Sci &amp; Technol, Dept Ocean Sci &amp; Engn, Shenzhen 518055, Peoples R China; [Nowaczyk, Norbert] Helmholtz Ctr Potsdam, GFZ German Res Ctr Geosci, Sect 4-3, D-14473 Potsdam, Germany; [Bronk Ramsey, Christopher] Univ Oxford, Sch Archaeol, Res Lab Archaeol &amp; Hist Art, Oxford OX1 3TG, England; [Sebastianelli, Paolo] Natl Univ Cordoba, Fac Math Astron &amp; Phys FAMAF, X5000HUA, Cordoba, Argentina; [Souilmi, Yassine; Tobler, Raymond] Univ Adelaide, Australian Ctr Ancient DNA, Adelaide, SA 5000, Australia; [Stevenson, Janelle] ANU Coll Asia &amp; Pacific, Sch Culture Hist &amp; Language, Archaeol &amp; Nat Hist, Canberra, ACT 2601, Australia; [Stevenson, Janelle] Australian Natl Univ, Australia ARC Ctr Excellence Australian Biodivers, Canberra, ACT 2601, Australia; [Zech, Roland] Friedrich Schiller Univ Jena, Inst Geog, D-07743 Jena, Germany</t>
  </si>
  <si>
    <t>South Australian Museum; University of New South Wales Sydney; University of New South Wales Sydney; University of New South Wales Sydney; University of Waikato; Landcare Research - New Zealand; University of Auckland; National Institute of Water &amp; Atmospheric Research (NIWA) - New Zealand; University of Sheffield; Brown University; University of New South Wales Sydney; Zurich University of Applied Sciences; Swiss Federal Institutes of Technology Domain; ETH Zurich; Saint Petersburg State University; Swiss Federal Institutes of Technology Domain; Swiss Federal Laboratories for Materials Science &amp; Technology (EMPA); Lund University; Helmholtz Association; Alfred Wegener Institute, Helmholtz Centre for Polar &amp; Marine Research; University of Wollongong; Utah System of Higher Education; University of Utah; Utah System of Higher Education; University of Utah; Keele University; Woods Hole Oceanographic Institution; University of New South Wales Sydney; Southern University of Science &amp; Technology; Helmholtz Association; Helmholtz-Center Potsdam GFZ German Research Center for Geosciences; University of Oxford; National University of Cordoba; University of Adelaide; Australian National University; Australian National University; Friedrich Schiller University of Jena</t>
  </si>
  <si>
    <t>Cooper, A (corresponding author), South Australian Museum, Adelaide, SA 5000, Australia.;Cooper, A (corresponding author), BlueSky Genet, POB 287, Adelaide, SA 5137, Australia.;Turney, CSM (corresponding author), Univ New South Wales, Chronos, Sydney, NSW 2052, Australia.</t>
  </si>
  <si>
    <t>alan.cooper@blueskygenetics.com; c.turney@unsw.edu.au</t>
  </si>
  <si>
    <t>Lipson, Mathew/AAP-6977-2021; Heaton, Timothy J/AFJ-8295-2022; Ramsey, Christopher Bronk/AAQ-2227-2021; Heaton, Tim/AAF-5132-2022; Peter, Thomas/B-2529-2018; Faith, J. Tyler/E-7146-2015; Dosseto, Anthony/A-2543-2008; Fogwill, Christopher/HPF-1150-2023; Cooper, Alan/E-8171-2012; Hogg, Alan/M-8427-2014; Palmer, Jonathan/J-7834-2012; Wilmshurst, Janet/C-2209-2009; Turney, Chris/P-8701-2018; Thomas, Zoe/D-1656-2016</t>
  </si>
  <si>
    <t>Heaton, Timothy J/0000-0002-9994-142X; Ramsey, Christopher Bronk/0000-0002-8641-9309; Peter, Thomas/0000-0002-7218-7156; Anet, Julien/0000-0002-2949-1363; Tobler, Raymond/0000-0002-4603-1473; Souilmi, Yassine/0000-0001-7543-4864; Hogg, Alan/0000-0002-4001-9027; Palmer, Jonathan/0000-0002-6665-4483; Stevenson, Janelle/0000-0001-9640-7275; Cooper, Alan/0000-0002-7738-7851; Lorrey, Andrew/0000-0002-3923-3181; Suter, Ivo/0000-0002-8612-4033; Faith, J. Tyler/0000-0002-1101-7161; Friedel, Marina/0000-0001-7739-4691; Wilmshurst, Janet/0000-0002-4474-8569; Fogwill, Christopher/0000-0002-6471-1106; McGlone, Matt/0000-0002-8130-5724; Sebastianelli, Paolo/0000-0002-5729-7509; Turney, Chris/0000-0001-6733-0993; Thomas, Zoe/0000-0002-2323-4366</t>
  </si>
  <si>
    <t>Australian Research Council for Discovery Grant; University of Adelaide Environment Institute; Royal Society of New Zealand Marsden Fund [MFP-NIW1803]; NIWA; Leverhulme Trust [RF-2019-140\9]; Russian Science Foundation [20-67-46016]; Swiss National Science Foundation Ambizione grant [PZ00P2_180043]; Laureate Fellowship support [DP170104665, FL140100260, FL100100195]; University of Waikato; Australasian Antarctic Expedition; Tiama; Russian Science Foundation [20-67-46016] Funding Source: Russian Science Foundation; Swiss National Science Foundation (SNF) [PZ00P2_180043] Funding Source: Swiss National Science Foundation (SNF)</t>
  </si>
  <si>
    <t>Australian Research Council for Discovery Grant(Australian Research Council); University of Adelaide Environment Institute; Royal Society of New Zealand Marsden Fund(Royal Society of New ZealandMarsden Fund (NZ)); NIWA; Leverhulme Trust(Leverhulme Trust); Russian Science Foundation(Russian Science Foundation (RSF)); Swiss National Science Foundation Ambizione grant(Swiss National Science Foundation (SNSF)); Laureate Fellowship support; University of Waikato; Australasian Antarctic Expedition; Tiama; Russian Science Foundation(Russian Science Foundation (RSF)); Swiss National Science Foundation (SNF)</t>
  </si>
  <si>
    <t>We thank the Australian Research Council for Discovery Grant and Laureate Fellowship support [DP170104665 and FL140100260 (A.C.) and FL100100195 (C.S.M.T.)], the University of Adelaide Environment Institute, the Australasian Antarctic Expedition 2013-2014 and The Tiama, the Royal Society of New Zealand Marsden Fund (contract MFP-NIW1803), NIWA, the University of Waikato, the Leverhulme Trust (RF-2019-140\9), the Russian Science Foundation (20-67-46016), and a Swiss National Science Foundation Ambizione grant (PZ00P2_180043).</t>
  </si>
  <si>
    <t>10.1126/science.abb8677</t>
  </si>
  <si>
    <t>QJ4MB</t>
  </si>
  <si>
    <t>WOS:000619664700050</t>
  </si>
  <si>
    <t>Garcia, J; Schmidt, JE; Gidekel, M; Gaudin, ACM</t>
  </si>
  <si>
    <t>Garcia, Joshua; Schmidt, Jennifer E.; Gidekel, Manuel; Gaudin, Amelie C. M.</t>
  </si>
  <si>
    <t>Impact of an antarctic rhizobacterium on root traits and productivity of soybean (Glycine max L.)</t>
  </si>
  <si>
    <t>JOURNAL OF PLANT NUTRITION</t>
  </si>
  <si>
    <t>Antarctica; plant-growth-promoting-rhizobacteria (PGPR); rhizobacteria; rhizosphere; roots; soybean (Glycine max L; )</t>
  </si>
  <si>
    <t>Inoculation of crop plants with beneficial root-associated microorganisms may be a useful strategy for sustainable intensification of agriculture. In recent years, interest has grown in using rhizobacteria from extreme environments to develop high-performing inoculants, as some strains may possess plant-growth promoting traits and increase host fitness under abiotic stress. Only two vascular plant species - Antarctic hair grass (Deschampsia antarctica) and Antarctic pearlwort (Colobanthus quitensis) - are currently found on the Antarctic continent, one of the most extreme environments on Earth. Few studies have examined the rhizosphere microorganisms associated with these two plants and their potential contribution to crop nutrition, productivity, and stress tolerance. The present study assesses the potential of a novel rhizobacterium extracted from the rhizosphere of Deschampsia antarctica, Pseudomonas sp. ATCC PTA-122608, to improve growth of soybean (Glycine max L.) and investigates potential underlying mechanisms. Soybean plants were grown for 118 days in a glasshouse study and plant growth, nutrition, and root systems were analyzed. Inoculation with both the bacterial treatment and sometimes the kaolin substrate increased root biomass, the production of medium-diameter and coarse roots, nodulation by Bradyrhizobium japonicum, total biomass production, and C/N accumulation. These results indicate that ATCC PTA-122608 inoculation with kaolin substrate can promote soybean nutrition and productivity, potentially via modification of root system architecture and enhancement of the soybean-rhizobia symbiosis. Broadly, our work demonstrates the potential for rhizosphere microorganisms from extreme environments to promote the growth of economically and nutritionally important crops by influencing plant root architectural traits and plant-microbe interactions.</t>
  </si>
  <si>
    <t>[Garcia, Joshua; Schmidt, Jennifer E.; Gaudin, Amelie C. M.] Univ Calif Davis, Dept Plant Sci, 387 N Quad Ave, Davis, CA 95616 USA; [Garcia, Joshua] Cornell Univ, Sch Integrat Plant Sci, Ithaca, NY USA; [Gidekel, Manuel] Autonomous Univ Chile, Santiago, Chile</t>
  </si>
  <si>
    <t>University of California System; University of California Davis; Cornell University; Universidad Autonoma de Chile</t>
  </si>
  <si>
    <t>Gaudin, ACM (corresponding author), Univ Calif Davis, Dept Plant Sci, 387 N Quad Ave, Davis, CA 95616 USA.</t>
  </si>
  <si>
    <t>agaudin@ucdavis.edu</t>
  </si>
  <si>
    <t>Gidekel, Manuel/0000-0002-6770-4630</t>
  </si>
  <si>
    <t>McNair Scholarship Program; US Department of Agriculture (USDA) National Institute of Food and Agriculture, Agricultural Experiment Station Project [CA-D-PLS-2332-H]</t>
  </si>
  <si>
    <t>McNair Scholarship Program; US Department of Agriculture (USDA) National Institute of Food and Agriculture, Agricultural Experiment Station Project</t>
  </si>
  <si>
    <t>This work was supported by a McNair Scholarship Program to JG and by Uxmal gift funds and US Department of Agriculture (USDA) National Institute of Food and Agriculture, Agricultural Experiment Station Project CA-D-PLS-2332-H to A.G.</t>
  </si>
  <si>
    <t>0190-4167</t>
  </si>
  <si>
    <t>1532-4087</t>
  </si>
  <si>
    <t>J PLANT NUTR</t>
  </si>
  <si>
    <t>J. Plant Nutr.</t>
  </si>
  <si>
    <t>JUL 21</t>
  </si>
  <si>
    <t>10.1080/01904167.2021.1884704</t>
  </si>
  <si>
    <t>SE8VD</t>
  </si>
  <si>
    <t>WOS:000623868600001</t>
  </si>
  <si>
    <t>Schiavon, L; Dulière, V; La Mesa, M; Marino, IAM; Codogno, G; Boscari, E; Riginella, E; Battistotti, A; Lucassen, M; Zane, L; Papetti, C</t>
  </si>
  <si>
    <t>Schiavon, Luca; Duliere, Valerie; La Mesa, Mario; Marino, Ilaria Anna Maria; Codogno, Giuditta; Boscari, Elisa; Riginella, Emilio; Battistotti, Alessandra; Lucassen, Magnus; Zane, Lorenzo; Papetti, Chiara</t>
  </si>
  <si>
    <t>Species distribution, hybridization and connectivity in the genus Chionodraco: Unveiling unknown icefish diversity in antarctica</t>
  </si>
  <si>
    <t>DIVERSITY AND DISTRIBUTIONS</t>
  </si>
  <si>
    <t>Antarctic continental shelf; clustering analysis; connectivity; gene flow; hybridization; Lagrangian modelling; microsatellite; species distribution; Weddell Sea</t>
  </si>
  <si>
    <t>CHAENOCEPHALUS-ACERATUS; SOUTH-SHETLAND; PERCIFORMES; FISHES; NOTOTHENIOIDEI; MITOCHONDRIAL; INDIVIDUALS; SOFTWARE; ALLELES; HYBRIDS</t>
  </si>
  <si>
    <t>Aim The species of the genus Chionodraco (Notothenioidei) are the most abundant icefish on the continental shelf of the Weddell Sea. While previous studies indicated that only Chionodraco hamatus and Chionodraco myersi inhabit the Weddell Sea, the third Chionodraco species, Chionodraco rastrospinosus, was recently sampled in the area. As C. rastrospinosus is supposed to be found only at the Antarctic Peninsula and Scotia Arc, this study aimed at confirming the species classification of C. rastrospinosus by molecular methods and identifying its putative source population. Given the documented evidence of introgression among the three species, we tested whether the newly found C. rastrospinosus shared any genetic variability with the other Chionodraco species. To explain the pattern of distribution of the Chionodraco species, we aimed at estimating the hydrodynamic connectivity between the Antarctic Peninsula and the Weddell Sea. Location Antarctic Peninsula, southern Scotia Arc and the south-eastern Weddell Sea. Methods We genotyped 19 microsatellites and sequenced the mitochondrial D-loop for 560 Chionodraco individuals. We simulated the dispersal of more than 3 million drifters (Lagrangian model). Results The molecular analyses support the presence of C. rastrospinosus in the Weddell Sea and its homogeneity with C. rastrospinosus from the Antarctic Peninsula. Bayesian clustering identifies three putative hybrids among C. rastrospinosus and the other congenerics. Lagrangian simulations do not support connectivity driven by the oceanographic features of the Antarctic Peninsula and Weddell Sea via passive larval dispersal only. Main conclusions This study documents, for the first time, the presence of C. rastrospinosus in the Weddell Sea unveiling more biodiversity than previously known in this region. The sympatry of the three Chionodraco species explains the occurrence of occasional, ongoing events of hybridization in the genus. Alternative possible hypotheses need to be tested in future studies about the mechanisms maintaining the interspecific connectivity in Chionodraco spp.</t>
  </si>
  <si>
    <t>[Schiavon, Luca; Marino, Ilaria Anna Maria; Codogno, Giuditta; Boscari, Elisa; Battistotti, Alessandra; Zane, Lorenzo; Papetti, Chiara] Univ Padua, Dept Biol, Via G Colombo 3, I-35121 Padua, Italy; [Duliere, Valerie] Royal Belgian Inst Nat Sci, Brussels, Belgium; [La Mesa, Mario] CNR, Inst Polar Sci ISP, Bologna, Italy; [Marino, Ilaria Anna Maria; Boscari, Elisa; Zane, Lorenzo; Papetti, Chiara] Consorzio Nazl Interuniv Sci Mare CoNISMa, Rome, Italy; [Riginella, Emilio; Papetti, Chiara] Zool Stn Anton Dohrn, Naples, Italy; [Lucassen, Magnus] Helmholtz Ctr Polar &amp; Marine Res, Alfred Wegener Inst, Bremerhaven, Germany</t>
  </si>
  <si>
    <t>University of Padua; Royal Belgian Institute of Natural Sciences; Consiglio Nazionale delle Ricerche (CNR); Istituto di Scienze Polari (ISP-CNR); CoNISMa; Stazione Zoologica Anton Dohrn di Napoli; Helmholtz Association; Alfred Wegener Institute, Helmholtz Centre for Polar &amp; Marine Research</t>
  </si>
  <si>
    <t>Zane, L (corresponding author), Univ Padua, Dept Biol, Via G Colombo 3, I-35121 Padua, Italy.</t>
  </si>
  <si>
    <t>lorenzo.zane@unipd.it</t>
  </si>
  <si>
    <t>Lucassen, Magnus/ABA-8396-2021; Marino, Ilaria/JFK-4053-2023; Lucassen, Magnus/E-8433-2011; Zane, Lorenzo/G-6249-2010; Riginella, Emilio/Q-2987-2019</t>
  </si>
  <si>
    <t>Lucassen, Magnus/0000-0003-4276-4781; Zane, Lorenzo/0000-0002-6963-2132; Riginella, Emilio/0000-0002-1442-8310; Schiavon, Luca/0000-0003-4298-8515; Papetti, Chiara/0000-0002-4567-459X</t>
  </si>
  <si>
    <t>Universita degli Studi di Padova [164793]; European Marie Curie project Polarexpress [622320]; Italian National Programme of Antarctic Research (PNRA) [2016_00307]</t>
  </si>
  <si>
    <t>Universita degli Studi di Padova; European Marie Curie project Polarexpress(European Union (EU)Marie Curie Actions); Italian National Programme of Antarctic Research (PNRA)</t>
  </si>
  <si>
    <t>Universita degli Studi di Padova, Grant/Award Number: 164793; European Marie Curie project Polarexpress, Grant/Award Number: 622320; Italian National Programme of Antarctic Research (PNRA), Grant/Award Number: 2016_00307</t>
  </si>
  <si>
    <t>1366-9516</t>
  </si>
  <si>
    <t>1472-4642</t>
  </si>
  <si>
    <t>DIVERS DISTRIB</t>
  </si>
  <si>
    <t>Divers. Distrib.</t>
  </si>
  <si>
    <t>10.1111/ddi.13249</t>
  </si>
  <si>
    <t>RN9JD</t>
  </si>
  <si>
    <t>WOS:000619680700001</t>
  </si>
  <si>
    <t>Gorham, PW; Ludwig, A; Deaconu, C; Cao, P; Allison, P; Banerjee, O; Batten, L; Bhattacharya, D; Beatty, JJ; Belov, K; Binns, WR; Bugaev, V; Chen, CH; Chen, P; Chen, Y; Clem, JM; Cremonesi, L; Dailey, B; Dowkontt, PF; Fox, BD; Gordon, JWH; Hast, C; Hill, B; Hsu, SY; Huang, JJ; Hughes, K; Hupe, R; Israel, MH; Liu, TC; Macchiarulo, L; Matsuno, S; McBride, K; Miki, C; Nam, J; Naudet, CJ; Nichol, RJ; Novikov, A; Oberla, E; Olmedo, M; Prechelt, R; Rauch, BF; Roberts, JM; Romero-Wolf, A; Rotter, B; Russell, JW; Saltzberg, D; Seckel, D; Schoorlemmer, H; Shiao, J; Stafford, S; Stockham, J; Stockham, M; Strutt, B; Sutherland, MS; Varner, GS; Vieregg, AG; Wang, SH; Wissel, SA</t>
  </si>
  <si>
    <t>Gorham, P. W.; Ludwig, A.; Deaconu, C.; Cao, P.; Allison, P.; Banerjee, O.; Batten, L.; Bhattacharya, D.; Beatty, J. J.; Belov, K.; Binns, W. R.; Bugaev, V; Chen, C. H.; Chen, P.; Chen, Y.; Clem, J. M.; Cremonesi, L.; Dailey, B.; Dowkontt, P. F.; Fox, B. D.; Gordon, J. W. H.; Hast, C.; Hill, B.; Hsu, S. Y.; Huang, J. J.; Hughes, K.; Hupe, R.; Israel, M. H.; Liu, T. C.; Macchiarulo, L.; Matsuno, S.; McBride, K.; Miki, C.; Nam, J.; Naudet, C. J.; Nichol, R. J.; Novikov, A.; Oberla, E.; Olmedo, M.; Prechelt, R.; Rauch, B. F.; Roberts, J. M.; Romero-Wolf, A.; Rotter, B.; Russell, J. W.; Saltzberg, D.; Seckel, D.; Schoorlemmer, H.; Shiao, J.; Stafford, S.; Stockham, J.; Stockham, M.; Strutt, B.; Sutherland, M. S.; Varner, G. S.; Vieregg, A. G.; Wang, S. H.; Wissel, S. A.</t>
  </si>
  <si>
    <t>Unusual Near-Horizon Cosmic-Ray-like Events Observed by ANITA-IV</t>
  </si>
  <si>
    <t>PHYSICAL REVIEW LETTERS</t>
  </si>
  <si>
    <t>ANITA's fourth long-duration balloon flight in 2016 detected 29 cosmic-ray (CR)-like events on a background of 0.37(-0.17)(+0.27) anthropogenic events. CRs arc mainly seen in reflection off the Antarctic ice sheets, creating a phase-inverted waveform polarity. However, four of the below-horizon CR-like events show anomalous noninverted polarity, a p = 5.3 x 10(-4) chance if due to background. All anomalous events are from locations near the horizon; ANITA-IV observed no steeply upcoming anomalous events similar to the two such events seen in prior flights.</t>
  </si>
  <si>
    <t>[Gorham, P. W.; Fox, B. D.; Hill, B.; Macchiarulo, L.; Matsuno, S.; Miki, C.; Olmedo, M.; Prechelt, R.; Roberts, J. M.; Rotter, B.; Russell, J. W.; Varner, G. S.] Univ Hawaii, Dept Phys &amp; Astron, Manoa, HI 96822 USA; [Ludwig, A.; Deaconu, C.; Oberla, E.; Sutherland, M. S.; Vieregg, A. G.] Univ Chicago, Kavli Inst Cosmol Phys, Enrico Fermi Inst, Dept Phys, Chicago, IL 60637 USA; [Cao, P.; Clem, J. M.; Seckel, D.] Univ Delaware, Dept Phys, Newark, DE 19716 USA; [Allison, P.; Banerjee, O.; Beatty, J. J.; Dailey, B.; Gordon, J. W. H.; Hughes, K.; Hupe, R.; McBride, K.; Stafford, S.] Ohio State Univ, Ctr Cosmol &amp; AstroParticle Phys, Dept Phys, Colwnbus, OH 43210 USA; [Batten, L.; Cremonesi, L.; Nichol, R. J.] UCL, Dept Phys &amp; Astron, London WC1E 6BT, England; [Bhattacharya, D.] George Washington Univ, Dept Math, Washington, DC 20052 USA; [Belov, K.; Naudet, C. J.; Romero-Wolf, A.] CALTECH, Jet Prop Lab, Pasadena, CA 91109 USA; [Binns, W. R.; Bugaev, V; Dowkontt, P. F.; Israel, M. H.; Rauch, B. F.] Washington Univ, Dept Phys, St Louis, MO 63130 USA; [Binns, W. R.; Bugaev, V; Dowkontt, P. F.; Israel, M. H.; Rauch, B. F.] Washington Univ, McDonnell Ctr Space Sci, St Louis, MO 63130 USA; [Chen, C. H.; Chen, P.; Chen, Y.; Hsu, S. Y.; Huang, J. J.; Nam, J.; Shiao, J.; Wang, S. H.] Natl Taiwan Univ, Grad Inst Astrophys, Dept Phys, Taipei 10617, Taiwan; [Chen, C. H.; Chen, P.; Chen, Y.; Hsu, S. Y.; Huang, J. J.; Nam, J.; Shiao, J.; Wang, S. H.] Natl Taiwan Univ, Leung Ctr Cosmol &amp; Particle Astrophys, Taipei 10617, Taiwan; [Hast, C.] SLAC Natl Accelerator Lab, Menlo Pk, CA 94025 USA; [Liu, T. C.] Natl Yang Ming Chiao Tung Univ, Dept Electrophys, Hsinchu 30010, Taiwan; [Novikov, A.; Stockham, J.; Stockham, M.] Univ Kansas, Dept Phys &amp; Astron, Lawrence, KS 66045 USA; [Novikov, A.] Natl Res Nucl Univ, Moscow Engn Phys Inst, Moscow 115409, Russia; [Saltzberg, D.; Strutt, B.] Univ Calif Los Angeles, Dept Phys &amp; Astron, Los Angeles, CA 90095 USA; [Schoorlemmer, H.] Max Planck Inst Kernphys, D-69029 Heidelberg, Germany; [Wissel, S. A.] Penn State Univ, Dept Astron &amp; Astrophys, Dept Phys, University Pk, PA 16801 USA</t>
  </si>
  <si>
    <t>University of Hawaii System; University of Hawaii Manoa; University of Chicago; University of Delaware; University System of Ohio; Ohio State University; University of London; University College London; George Washington University; California Institute of Technology; National Aeronautics &amp; Space Administration (NASA); NASA Jet Propulsion Laboratory (JPL); Washington University (WUSTL); Washington University (WUSTL); National Taiwan University; National Taiwan University; Stanford University; United States Department of Energy (DOE); SLAC National Accelerator Laboratory; National Yang Ming Chiao Tung University; University of Kansas; National Research Nuclear University MEPhI (Moscow Engineering Physics Institute); University of California System; University of California Los Angeles; Max Planck Society; Pennsylvania Commonwealth System of Higher Education (PCSHE); Pennsylvania State University; Pennsylvania State University - University Park</t>
  </si>
  <si>
    <t>Gorham, PW (corresponding author), Univ Hawaii, Dept Phys &amp; Astron, Manoa, HI 96822 USA.</t>
  </si>
  <si>
    <t>Beatty, James/D-9310-2011; Huang, Jian Jang/L-9953-2016; Chen, Pisin/IAO-8769-2023; Nichol, Ryan/C-1645-2008</t>
  </si>
  <si>
    <t>Beatty, James/0000-0003-0481-4952; Chen, Pisin/0000-0001-5251-7210; Nichol, Ryan/0000-0003-0557-0443; Deaconu, Cosmin/0000-0002-4953-6397; Macchiarulo, Luca/0009-0004-1141-0344; Hughes, Kaeli/0000-0002-4551-9581; Allison, Patrick/0000-0001-8141-2653; Gorham, Peter/0000-0002-0923-9363; Romero-Wolf, Andrew/0000-0002-4992-4162; Wissel, Stephanie/0000-0003-0569-6978; Bhattacharya, Debdeep/0000-0001-5171-5506; Cremonesi, Linda/0000-0003-0711-1056; Rotter, Bjorn/0000-0002-7896-8236</t>
  </si>
  <si>
    <t>NASA [NNX15AC24G]; Kavli Institute for Cosmological Physics at the University of Chicago; Cosmology and Astroparticle Student and Postdoc Exchange Network (CASPEN); Cal Poly Frost Fund; CSU Research, Scholarship, and Creative Activity (RSCA) Grant Program; Leverhulme Trust; Taiwan's Ministry of Science and Technology (MOST) [106-2119-M-002-011]; NASA [809081, NNX15AC24G] Funding Source: Federal RePORTER; STFC [ST/F002335/1] Funding Source: UKRI</t>
  </si>
  <si>
    <t>NASA(National Aeronautics &amp; Space Administration (NASA)); Kavli Institute for Cosmological Physics at the University of Chicago(University of Chicago); Cosmology and Astroparticle Student and Postdoc Exchange Network (CASPEN); Cal Poly Frost Fund; CSU Research, Scholarship, and Creative Activity (RSCA) Grant Program; Leverhulme Trust(Leverhulme Trust); Taiwan's Ministry of Science and Technology (MOST); NASA(National Aeronautics &amp; Space Administration (NASA)); STFC(UK Research &amp; Innovation (UKRI)Science &amp; Technology Facilities Council (STFC))</t>
  </si>
  <si>
    <t>ANITA-IV was supported by NASA Grant No. NNX15AC24G and related grants. We thank the staff of the Columbia Scientific Balloon Facility for their generous support. This work was supported by the Kavli Institute for Cosmological Physics at the University of Chicago. Computing resources were provided by the Research Computing Center at the University of Chicago and the Ohio Supercomputing Center at The Ohio State University. O. B. and L. C.'s work was supported by collaborative visits funded by the Cosmology and Astroparticle Student and Postdoc Exchange Network (CASPEN). S. A. W. thanks the Cal Poly Frost Fund and the CSU Research, Scholarship, and Creative Activity (RSCA) Grant Program. The University College London group was also supported by the Leverhulme Trust. The National Taiwan University group is supported by Taiwan's Ministry of Science and Technology (MOST) under its Vanguard Program No. 106-2119-M-002-011.</t>
  </si>
  <si>
    <t>0031-9007</t>
  </si>
  <si>
    <t>1079-7114</t>
  </si>
  <si>
    <t>PHYS REV LETT</t>
  </si>
  <si>
    <t>Phys. Rev. Lett.</t>
  </si>
  <si>
    <t>10.1103/PhysRevLett.126.071103</t>
  </si>
  <si>
    <t>Physics, Multidisciplinary</t>
  </si>
  <si>
    <t>QJ9RZ</t>
  </si>
  <si>
    <t>WOS:000620021300005</t>
  </si>
  <si>
    <t>Gusmao, Luciana C.; Rodriguez, Estefania</t>
  </si>
  <si>
    <t>Two sea anemones (Cnidaria: Anthozoa: Actiniaria) from the Southern Ocean with evidence of a deep-sea, polar lineage of burrowing sea anemones</t>
  </si>
  <si>
    <t>actinostoloidea; Antarctica; burrowers; chitin; sub-Antarctic</t>
  </si>
  <si>
    <t>MULTIPLE SEQUENCE ALIGNMENT; WEDDELL SEA; CLASSIFICATION; GENUS; BIOGEOGRAPHY; FAMILY; CORALLIMORPHARIA; ACTINOSTOLIDAE; EDWARDSIIDAE; PERFORMANCE</t>
  </si>
  <si>
    <t>Hexacorals are important components of macrobenthic communities in the Southern Ocean, dominating Antarctic continental shelves. Most of the 119 sea anemones recorded for the Southern Ocean are endemic (81% and 25% endemic species and genera, respectively, one endemic family) with only two species extending beyond the limits of the Southern Ocean. Over 70% of the 83 genera in the Southern Ocean are monotypic, including half of the generic diversity in superfamily Actinostoloidea, which suggests that Antarctica has been isolated long enough for the evolution of new genera but not for many families to evolve. Here, we describe Chitinactis marmara gen. &amp; sp. nov., a new monotypic actinostoloidean genus from Antarctica diagnosed by its unique bi-layered cuticle on column, hexamerous symmetry, unequal development of younger mesenteries and mesogleal tentacle musculature. We also re-describe and extend the geographic distribution of Scytophorus striatus, another endemic Antarctic species. Based on morphological and molecular data, we establish the phylogenetic position of C. marmara and discuss the implications of the phylogenetic position of S. striatus for the resurrection and circumscription of the family Halcampoididae and the evolution of burrowing sea anemones. Finally, we discuss evidence for an actinostoloidean deep-sea, polar lineage of burrowing sea anemones.</t>
  </si>
  <si>
    <t>[Gusmao, Luciana C.; Rodriguez, Estefania] Amer Museum Nat Hist, Div Invertebrate Zool, Cent Pk West &amp; 79th St, New York, NY 10024 USA</t>
  </si>
  <si>
    <t>Gusmao, LC (corresponding author), Amer Museum Nat Hist, Div Invertebrate Zool, Cent Pk West &amp; 79th St, New York, NY 10024 USA.</t>
  </si>
  <si>
    <t>Lgusmao@amnh.org</t>
  </si>
  <si>
    <t>Christopher C. Davis, The Shelby Cullom Davis Charitable Fund; Pinkerton Foundation; Bezos Family Foundation; Doris Duke Charitable Foundation; Solon E. Summerfield Foundation Inc.; Adolph and Ruth Schnurmacher Foundation; Spanish Comision Interministerial de Ciencia y Tecnologia [ANT97-1533-E, ANT98-1739-E, ANT99-1608-E, REN2003-04236]; National Science Foundation Office of Polar Program [1127582]; Directorate For Geosciences; Office of Polar Programs (OPP) [1127582] Funding Source: National Science Foundation</t>
  </si>
  <si>
    <t>Christopher C. Davis, The Shelby Cullom Davis Charitable Fund; Pinkerton Foundation; Bezos Family Foundation; Doris Duke Charitable Foundation(Doris Duke Charitable Foundation (DDCF)); Solon E. Summerfield Foundation Inc.; Adolph and Ruth Schnurmacher Foundation; Spanish Comision Interministerial de Ciencia y Tecnologia(Consejo Interinstitucional de Ciencia y Tecnologia (CICYT)); National Science Foundation Office of Polar Program(National Science Foundation (NSF)); Directorate For Geosciences; Office of Polar Programs (OPP)(National Science Foundation (NSF)NSF - Directorate for Geosciences (GEO))</t>
  </si>
  <si>
    <t>We give special thanks to Pablo J. Lopez-Gonza ' lez (Universidad de Sevilla, Spain), J. M. Gili (Institut Ciencies del Mar, CMIMA-CSIC, Spain), Prof. W. Arntz (Alfred Wegener Institute [AWI], Germany), J. Gutt (AWI) and Rainer Knust (AWI) for access to material collected during the R/V Polarstern cruises ANT XV/3, ANT XIX/5, ANT XXIII/8, ANT XXIX/9; P. J. Lopez Gonzalez collected specimens of Chitinactis marmara for the first time. We thank the British Antarctic Survey (BAS), particularly H. Griffiths (BAS), for providing access to E. Rodri ' guez in the RRS James Clark Ross JR15005 cruise; we thank R. Waller (University of Maine) for access to the R/V Nathaniel B. Palmer NBP11-03 cruise and M. R. Brugler (University of South Carolina Beaufort) for collecting specimens of Halcampoides and Scytophorus. We thank Vanessa van Deusen (San Diego State University) for assistance with the collection of molecular data during her internship at the American Museum of Natural History (AMNH) and Lily Berniker (AMNH) for the accession of material and loans. Loan of specimens from the JR cruise was facilitated by H. Griffiths (BAS); M. Lowe assisited with depositing material at the Natural History Museum (London, UK). Cherie Qu and Sadie Lee Burke from the Science Research Mentoring Program/American Museum of Natural History (SRMP/AMNH) assisted in the lab. Support for the Science Research Mentoring Program (SRMP) is provided by Christopher C. Davis, The Shelby Cullom Davis Charitable Fund; The Pinkerton Foundation; the Bezos Family Foundation; the Doris Duke Charitable Foundation; the Solon E. Summerfield Foundation; Inc.; and the Adolph and Ruth Schnurmacher Foundation. The authors also thank Janine Luke for the support of ER's research programme and LCG. We extend our acknowledgments to the officers, crew and scientists aboard the R/V Polarstern, Nathaniel B. Palmer and the RRS James Clark Ross during the ANT XV/3, ANT XIX/5, ANT XXIII/8, ANT XXIX/9 and JR15005 cruises of the SCAR Programs EASIZ (Coastal and Shelf Ecology of the Antarctic Sea-Ice Zone), EBA (Evolution Biology Antarctica), FOS (Filchner Outflow System) and SO-AntEco (South Orkneys-State of the Antarctic Ecosystem), respectively. Partial funding for this project came from the Spanish Comisio ' n Interministerial de Ciencia y Tecnologi ' a projects: ANT97-1533-E, ANT98-1739-E, ANT99-1608-E, REN2003-04236. Partial funding for the NBP11-03 cruise was provided under the National Science Foundation Office of Polar Program grants OPP #1127582 (to R. Waller and L. Robinson).</t>
  </si>
  <si>
    <t>10.1093/zoolinnean/zlaa176</t>
  </si>
  <si>
    <t>YL1UZ</t>
  </si>
  <si>
    <t>WOS:000745685500011</t>
  </si>
  <si>
    <t>Shrestha, P; Han, SR; Lee, JH; Park, H; Oh, TJ</t>
  </si>
  <si>
    <t>Shrestha, Prasansah; Han, So-Ra; Lee, Jun Hyuck; Park, Hyun; Oh, Tae-Jin</t>
  </si>
  <si>
    <t>A computational approach to identify CRISPR-Cas loci in the complete genomes of the lichen-associated Burkholderia sp. PAMC28687 and PAMC26561</t>
  </si>
  <si>
    <t>GENOMICS</t>
  </si>
  <si>
    <t>CRISPR-Cas classification; Burkholderia PAMC26561; Burkholderia PAMC28687; Lichen</t>
  </si>
  <si>
    <t>IMMUNE-SYSTEM; BACTERIA; SEQUENCE; CLASSIFICATION; EVOLUTION</t>
  </si>
  <si>
    <t>The genus Burkholderia and its strains PAMC28687 and PAMC26561 are lichen-associated bacteria isolated from the Antarctic region. Our study is the first to provide the genome sequence of the Burkholderia sp. PAMC26561 strain. The genus Burkholderia includes bacteria that are pathogenic to plants, animals, and humans. Computational analysis of complete genomes of strains from the uncategorized Burkholderia group was performed using the NCBI databank and PATRIC (for genome sequence information) and CRISPRCasFinder (online and offline versions) software in order to predict the CRISPR loci and Cas genes. The RNAfold Webserver online software was used to predict RNA secondary structures. Our study showed that strain MSMB0852 (plasmid) possesses CRISPR-Cas system Class 2, and two lichen-associated strains, PAMC28687 (chromosome I) and PAMC26561 (chromosome I), possess CRISPR-Cas system Class 1. Additionally, only the two lichen-associated strains possess a variety of Cas genes.</t>
  </si>
  <si>
    <t>[Shrestha, Prasansah; Han, So-Ra; Oh, Tae-Jin] SunMoon Univ, Grad Sch, Dept Life Sci &amp; Biochem Engn, Asan 31460, South Korea; [Lee, Jun Hyuck] Korea Polar Res Inst, Unit Res Pract Applicat, Incheon 21990, South Korea; [Lee, Jun Hyuck] Univ Sci &amp; Technol, Dept Polar Sci, Incheon 21990, South Korea; [Park, Hyun] Korea Univ, Div Biotechnol, Coll Life Sci &amp; Biotechnol, Seoul 02841, South Korea; [Oh, Tae-Jin] Genome Based BioIT Convergence Inst, Asan 31460, South Korea; [Oh, Tae-Jin] SunMoon Univ, Dept Pharmaceut Engn &amp; Biotechnol, Asan 31460, South Korea</t>
  </si>
  <si>
    <t>Sun Moon University; Korea Polar Research Institute (KOPRI); Korea University; Sun Moon University</t>
  </si>
  <si>
    <t>Park, H (corresponding author), Korea Univ, Div Biotechnol, Coll Life Sci &amp; Biotechnol, Seoul 02841, South Korea.;Oh, TJ (corresponding author), SunMoon Univ, Dept Pharmaceut Engn &amp; Biotechnol, Asan 31460, South Korea.</t>
  </si>
  <si>
    <t>hpark@korea.co.kr; tjoh3782@sunmoon.ac.kr</t>
  </si>
  <si>
    <t>Park, Hyun/0000-0002-8055-2010; Shrestha, Prasansah/0000-0002-7258-1380</t>
  </si>
  <si>
    <t>0888-7543</t>
  </si>
  <si>
    <t>1089-8646</t>
  </si>
  <si>
    <t>Genomics</t>
  </si>
  <si>
    <t>10.1016/j.ygeno.2021.01.019</t>
  </si>
  <si>
    <t>Biotechnology &amp; Applied Microbiology; Genetics &amp; Heredity</t>
  </si>
  <si>
    <t>SR7XQ</t>
  </si>
  <si>
    <t>WOS:000661260200003</t>
  </si>
  <si>
    <t>Gäbler-Schwarz, S; Hinz, F; Kirst, GO; Uttieri, M; Medlin, LK</t>
  </si>
  <si>
    <t>Gabler-Schwarz, Steffi; Hinz, Friedel; Kirst, Gunter Otto; Uttieri, Marco; Medlin, Linda K.</t>
  </si>
  <si>
    <t>Local environment shapes adaptation of Phaeocystis antarctica to salinity perturbations: Evidence for physiological resilience</t>
  </si>
  <si>
    <t>Ecosystem resilience; Physiological responses; Phaeocystis antarctica; Salinity regimes; Genetic diversity</t>
  </si>
  <si>
    <t>KRILL EUPHAUSIA-SUPERBA; MARINE EUKARYOTIC ALGAE; SEA-ICE ALGAE; SOUTHERN-OCEAN; CHLOROPHYLL FLUORESCENCE; QUATERNARY AMMONIUM; CARBOHYDRATE SOLUTES; DIMETHYLSULFIDE DMS; TERTIARY SULFONIUM; OSMOTIC ADJUSTMENT</t>
  </si>
  <si>
    <t>The Southern Ocean (SO) is a fragile ecosystem as judged by changes in the timing of the advance and retreat of its ice cover. In the SO, the Antarctic Circumpolar Current (ACC) and the near shore gyres (Weddell Sea and Ross Sea) provide local environments with distinct temperature and salinity attributes associated with varying sea ice history. Phaeocystis antarctica is a prymnesiophyte often dominating polar phytoplankton blooms in the (SO) and is a keystone species there because its abundance can have negative effects on higher trophic levels and it can influence air/sea gas exchange involved in DMSP production, Thus, its ability to survive in response to perturbations in the environments may be linked to its genetic diversity within its populations as they move around the SO. Here we apply increased (70 PSU) and decreased (18 PSU) salinity treatments to five genetically different P. antarctica strains isolated from three different water masses to test whether genetic similarity or water mass physical features were more important in determining responses to salinity changes, such as those encountered by inclusion into sea ice brine channels and/or its subsequent melt water in those water masses that have annual ice cover. Strains that were geographically close (isolated from the same water mass), but genetically distinct (ca. 30% similar and from different gene pools as judged by microsatellite (MS) and amplified fragment linked polymorphisms (AFLP) analyses responded similarly to higher and lower salinity regimes, whereas genetically close strains (ca. 95% identical or from the same gene pool) that originated from different water masses and hence different environmental conditions responded differently. Dimethylsulphoniopropionate (DMSP) production in response to these salinity changes were not significantly different between any of the strains/treatments. Considering the presence of highly similar genotypes in ice-free as well as seasonally ice covered sampling sites, the observed phenotypic differences most likely result from rapid local adaptation between both habitat types or a hybridization of isolates from the two gene pools with the resultant genotype for salinity tolerance being that from which the isolate originated, suggesting that the selective effect of seasonal presence or year-round absence of sea ice overrides gene flow between these habitats to adapt the physiology of cells to the environment in a relatively short period of time.</t>
  </si>
  <si>
    <t>[Gabler-Schwarz, Steffi; Hinz, Friedel] Helmholtz Ctr Polar &amp; Marine Res, Alfred Wegener Inst, Handelshafen 12, D-27570 Bremerhaven, Germany; [Kirst, Gunter Otto] Univ Bremen, Dept Marine Bot, FB2, D-28359 Bremen, Germany; [Uttieri, Marco] Stn Zool Anton Dohrn, I-80121 Naples, Italy; [Medlin, Linda K.] Citadel, Marine Biol Assoc UK, Plymouth PL1 2PB, Devon, England</t>
  </si>
  <si>
    <t>Helmholtz Association; Alfred Wegener Institute, Helmholtz Centre for Polar &amp; Marine Research; University of Bremen; Stazione Zoologica Anton Dohrn di Napoli; Marine Biological Association United Kingdom</t>
  </si>
  <si>
    <t>Medlin, LK (corresponding author), Citadel, Marine Biol Assoc UK, Plymouth PL1 2PB, Devon, England.</t>
  </si>
  <si>
    <t>lkm@mba.ac.uk</t>
  </si>
  <si>
    <t>Uttieri, Marco/L-2632-2015</t>
  </si>
  <si>
    <t>Uttieri, Marco/0000-0001-7026-0156; medlin, linda k/0000-0001-6014-8339</t>
  </si>
  <si>
    <t>German Science Foundation (DFG) [ME 1480/2, SM1122/1-2, 131153660]</t>
  </si>
  <si>
    <t>German Science Foundation (DFG)(German Research Foundation (DFG))</t>
  </si>
  <si>
    <t>This research was founded by the German Science Foundation (DFG) through a postgraduate and postdoctoral research fellowship (ME 1480/2, SM1122/1-2, and DFG Project 131153660, 2009-2015). We want to thank E. Notig, N. Hoch, and E. Allhusen for help with PAM setup, S. Murawski for help with Chl a filter processing and Prof. Dr. K. Bischof for offering help and laboratory capacities at University of Bremen (Germany) for the DMSP measurements. We acknowledge the source `The GEBCO_08 Grid, version, 20081212, http://www.gebco.net'.The authors have no conflicts of interest.</t>
  </si>
  <si>
    <t>10.1016/j.jembe.2021.151527</t>
  </si>
  <si>
    <t>RO4FT</t>
  </si>
  <si>
    <t>WOS:000641001600003</t>
  </si>
  <si>
    <t>Bakkaloglu, S; Lowry, D; Fisher, RE; France, JL; Brunner, D; Chen, HL; Nisbet, EG</t>
  </si>
  <si>
    <t>Bakkaloglu, Semra; Lowry, Dave; Fisher, Rebecca E.; France, James L.; Brunner, Dominik; Chen, Huilin; Nisbet, Euan G.</t>
  </si>
  <si>
    <t>Quantification of methane emissions from UK biogas plants</t>
  </si>
  <si>
    <t>WASTE MANAGEMENT</t>
  </si>
  <si>
    <t>Biogas plant; Mobile survey; Fugitive methane emission; Gaussian plume modelling; Anaerobic digestion; Emission factor</t>
  </si>
  <si>
    <t>The rising number of operational biogas plants in the UK brings a new emissions category to consider for methane monitoring, quantification and reduction. Minimising methane losses from biogas plants to the atmosphere is critical not only because of their contribution of methane to global warming but also with respect to the sustainability of renewable energy production. Mobile greenhouse gas surveys were conducted to detect plumes of methane emissions from the biogas plants in southern England that varied in their size, waste feed input materials and biogas utilization. Gaussian plume modelling was used to estimate total emissions of methane from ten biogas plants based on repeat passes through the plumes. Methane emission rates ranged from 0.1 to 58.7 kg CH4 hr(-1), and the percentage of losses relative to the calculated production rate varied between 0.02 and 8.1%. The average emission rate was 15.9 kg CH4 hr(-1), and the average loss was 3.7%. In general, methane emission rates from smaller farm biogas plants were higher than from larger food waste biogas plants. We also suggest that biogas methane emissions may account for between 0.4 and 3.8%, with an average being 1.9% of the total methane emissions in the UK excluding the sewage sludge biogas plants. (C) 2021 The Authors. Published by Elsevier Ltd.</t>
  </si>
  <si>
    <t>[Bakkaloglu, Semra; Lowry, Dave; Fisher, Rebecca E.; France, James L.; Nisbet, Euan G.] Royal Holloway Univ London, Dept Earth Sci, Egham TW20 0EX, Surrey, England; [Bakkaloglu, Semra] Imperial Coll London, Sustainable Gas Inst, London SW7 1NA, England; [France, James L.] British Antarctic Survey, Madingley Rd, Cambridge CB3 0ET, England; [Brunner, Dominik] Empa, Lab Air Pollut Environm Technol, Swiss Fed Labs Mat Sci &amp; Technol, CH-8600 Dubendorf, Switzerland; [Chen, Huilin] Univ Groningen, Ctr Isotope Res, Energy &amp; Sustainabil Inst Groningen, Nijenborgh 6, NL-9747 AG Groningen, Netherlands</t>
  </si>
  <si>
    <t>University of London; Royal Holloway University London; Imperial College London; UK Research &amp; Innovation (UKRI); Natural Environment Research Council (NERC); NERC British Antarctic Survey; Swiss Federal Institutes of Technology Domain; Swiss Federal Laboratories for Materials Science &amp; Technology (EMPA); University of Groningen</t>
  </si>
  <si>
    <t>Bakkaloglu, S (corresponding author), Royal Holloway Univ London, Dept Earth Sci, Egham TW20 0EX, Surrey, England.;Bakkaloglu, S (corresponding author), Imperial Coll London, Sustainable Gas Inst, London SW7 1NA, England.</t>
  </si>
  <si>
    <t>semra.bakkaloglu.2018@live.rhul.ac.uk</t>
  </si>
  <si>
    <t>Fisher, Rebecca/AAA-5352-2022; Brunner, Dominik/A-1255-2009; Brunner, Dominik/GSI-5449-2022; Lowry, David/JCE-0619-2023; Chen, Huilin/J-9479-2012; Lowry, David/GXG-1235-2022; France, James/L-9719-2015</t>
  </si>
  <si>
    <t>Brunner, Dominik/0000-0002-4007-6902; Brunner, Dominik/0000-0002-4007-6902; Bakkaloglu, semra/0000-0002-0476-1929; LOWRY, DAVID/0000-0002-8535-0346; Chen, Huilin/0000-0002-1573-6673; France, James/0000-0002-8785-1240; Fisher, Rebecca/0000-0002-9262-5467</t>
  </si>
  <si>
    <t>MEthane goes Mobile: MEasurement and MOdeling (MEMO2) project from the European Union's Horizon 2020 research and innovation programme under the Marie SklodowskaCurie grant [722479]; U.K. Natural Environment Research Council [NE/P019641/1]; NERC [NE/P019641/1, bas0100032] Funding Source: UKRI</t>
  </si>
  <si>
    <t>MEthane goes Mobile: MEasurement and MOdeling (MEMO2) project from the European Union's Horizon 2020 research and innovation programme under the Marie SklodowskaCurie grant; U.K. Natural Environment Research Council(UK Research &amp; Innovation (UKRI)Natural Environment Research Council (NERC)); NERC(UK Research &amp; Innovation (UKRI)Natural Environment Research Council (NERC))</t>
  </si>
  <si>
    <t>This study is funded by MEthane goes Mobile: MEasurement and MOdeling (MEMO2) project from the European Union's Horizon 2020 research and innovation programme under the Marie SklodowskaCurie grant agreement No 722479. We would like to thank the U.K. Natural Environment Research Council for current grant NE/P019641/1, New methodologies for removal of methane, for laboratory and field support. We are obliged to Mathias Lanoisell? for help with driving the survey vehicle. We are grateful to Jerry Morris for maintenance of the survey vehicle. Special thanks go to Dr. Peter NisbetJones, Dr. Aalia AlShalaan, Julianne Fernandez and Barbara White supporting this study. Input files necessary to reproduce the model are available from the authors upon request (semra.bakkaloglu.2018@live.rhul.ac.uk)</t>
  </si>
  <si>
    <t>0956-053X</t>
  </si>
  <si>
    <t>1879-2456</t>
  </si>
  <si>
    <t>WASTE MANAGE</t>
  </si>
  <si>
    <t>Waste Manage.</t>
  </si>
  <si>
    <t>10.1016/j.wasman.2021.01.011</t>
  </si>
  <si>
    <t>RB2PT</t>
  </si>
  <si>
    <t>WOS:000631957600010</t>
  </si>
  <si>
    <t>Liszka, CM; Robinson, C; Manno, C; Stowasser, G; Tarling, GA</t>
  </si>
  <si>
    <t>Liszka, Cecilia M.; Robinson, Carol; Manno, Clara; Stowasser, Gabriele; Tarling, Geraint A.</t>
  </si>
  <si>
    <t>Diel vertical migration of a Southern Ocean euphausiid, Euphausia triacantha, and its metabolic response to consequent short-term temperature changes</t>
  </si>
  <si>
    <t>Respiration; Temperature coefficient; Q10; Diel vertical migration; DVM; Euphausia triacantha; Southern Ocean; Scotia Sea; Elemental composition</t>
  </si>
  <si>
    <t>ANTARCTIC MICRONEKTONIC CRUSTACEA; MEGANYCTIPHANES-NORVEGICA; RESPIRATORY CARBON; OXYGEN-CONSUMPTION; AMMONIA EXCRETION; NORTHERN KRILL; DYNAMIC ACTION; BODY-MASS; ZOOPLANKTON; PACIFICA</t>
  </si>
  <si>
    <t>Diel vertical migration is a widespread behaviour amongst zooplankton, yet its effect on the rate at which individuals respire remains poorly understood. To address this, we investigated the effect of short-term temperature change on the respiration rate of Euphausia triacantha, a common component of the Southern Ocean zooplankton and a prominent vertical migrator. We found respiration to vary in response to size, with a value of 0.84 for the scaling coefficient, b. When scaled to b, respiration varied strongly in response to transitory temperature change, ranging from 0.37 to 1.65 mu l O-2 mg dry weight (DW)(-b) h(-1) between 0.17 and 4.74 degrees C, resulting in a Q(10) of 3.6. This Q(10) is higher than found by other studies examining the short-term respiration response of euphausiids, including those taking a multi-species perspective. This indicates that E. triacantha shows little compensation during short-term exposure to temperatures normally encountered during migration. Furthermore, it shows a distinct metabolic cost to diel vertical migration (DVM) when substantive changes in temperature are encountered over the course of the transit. This temporal variability in respiration rate has important implications for how community respiration is estimated, and for our understanding of DVM behaviour. Our results also have particular relevance to estimating the flux and sequestration of respiratory products, such as dissolved carbon dioxide, to and within the ocean interior.</t>
  </si>
  <si>
    <t>[Liszka, Cecilia M.; Manno, Clara; Stowasser, Gabriele; Tarling, Geraint A.] British Antarctic Survey, Madingley Rd, Cambridge CB3 0ET, England; [Liszka, Cecilia M.; Robinson, Carol] Univ East Anglia, Sch Environm Sci, Norwich NR4 7TJ, Norfolk, England</t>
  </si>
  <si>
    <t>UK Research &amp; Innovation (UKRI); Natural Environment Research Council (NERC); NERC British Antarctic Survey; University of East Anglia</t>
  </si>
  <si>
    <t>Liszka, CM (corresponding author), British Antarctic Survey, Madingley Rd, Cambridge CB3 0ET, England.;Liszka, CM (corresponding author), Univ East Anglia, Sch Environm Sci, Norwich NR4 7TJ, Norfolk, England.</t>
  </si>
  <si>
    <t>ceclis56@bas.ac.uk</t>
  </si>
  <si>
    <t>Liszka, Cecilia/AAW-4544-2021; Robinson, Carol/F-7649-2011; Liszka, Cecilia/AAM-6466-2021; Robinson, Carol/AAW-1857-2021</t>
  </si>
  <si>
    <t>Liszka, Cecilia/0000-0003-1309-4045; Robinson, Carol/0000-0003-3033-4565; Liszka, Cecilia/0000-0003-1309-4045; Robinson, Carol/0000-0003-3033-4565</t>
  </si>
  <si>
    <t>NERC through the EnvEast Doctoral Training Partnership at the University of East Angli [NE/L0025821/1]; British Antarctic Survey Ecosystems Programme; Western Core Box Project on board the RRS 'James Clark Ross'; SCOOBIES Project on board the RRS 'James Clark Ross'; NERC [bas0100035, NE/R000956/1] Funding Source: UKRI</t>
  </si>
  <si>
    <t>NERC through the EnvEast Doctoral Training Partnership at the University of East Angli; British Antarctic Survey Ecosystems Programme; Western Core Box Project on board the RRS 'James Clark Ross'; SCOOBIES Project on board the RRS 'James Clark Ross'; NERC(UK Research &amp; Innovation (UKRI)Natural Environment Research Council (NERC))</t>
  </si>
  <si>
    <t>We acknowledge the master, crew and scientists aboard the RRS 'James Clark Ross' during cruises JR304 and JR15002 when the experiments took place, and cruises JR177 and JR200 as part of the DISCOVERY 2010 programme. In particular, we thank Peter Ward for his assistance with zooplankton enumeration. This work was funded by a NERC studentship granted through the EnvEast Doctoral Training Partnership (Grant No. NE/L0025821/1) at the University of East Anglia. Fieldwork was supported by the British Antarctic Survey Ecosystems Programme and the Western Core Box and SCOOBIES Projects on board the RRS `James Clark Ross'. We also thank the 3 anonymous reviewers whose suggestions helped to improve this manuscript.</t>
  </si>
  <si>
    <t>FEB 18</t>
  </si>
  <si>
    <t>10.3354/meps13618</t>
  </si>
  <si>
    <t>QQ2EV</t>
  </si>
  <si>
    <t>WOS:000624339300003</t>
  </si>
  <si>
    <t>Bowman, JS; Van Mooy, BAS; Lowenstein, DP; Fredricks, HF; Hansel, CM; Gast, R; Collins, JR; Couto, N; Ducklow, HW</t>
  </si>
  <si>
    <t>Bowman, Jeff S.; Van Mooy, Benjamin A. S.; Lowenstein, Daniel P.; Fredricks, Helen F.; Hansel, Colleen M.; Gast, Rebecca; Collins, James R.; Couto, Nicole; Ducklow, Hugh W.</t>
  </si>
  <si>
    <t>Whole Community Metatranscriptomes and Lipidomes Reveal Diverse Responses Among Antarctic Phytoplankton to Changing Ice Conditions</t>
  </si>
  <si>
    <t>Antarctica; phytoplankton; lipids; metatranscriptomics; Palmer LTER project</t>
  </si>
  <si>
    <t>SPECTROMETRY DATA; EXTRACTION; STRATEGY</t>
  </si>
  <si>
    <t>The transition from winter to spring represents a major shift in the basal energy source for the Antarctic marine ecosystem from lipids and other sources of stored energy to sunlight. Because sea ice imposes a strong control on the transmission of sunlight into the water column during the polar spring, we hypothesized that the timing of the sea ice retreat influences the timing of the transition from stored energy to photosynthesis. To test the influence of sea ice on water column microbial energy utilization we took advantage of unique sea ice conditions in Arthur Harbor, an embayment near Palmer Station on the western Antarctic Peninsula, during the 2015 spring-summer seasonal transition. Over a 5-week period we sampled water from below land-fast sea ice, in the marginal ice zone at nearby Palmer Station B, and conducted an ice removal experiment with incubations of water collected below the land-fast ice. Whole-community metatranscriptomes were paired with lipidomics to better understand how lipid production and utilization was influenced by light conditions. We identified several different phytoplankton taxa that responded similarly to light by the number of genes up-regulated, and in the transcriptional complexity of this response. We applied a principal components analysis to these data to reduce their dimensionality, revealing that each of these taxa exhibited a strikingly different pattern of gene up-regulation. By correlating the changes in lipid concentration to the first principal component of log fold-change for each taxa we could make predictions about which taxa were associated with different changes in the community lipidome. We found that genes coding for the catabolism of triacylglycerol storage lipids were expressed early on in phytoplankton associated with a Fragilariopsis kerguelensis reference transcriptome. Phytoplankton associated with a Corethron pennatum reference transcriptome occupied an adjacent niche, responding favorably to higher light conditions than F. kerguelensis. Other diatom and dinoflagellate taxa had distinct transcriptional profiles and correlations to lipids, suggesting diverse ecological strategies during the polar winter-spring transition.</t>
  </si>
  <si>
    <t>[Bowman, Jeff S.; Couto, Nicole] Univ Calif San Diego, Scripps Inst Oceanog, San Diego, CA 92103 USA; [Van Mooy, Benjamin A. S.; Lowenstein, Daniel P.; Fredricks, Helen F.; Hansel, Colleen M.; Gast, Rebecca; Collins, James R.] Woods Hole Oceanog Inst, Woods Hole, MA 02543 USA; [Collins, James R.] Univ Washington, Sch Oceanog, Seattle, WA 98195 USA; [Ducklow, Hugh W.] Columbia Univ, Lamont Doherty Earth Observ, Palisades, NY USA</t>
  </si>
  <si>
    <t>University of California System; University of California San Diego; Scripps Institution of Oceanography; Woods Hole Oceanographic Institution; University of Washington; University of Washington Seattle; Columbia University</t>
  </si>
  <si>
    <t>Bowman, JS (corresponding author), Univ Calif San Diego, Scripps Inst Oceanog, San Diego, CA 92103 USA.</t>
  </si>
  <si>
    <t>jsbowman@ucsd.edu</t>
  </si>
  <si>
    <t>; Collins, James/L-8087-2017</t>
  </si>
  <si>
    <t>Gast, Rebecca J/0000-0003-3875-3975; Collins, James/0000-0002-5705-9682; Bowman, Jeff/0000-0002-8811-6280</t>
  </si>
  <si>
    <t>NSF-OPP [1641019, 1846837, OPP-1543328, OCE-1756254, 1440435]; Simons Foundation Early Career Marine Microbial Investigator program [1846837]; NSF [OCE-1355720]; DOE Joint Genome Institute; Office of Polar Programs (OPP); Directorate For Geosciences [1846837] Funding Source: National Science Foundation; Office of Polar Programs (OPP); Directorate For Geosciences [1641019] Funding Source: National Science Foundation</t>
  </si>
  <si>
    <t>NSF-OPP(National Science Foundation (NSF)NSF - Directorate for Geosciences (GEO)); Simons Foundation Early Career Marine Microbial Investigator program; NSF(National Science Foundation (NSF)); DOE Joint Genome Institute(United States Department of Energy (DOE)); Office of Polar Programs (OPP); Directorate For Geosciences(National Science Foundation (NSF)NSF - Directorate for Geosciences (GEO)); Office of Polar Programs (OPP); Directorate For Geosciences(National Science Foundation (NSF)NSF - Directorate for Geosciences (GEO))</t>
  </si>
  <si>
    <t>JB was supported by NSF-OPP 1641019, NSF-OPP 1846837, and the Simons Foundation Early Career Marine Microbial Investigator program. BV, DL and JC were supported by NSF (OPP-1543328 and OCE-1756254). CH was supported by NSF OCE-1355720. The Palmer LTER project is support by NSF-OPP 1440435. A small-scale Community Sequencing Project (CSP) award from the DOE Joint Genome Institute supported part of the sequencing effort.</t>
  </si>
  <si>
    <t>10.3389/fmars.2021.593566</t>
  </si>
  <si>
    <t>QR4TB</t>
  </si>
  <si>
    <t>WOS:000625203100001</t>
  </si>
  <si>
    <t>Olmi, R; Bittelli, M; Picard, G; Arnaud, L; Mialon, A; Priori, S</t>
  </si>
  <si>
    <t>Olmi, R.; Bittelli, M.; Picard, G.; Arnaud, L.; Mialon, A.; Priori, S.</t>
  </si>
  <si>
    <t>Investigating the influence of the grain size and distribution on the macroscopic dielectric properties of Antarctic firn</t>
  </si>
  <si>
    <t>Antarctica; Dielectric measurements; Ice cores; Dielectric model; Full wave EM simulations; Close-off; Firn</t>
  </si>
  <si>
    <t>ICE; MIXTURES; PERMITTIVITY</t>
  </si>
  <si>
    <t>This study is based on the analysis of detailed measurements of firn dielectric properties performed in Antarctica through coring down to 106 m. Dielectric measurements in the frequency band (0.4-2.5 GHz) have been carried out using an open-resonator probe. Density was also measured for the same samples. The experimental results confirmed the well-known dependence of the real part of permittivity epsilon' on depth and density, showing an increase of epsilon' with density. The imaginary part also increases with depth with a rather complex dependence on frequency, probably due to the presence of salts or impurities. The analysis of the experimental data was performed by implementing 3D and 2D full wave numerical models, to simulate a mixture of firn crystals at prescribed densities, corresponding to the measured densities on the ice cores. The numerical analysis of the ensemble of inclusions showed that the usual symmetric formulae used for modeling ice dielectric properties agree with the average results of the simulation, but they are not able to explain the spreading of the measured data at given density. A dielectric model was then developed allowing for quantification of the dependence of dielectric properties on density, by combining two models: one consisting in firn crystals into an air host, the other assuming the presence of air inclusions into a homogeneous firn host. The weighted equation is based on the volume fraction. A simple geometric shape (ellipsoidal) is assumed for both ice crystals and air inclusions. This kind of shape is reasonable for the purpose of the dielectric study. The result is a mixture, smoothly changing from firn particles in air (low density) to air bubbles in an ice matrix (high density). A statistical analysis has been accomplished to investigate the dependence of the dielectric properties on the geometrical arrangement of the inclusions. For that purpose, a large number of simulations with different arrangements (micro-states) giving rise to the same average density (macro-states) has been carried out. The permittivity change due to micro-state variability appears to be at least two-three times the model variation due to density alone, and comparable to the measured variability at a given depth, suggesting that firn structure has a significant effect on the dielectric properties.</t>
  </si>
  <si>
    <t>[Olmi, R.; Priori, S.] CNR, Ist Fis Appl IFAC, Sesto Fiorentino, Italy; [Bittelli, M.] Univ Bologna, Dipartimento Sci &amp; Tecnol Agroalimentari DISTAL, Bologna, Italy; [Picard, G.; Arnaud, L.] UGA, CNRS, Inst Geosci &amp; Environm IGE, Grenoble, France; [Mialon, A.] Univ Toulouse, CESBIO, CNES CNRS INRAE IRD UPS, Toulouse, France</t>
  </si>
  <si>
    <t>Consiglio Nazionale delle Ricerche (CNR); University of Bologna; Communaute Universite Grenoble Alpes; Universite Grenoble Alpes (UGA); Centre National de la Recherche Scientifique (CNRS); INRAE; Universite de Toulouse; Universite Toulouse III - Paul Sabatier; Centre National de la Recherche Scientifique (CNRS); Institut de Recherche pour le Developpement (IRD)</t>
  </si>
  <si>
    <t>Bittelli, M (corresponding author), Univ Bologna, Dipartimento Sci &amp; Tecnol Agroalimentari DISTAL, Bologna, Italy.</t>
  </si>
  <si>
    <t>marco.bittelli@unibo.it</t>
  </si>
  <si>
    <t>mialon, arnaud/ABA-3062-2020; Picard, Ghislain/D-4246-2013</t>
  </si>
  <si>
    <t>mialon, arnaud/0000-0001-7970-0701; Picard, Ghislain/0000-0003-1475-5853; BITTELLI, MARCO/0000-0001-9638-6005</t>
  </si>
  <si>
    <t>PNRA (Progetti Nazionali di Ricerca in Antartide, Ministero dell'Universita e della Ricerca, Roma, Italia) [PNRA16482 00212]; Institut Paul Emile Victor (France)</t>
  </si>
  <si>
    <t>PNRA (Progetti Nazionali di Ricerca in Antartide, Ministero dell'Universita e della Ricerca, Roma, Italia); Institut Paul Emile Victor (France)</t>
  </si>
  <si>
    <t>This study was funded by PNRA (Progetti Nazionali di Ricerca in Antartide, Ministero dell'Universita e della Ricerca, Roma, Italia) Research Project: Dielectric Characterization of the Polar Cap by perforations at Dome C (PNRA16482 00212), and by the Institut Paul Emile Victor (France). The ice core was obtained from the Centre de Carottage et de Forage National (France).</t>
  </si>
  <si>
    <t>10.1016/j.coldregions.2021.103254</t>
  </si>
  <si>
    <t>RC0LO</t>
  </si>
  <si>
    <t>WOS:000632495700003</t>
  </si>
  <si>
    <t>Rojo, D; Calderón, M; Hervé, F; Díaz, J; Quezada, P; Suárez, R; Ghiglione, MC; Fuentes, F; Theye, T; Cataldo, J; Sándoval, J; Viefhaus, T</t>
  </si>
  <si>
    <t>Rojo, D.; Calderon, M.; Herve, F.; Diaz, J.; Quezada, P.; Suarez, R.; Ghiglione, M. C.; Fuentes, F.; Theye, T.; Cataldo, J.; Sandoval, J.; Viefhaus, T.</t>
  </si>
  <si>
    <t>Petrology and tectonic evolution of late Paleozoic mafic-ultramafic sequences and the Leones Pluton of the Eastern Andean Metamorphic Complex (46-47°S), southern Chile</t>
  </si>
  <si>
    <t>Mafic and ultramafic rocks; Eastern Andean Metamorphic Complex; Gondwana; Serpentinites; Accretionary wedge; Subduction environment; Geochemistry; Leones Pluton</t>
  </si>
  <si>
    <t>ABYSSAL PERIDOTITES; PATAGONIAN ANDES; U-PB; ANTARCTIC PENINSULA; GONDWANA MARGIN; TRACE-ELEMENT; SUBDUCTION; BASEMENT; PROVENANCE; ROCKS</t>
  </si>
  <si>
    <t>The metamorphosed mafic-ultramafic sequences of the Eastern Andean Metamorphic Complex outcropping in the Patagonian Andes are critical to disclose the late Paleozoic tectonic evolution of the southwestern margin of Gondwana. In the study area, mafic-ultramafic bodies are thrusted onto polydeformed metasedimentary rocks and intruded by the mid-Carboniferous composite Leones Pluton. The metabasalts (mostly tremolite-chlorite schists and amphibolites) show N-MORB and BABB chemical affinities pointing that formed part of an oceanic crustal section with components of the marginal basin, emplaced after the main pulse of Devonian arc magmatism, possibly in a retreating convergent margin. Interleaved serpentinites consist of serpentine polymorphs (antigorite, lizardite, and late chrysotile) and magnetite, with variably distributed minor amounts of chlorite, tremolite, and traces of ilmenite. Serpentinites have high Cr, Ni, Ti, and Yb contents, and show slightly enriched LREE and flat HREE patterns with a noticeable Eu positive anomaly. Mineralogical and geochemical features indicate that olivine-rich clinopyroxene-spinel-bearing peridotites were metamorphosed in a newly formed eastdipping subduction zone. The closure of the marginal basin continued with the tectonic underthrusting and tectonic juxtaposition of mafic-ultramafic rocks within an accretionary wedge. The tectonic cycle of the oceanic basin finished with the intrusion of mid-Carboniferous subduction-related plutons and pluton-driven thermal metamorphism.</t>
  </si>
  <si>
    <t>[Rojo, D.] Univ Arturo Prat, Fac Ingn &amp; Arquitectura, Ave Arturo Prat 2120, Iquique, Chile; [Rojo, D.; Suarez, R.; Ghiglione, M. C.] Univ Buenos Aires, Inst Estudios Andinos IDEAN, CONICET, Buenos Aires, DF, Argentina; [Calderon, M.; Herve, F.; Diaz, J.; Cataldo, J.; Sandoval, J.] Univ Andres Bello, Fac Ingn, Carrera Geol, Sazie 2119, Santiago, Chile; [Calderon, M.] Univ Desarrollo, Fac Ingn, Ave Plaza 680, Las Condes, Chile; [Herve, F.] Univ Chile, Dept Geol, Plaza Ercilla 803, Santiago, Chile; [Quezada, P.] Univ Aysen, Dept Ciencias Nat &amp; Tecnol, Obispo Vielmo 62, Coyhaique, Chile; [Quezada, P.] Univ Fed Parana, Inst LAMIR, Ctr Politecn, BR-81531980 Curtiba, PR, Brazil; [Fuentes, F.] Univ Mayor, Fac Ciencias, Escuela Geol, Ave Manuel Montt 367, Santiago, Chile; [Theye, T.; Viefhaus, T.] Univ Stuttgart, Inst Anorgan Chem, Pfaffenwaldring 55, D-70569 Stuttgart, Germany</t>
  </si>
  <si>
    <t>Universidad Arturo Prat; University of Buenos Aires; Consejo Nacional de Investigaciones Cientificas y Tecnicas (CONICET); Universidad Andres Bello; Universidad del Desarrollo; Universidad de Chile; Universidade Federal do Parana; Universidad Mayor; University of Stuttgart</t>
  </si>
  <si>
    <t>Rojo, D (corresponding author), Univ Arturo Prat, Fac Ingn &amp; Arquitectura, Ave Arturo Prat 2120, Iquique, Chile.</t>
  </si>
  <si>
    <t>drojom@unap.cl</t>
  </si>
  <si>
    <t>Herve, Francisco/HDO-6628-2022; Ghiglione, Matias C/A-9413-2010</t>
  </si>
  <si>
    <t>Diaz, Juan/0000-0003-0090-8695; Suarez, Rodrigo/0000-0002-0144-2236; Rojo, Diego/0000-0002-5764-2819; Cataldo Bacho, Jaime/0000-0001-6183-6600</t>
  </si>
  <si>
    <t>Fondecyt [1180457, 1161818]; Project Agencia [PICT-2013-1291]; LAMIR Institute Diagenesis Project - Shell [ANP 20257-2]</t>
  </si>
  <si>
    <t>Fondecyt(Comision Nacional de Investigacion Cientifica y Tecnologica (CONICYT)CONICYT FONDECYT); Project Agencia; LAMIR Institute Diagenesis Project - Shell</t>
  </si>
  <si>
    <t>The authors want to thank the Aldea family for their hospitality and assistance during fieldwork at Valle Leones. Moritz Schmelz is acknowledged for his aid during the laboratory work at Stuttgart University. This research has been funded by Fondecyt projects 1180457 (FH) and 1161818 (MC) . Additional funds were provided by the Project Agencia PICT-2013-1291 (MG, RS) and LAMIR Institute Diagenesis Project ANP 20257-2 sponsored by Shell (MC, PQ) . The manuscript was much improved by the suggestions of Dr. Gaedlle Plissart and an anonymous reviewer. Likewise, we are grateful to the associate editor Dr. xx for editorial assistance.</t>
  </si>
  <si>
    <t>10.1016/j.jsames.2021.103198</t>
  </si>
  <si>
    <t>SU8YK</t>
  </si>
  <si>
    <t>WOS:000663417000002</t>
  </si>
  <si>
    <t>Benito, G; Thorndycraft, VR; Medialdea, A; Machado, MJ; Sancho, C; Dussaillant, A</t>
  </si>
  <si>
    <t>Benito, Gerardo; Thorndycraft, Varyl R.; Medialdea, Alicia; Machado, Maria J.; Sancho, Carlos; Dussaillant, Alejandro</t>
  </si>
  <si>
    <t>Declining discharge of glacier outburst floods through the Holocene in central Patagonia</t>
  </si>
  <si>
    <t>Geomorphology; GLOFs; Palaeohydrology; Palaeosols; South America</t>
  </si>
  <si>
    <t>ANTARCTIC COLD REVERSAL; LAGO BUENOS-AIRES; PALEOFLOOD HYDROLOGY; CHILEAN PATAGONIA; ICE-SHEET; ICEFIELD; EVOLUTION; DEGLACIATION; DYNAMICS; COLONIA</t>
  </si>
  <si>
    <t>Glacier outburst floods are a major hazard in glacierized catchments. Global analyses have shown reduced frequency of glacier floods over recent decades but there is limited longer-term data on event magnitude and frequency. Here, we present a Holocene palaeoflood record from the Rio Baker (Chilean Patagonia), quantifying the discharge and timing of glacier floods over millennial timescales. A catastrophic flood of 110,000 m(3)/s (0.11 Sv) occurred at 9.6 +/- 0.8 ka, during final stages of the Late Glacial Interglacial Transition, followed by five flood-phases coeval or post-dating Holocene neoglacials. Highest flood frequencies occurred at 4.3-4.4 ka, with 26 floods of minimum discharges of 10,000-11,000 m(3)/s, and 0.6 ka with 10 floods exceeding 4600-5700 m(3)/s. The largest modern outburst flood recorded surpassed similar to 3810 m(3)/s. Thus glacier flood magnitude declines from the order of 0.1 to 0.01 Sv over the Early to Mid Holocene, and to 0.001 Sv in the instrumental record. (C) 2021 Elsevier Ltd. All rights reserved.</t>
  </si>
  <si>
    <t>[Benito, Gerardo; Machado, Maria J.] CSIC, Dept Geol, Natl Museum Nat Sci MNCN, Serrano 115 Bis, Madrid 28006, Spain; [Thorndycraft, Varyl R.] Royal Holloway Univ London, Dept Geog, Egham TW20 0EX, Surrey, England; [Medialdea, Alicia] CENIEH, Ctr Nacl Invest Evoluc Humana, Paseo Sierra de Atapuerca 3, Burgos 09002, Spain; [Sancho, Carlos] Univ Zaragoza, Dept Ciencias Tierra, Zaragoza 50009, Spain; [Dussaillant, Alejandro] Univ Aysen, Dept Ciencias Nat &amp; Tecnol, Coyhaique 5951360, Chile; [Dussaillant, Alejandro] Ctr Invest Ecosistemas Patagonia, Coyhaique 5950000, Chile; [Dussaillant, Alejandro] Middlesex Univ, Dept Nat Sci, London NW4 4BT, England</t>
  </si>
  <si>
    <t>Consejo Superior de Investigaciones Cientificas (CSIC); University of London; Royal Holloway University London; Centro Nacional de Investigacion de La Evolucion Humana (CENIEH); University of Zaragoza; Middlesex University</t>
  </si>
  <si>
    <t>Benito, G (corresponding author), CSIC, Dept Geol, Natl Museum Nat Sci MNCN, Serrano 115 Bis, Madrid 28006, Spain.</t>
  </si>
  <si>
    <t>benito@mncn.csic.es; Varyl.Thorndycraft@rhul.ac.uk; alicia.medialdea@cenieh.es; csancho@unizar.es; alejandro.dussaillant@uaysen.cl</t>
  </si>
  <si>
    <t>Medialdea, Alicia/S-1424-2019; Facility, NERC Geophysical Equipment/G-5260-2010; Benito, Gerardo/E-5456-2013</t>
  </si>
  <si>
    <t>Medialdea, Alicia/0000-0001-5895-0736; Benito, Gerardo/0000-0003-0724-1790; Dussaillant, Alejandro/0000-0002-7830-013X</t>
  </si>
  <si>
    <t>Spanish Ministry of Science, Innovation and Universities; Natural Resources Defence Council; Royal Holloway University of London Research Strategy Fund (RHUL-RSF)</t>
  </si>
  <si>
    <t>Spanish Ministry of Science, Innovation and Universities(Spanish Government); Natural Resources Defence Council; Royal Holloway University of London Research Strategy Fund (RHUL-RSF)</t>
  </si>
  <si>
    <t>GB was supported by the Spanish Ministry of Science, Innovation and Universities. VT would like to thank the Natural Resources Defence Council and Royal Holloway University of London Research Strategy Fund (RHUL-RSF) for funding initial field visits that led to this research. AD thanks equipment and field support from CIEP, B. Reid, DGA-Aysen, J. Tureo, C. Meier, C. Olivares, H. Soto, M. Williams (U Greenwich) and NERC-GEF. Xavier Rodriguez-Lloveras provided field assistance during field work in April 2014. Giovanni Daneri (Centro de Investigacion en Ecosistemas de la Patagonia, CIEP) provided logistical support for our field research.</t>
  </si>
  <si>
    <t>10.1016/j.quascirev.2021.106810</t>
  </si>
  <si>
    <t>WOS:000626320300001</t>
  </si>
  <si>
    <t>Sciuto, K; Moschin, E; Alongi, G; Cecchetto, M; Schiaparelli, S; Caragnano, A; Rindi, F; Moro, I</t>
  </si>
  <si>
    <t>Sciuto, Katia; Moschin, Emanuela; Alongi, Giuseppina; Cecchetto, Matteo; Schiaparelli, Stefano; Caragnano, Annalisa; Rindi, Fabio; Moro, Isabella</t>
  </si>
  <si>
    <t>Tethysphytum antarcticum gen. et sp. nov. (Hapalidiales, Rhodophyta), a new non-geniculate coralline alga from Terra Nova Bay (Ross Sea, Antarctica): morpho-anatomical characterization and molecular phylogeny</t>
  </si>
  <si>
    <t>EUROPEAN JOURNAL OF PHYCOLOGY</t>
  </si>
  <si>
    <t>18S rRNA; Antarctica; Hapalidiaceae; morpho-anatomy; phylogeny; psbA; rbcL; Tethysphytum antarcticum gen. et sp. nov</t>
  </si>
  <si>
    <t>Over the last decade, our knowledge of the phylogenetic and taxonomic diversity of coralline algae has greatly progressed thanks to the use of DNA sequence data. Despite this, in some geographic regions the knowledge of coralline diversity is still incomplete, because it is entirely based on traditional morpho-anatomical grounds; Antarctica can certainly be included among these regions. During an investigation of the marine phototrophic biodiversity of the Ross Sea, a crustose coralline alga was collected from two sites in Tethys Bay. The alga formed thin crusts adherent to cobbles at similar to 20 m depth and showed morpho-anatomical features typical of the order Hapalidiales, family Hapalidiaceae (cell fusions, zonate tetrasporangia produced in multiporate conceptacles, and apical plugs). Molecular phylogenies based on the psbA, rbcL and 18S rRNA genes showed that this alga formed a lineage in the family Hapalidiaceae for which a formal assignment at genus level was not yet available. The only other known member of the lineage was a coralline from the Balleny Islands, named as Hapalidiaceae sp. ASG448A, for which psbA and 18S rRNA sequences were deposited in GenBank without identification at genus and species level. Based on our results, we describe this lineage as the new genus Tethysphytum Sciuto, Moschin &amp; Moro, with the single species Tethysphytum antarcticum Sciuto, Moschin &amp; Moro. At present, morpho-anatomical characters do not allow for the discrimination of Tethysphytum from other similar genera of Hapalidiaceae. The discovery of a new genus suggests that the diversity of coralline algae in Antarctica may have been underestimated and that molecular data will be essential for future taxonomic assessments of this group within this region.</t>
  </si>
  <si>
    <t>[Sciuto, Katia] Ca Foscari Univ Venice, Dept Environm Sci Informat &amp; Stat, Venice, Italy; [Moschin, Emanuela; Moro, Isabella] Univ Padua, Dept Biol, Padua, Italy; [Alongi, Giuseppina] Univ Catania, Dept Biol Geol &amp; Environm Sci, Catania, Italy; [Cecchetto, Matteo; Schiaparelli, Stefano] Univ Genoa, Dept Earth Environm &amp; Life Sci, DISTAV, Genoa, Italy; [Cecchetto, Matteo; Schiaparelli, Stefano] Univ Genoa, Sect Genoa, Italian Natl Antarctic Museum MNA, Genoa, Italy; [Caragnano, Annalisa] Univ Trieste, Dept Life Sci, Trieste, Italy; [Rindi, Fabio] Polytech Univ Marche, Dept Life &amp; Environm Sci, Ancona, Italy</t>
  </si>
  <si>
    <t>Universita Ca Foscari Venezia; University of Padua; University of Catania; University of Genoa; University of Genoa; University of Trieste; Marche Polytechnic University</t>
  </si>
  <si>
    <t>Moro, I (corresponding author), Univ Padua, Dept Biol, Padua, Italy.</t>
  </si>
  <si>
    <t>isabella.moro@unipd.it</t>
  </si>
  <si>
    <t>Rindi, Fabio/H-7147-2019; Rindi, Fabio/ITU-7669-2023; Sciuto, Katia/Y-1035-2019; Cecchetto, Matteo/KGL-8310-2024; Caragnano, Annalisa/D-2341-2011</t>
  </si>
  <si>
    <t>Sciuto, Katia/0000-0001-7426-8497; Cecchetto, Matteo/0000-0002-4505-4104; Caragnano, Annalisa/0000-0001-7092-6931; MORO, ISABELLA/0000-0002-7850-6031; RINDI, Fabio/0000-0002-7392-3653</t>
  </si>
  <si>
    <t>PNRA project [PNRA 16_00120]</t>
  </si>
  <si>
    <t>PNRA project</t>
  </si>
  <si>
    <t>This study was carried out as part of the PNRA project PNRA 16_00120 - TNB-CODE: `Terra Nova Bay barCODing and mEtabarcoding of Antarctic organisms from marine and limno-terrestrial environments' (PI: S. Schiaparelli).</t>
  </si>
  <si>
    <t>0967-0262</t>
  </si>
  <si>
    <t>1469-4433</t>
  </si>
  <si>
    <t>EUR J PHYCOL</t>
  </si>
  <si>
    <t>Eur. J. Phycol.</t>
  </si>
  <si>
    <t>10.1080/09670262.2020.1854351</t>
  </si>
  <si>
    <t>WH3EX</t>
  </si>
  <si>
    <t>WOS:000618695800001</t>
  </si>
  <si>
    <t>Ji, XW; Abakumov, E; Chigray, S; Saparova, S; Polyakov, V; Wang, WJ; Wu, DS; Li, CL; Huang, Y; Xie, XC</t>
  </si>
  <si>
    <t>Ji, Xiaowen; Abakumov, Evgeny; Chigray, Svetlana; Saparova, Sheker; Polyakov, Vyacheslav; Wang, Wenjuan; Wu, Daishe; Li, Chunlan; Huang, Yu; Xie, Xianchuan</t>
  </si>
  <si>
    <t>Response of carbon and microbial properties to risk elements pollution in arctic soils</t>
  </si>
  <si>
    <t>Arctic soil; Microbial biomass carbon; Microbial community; Microbial carbon decomposition; Risk elements</t>
  </si>
  <si>
    <t>FATTY-ACID PROFILES; HEAVY-METAL POLLUTION; COMMUNITY STRUCTURE; BACTERIAL COMMUNITY; PERMAFROST CARBON; CLIMATE-CHANGE; BIOMASS; DIVERSITY; BIOAVAILABILITY; RESPIRATION</t>
  </si>
  <si>
    <t>A 180-day incubation study was conducted to evaluate the effects of risk elements (REs) on organic carbon use and microbial activities in organic soils in the Arctic during the summer snowmelt period. Soils were artificially spiked with Cd, Pb, Cr, Ni, Cu, As, and a combination of these REs according to the levels measured in Arctic soils from REs-polluted industrial sites. During the incubation period, microbial activities and microbial biomass carbon (MBC) formation were inhibited, and microbial quotient (qCO2) values were relatively high in the spiked soils indicating that more energy was used by microbes for maintenance under REs stress. Meanwhile, microbial metabolism was significantly restrained. Microbial Specific phospholipid fatty acids (PLFAs) were reduced in RE spiked soils relative to the control, especially in the Asand multi-RE-spiked soils. The abundance of both fungi and bacteria was reduced in response to RE amendments by 14-24% and 1-55%, respectively. PLFA biomarkers indicated a shift in soil microbial community structure and activities influenced by REs, consequently having a negative effect on soil organic carbon degradation. This study addresses the knowledge gap regarding the alternation of biochemical reactions in Arctic soils under anthropogenic REs with relevant contamination levels.</t>
  </si>
  <si>
    <t>[Ji, Xiaowen; Wu, Daishe; Xie, Xianchuan] Nanchang Univ, Sch Resources Environm &amp; Chem Engn, Key Lab Poyang Lake Environm &amp; Resource Utilizat, Minist Educ, Nanchang 330031, Jiangxi, Peoples R China; [Ji, Xiaowen; Abakumov, Evgeny; Chigray, Svetlana; Saparova, Sheker; Polyakov, Vyacheslav; Wang, Wenjuan] St Petersburg State Univ, Dept Appl Ecol, St Petersburg 199178, Russia; [Ji, Xiaowen] Univ Saskatchewan, Sch Environm &amp; Sustainabil, Saskatoon, SK S7N 5B3, Canada; [Polyakov, Vyacheslav] Arctic &amp; Antarctic Res Inst, St Petersburg 199397, Russia; [Polyakov, Vyacheslav] St Petersburg State Agr Univ, Dept Soil Sci &amp; Agrochem, St Petersburg 19660, Russia; [Li, Chunlan] East China Normal Univ, Inst Global Innovat &amp; Dev, Shanghai 200062, Peoples R China; [Li, Chunlan] East China Normal Univ, Sch Urban &amp; Reg Sci, Shanghai 200241, Peoples R China; [Huang, Yu] Nanjing Hydraul Res Inst, Ctr Ecoenvironm Res, Nanjing 210098, Peoples R China; [Xie, Xianchuan] Nanjing Univ, Sch Environm, State Key Lab Pollut Control &amp; Resource Reuse, Nanjing 210093, Peoples R China</t>
  </si>
  <si>
    <t>Nanchang University; Saint Petersburg State University; University of Saskatchewan; Arctic &amp; Antarctic Research Institute; East China Normal University; East China Normal University; Nanjing Hydraulic Research Institute; Nanjing University</t>
  </si>
  <si>
    <t>Xie, XC (corresponding author), Nanchang Univ, Sch Resources Environm &amp; Chem Engn, Key Lab Poyang Lake Environm &amp; Resource Utilizat, Minist Educ, Nanchang 330031, Jiangxi, Peoples R China.</t>
  </si>
  <si>
    <t>24255542@qq.com</t>
  </si>
  <si>
    <t>li, chunlan/IUP-7784-2023; Xie, Xianchuan/AAK-2934-2020; Wang, wenjuan/HIR-3631-2022; Abakumov, e_abakumov@mail.ru/ADJ-1297-2022; Abakumov, Evgeny/AAO-8580-2020; Polyakov, Vyacheslav/H-5483-2016</t>
  </si>
  <si>
    <t>Wang, wenjuan/0000-0002-9173-3028; Abakumov, e_abakumov@mail.ru/0000-0002-5248-9018; Abakumov, Evgeny/0000-0002-5248-9018; Polyakov, Vyacheslav/0000-0001-6171-3221</t>
  </si>
  <si>
    <t>Russian Foundation for Basic Research [18-44-890003, 19-416-890002, 19-05-50107]; Saint-Petersburg State University [39377455]; National Natural Science Foundation of China [52070094]</t>
  </si>
  <si>
    <t>Russian Foundation for Basic Research(Russian Foundation for Basic Research (RFBR)Spanish Government); Saint-Petersburg State University; National Natural Science Foundation of China(National Natural Science Foundation of China (NSFC))</t>
  </si>
  <si>
    <t>We thank the four anonymous reviewers for taking the time to review our manuscript and provide helpful comments that greatly contributed to the improvement of this manuscript. We would like to thank Miss Yu Su from the School of Visual Arts at BFA Computer Art for helping with data visualization. We are also grateful for Prof. Jeff Schoenau from Department of Soil Science, University of Saskatchewan, Canada, for providing valuable suggestions and editing to our manuscript. This work was supported by grants from the Russian Foundation for Basic Research (18-44-890003, 19-416-890002 and 19-05-50107), the Saint-Petersburg State University (Urbanized ecosystems of the Russian Arctic: dynamics; state and sustainable development, grant number: 39377455), the National Natural Science Foundation of China (52070094).</t>
  </si>
  <si>
    <t>10.1016/j.jhazmat.2020.124430</t>
  </si>
  <si>
    <t>QK4TL</t>
  </si>
  <si>
    <t>WOS:000620379400006</t>
  </si>
  <si>
    <t>Bentley, LK; Kato, A; Ropert-Coudert, Y; Manica, A; Phillips, RA</t>
  </si>
  <si>
    <t>Bentley, L. K.; Kato, A.; Ropert-Coudert, Y.; Manica, A.; Phillips, R. A.</t>
  </si>
  <si>
    <t>Diving behaviour of albatrosses: implications for foraging ecology and bycatch susceptibility</t>
  </si>
  <si>
    <t>PELAGIC LONGLINE FISHERIES; REDUCING SEABIRD BYCATCH; WHITE-CHINNED PETRELS; MARINE PREDATOR; SOUTH-GEORGIA; CONSERVATION; SHEARWATERS; MITIGATION; STRATEGIES; RELEVANCE</t>
  </si>
  <si>
    <t>Diving is an ecologically important behaviour that provides air-breathing predators with opportunities to capture prey, but that also increases their exposure to incidental mortality (bycatch) in commercial fisheries. In this study, we characterised the diving behaviour of 26 individuals of three species, the black-browed albatross Thalassarche melanophris, grey-headed albatross T. chrysostoma and light-mantled albatross Phoebetria palpebrata, breeding at Bird Island, South Georgia. Individuals were tracked using Global Location Sensor (GLS)-immersion loggers and time-depth recorders (TDRs) and, for two species, Global Positioning System (GPS) loggers. Although the TDRs recorded 589 dives (defined in this paper as submersion&gt;1 m), average dive depths and durations were just 1.30-1.49 m and 2.5-3.3 s, respectively, for the three species. In addition, many individuals (22% of black-browed, 20% of grey-headed, and 57% of light-mantled albatrosses; total n=9, 10 and 7 individuals, respectively) did not dive at all. Most dives occurred at the distal end of foraging trips and were rare during the commuting phase. No dives took place in darkness, despite long periods spent on water at night. The limited and shallow dive activity contrasts with impressions from a previous study using capillary-tube depth gauges (which are less accurate than TDRs) and has implications for the susceptibility of albatrosses to bycatch on longlines. This study provides further support for regulations requiring night setting and increased sink rates of baited hooks to help mitigate albatross bycatch.</t>
  </si>
  <si>
    <t>[Bentley, L. K.; Manica, A.] Univ Cambridge, Dept Zool, Cambridge, England; [Bentley, L. K.; Phillips, R. A.] NERC, British Antarctic Survey, Cambridge, England; [Kato, A.; Ropert-Coudert, Y.] La Rochelle Univ, Ctr Etud Biol Chize, Villiers En Bois, France</t>
  </si>
  <si>
    <t>Bentley, LK (corresponding author), Univ Cambridge, Dept Zool, Cambridge, England.;Bentley, LK (corresponding author), NERC, British Antarctic Survey, Cambridge, England.</t>
  </si>
  <si>
    <t>lkb45@cam.ac.uk</t>
  </si>
  <si>
    <t>; Manica, Andrea/B-5497-2008</t>
  </si>
  <si>
    <t>Ropert-Coudert, Yan/0000-0001-6494-5300; Manica, Andrea/0000-0003-1895-450X; Kato, Akiko/0000-0002-8947-3634; Bentley, Lily/0000-0002-0365-6385</t>
  </si>
  <si>
    <t>Natural Environmental Research Council (NERC) - Gates Cambridge Trust; NERC [bas0100035] Funding Source: UKRI</t>
  </si>
  <si>
    <t>Natural Environmental Research Council (NERC) - Gates Cambridge Trust; NERC(UK Research &amp; Innovation (UKRI)Natural Environment Research Council (NERC))</t>
  </si>
  <si>
    <t>Fieldwork for this study was funded by Natural Environmental Research Council (NERC) core funding to British Antarctic Survey. LKB was funded by the Gates Cambridge Trust</t>
  </si>
  <si>
    <t>FEB 17</t>
  </si>
  <si>
    <t>10.1007/s00227-021-03841-y</t>
  </si>
  <si>
    <t>QK4RJ</t>
  </si>
  <si>
    <t>WOS:000620374000002</t>
  </si>
  <si>
    <t>Holland, O; Shaw, J; Stark, JS; Wilson, KA</t>
  </si>
  <si>
    <t>Holland, Oakes; Shaw, Justine; Stark, Jonathan S.; Wilson, Kerrie A.</t>
  </si>
  <si>
    <t>Hull fouling marine invasive species pose a very low, but plausible, risk of introduction to East Antarctica in climate change scenarios</t>
  </si>
  <si>
    <t>climate change; East Antarctica; gradient boosting; hull fouling; invasion biology; machine learning; Northern Pacific sea star; ports; subantarctic; XGBoost</t>
  </si>
  <si>
    <t>OCEAN ACIDIFICATION; SOUTHERN-OCEAN; COASTAL; ECOSYSTEMS; MANAGEMENT; TRANSPORT; IMPACTS; ESTABLISHMENT; MECHANISMS; PREVENTION</t>
  </si>
  <si>
    <t>Aims To identify potential hull fouling marine invasive species that could survive in East Antarctica presently and in the future. Location Australia's Antarctic continental stations: Davis, Mawson and Casey, East Antarctica; and subantarctic islands: Macquarie Island and Heard and McDonald Islands. Methods Our study uses a novel machine-learning algorithm to predict which currently known hull fouling MIS could survive in shallow benthic ecosystems adjacent to Australian Antarctic research stations and subantarctic islands, where ship traffic is present. We used gradient boosted machine learning (XGBoost) with four important environmental variables (sea surface temperature, salinity, nitrate and pH) to develop models of suitable environments for each potentially invasive species. We then used these models to determine if any of Australia's three Antarctic research stations and two subantarctic islands could be environmentally suitable for MIS now and under two future climate scenarios. Results Most of the species were predicted to be unable to survive at any location between now and the end of this century; however, four species were identified as potential current threats and five as threats under future climate change. Asterias amurensis was identified as a potential threat to all locations. Main conclusions This study suggests that the risks are very low, but plausible, that known hull fouling species could survive in the shallow benthic habitats near Australia's East Antarctica locations and suggest a precautionary approach is needed by way of surveillance and monitoring in this region, particularly if propagule pressure increases. While some species could survive as adults in the region, their ability to reach these locations and undergo successful reproduction is considered unlikely based on current knowledge.</t>
  </si>
  <si>
    <t>[Holland, Oakes; Wilson, Kerrie A.] Queensland Univ Technol, Inst Future Environm, Brisbane, Qld 4000, Australia; [Shaw, Justine] Univ Queensland, Sch Biol Sci, St Lucia, Qld, Australia; [Shaw, Justine; Stark, Jonathan S.] Australian Antarctic Div, Kingston, Tas, Australia</t>
  </si>
  <si>
    <t>Queensland University of Technology (QUT); University of Queensland; Australian Antarctic Division</t>
  </si>
  <si>
    <t>Holland, O (corresponding author), Queensland Univ Technol, Inst Future Environm, Brisbane, Qld 4000, Australia.</t>
  </si>
  <si>
    <t>o.holland@hdr.qut.edu.au</t>
  </si>
  <si>
    <t>Wilson, Kerrie/W-4181-2019</t>
  </si>
  <si>
    <t>Wilson, Kerrie/0000-0002-0092-935X; Stark, Jonathan/0000-0002-4268-8072; Shaw, Justine/0000-0002-9603-2271; Holland, Oakes/0000-0002-4185-4438</t>
  </si>
  <si>
    <t>Institute for Future Environments (QUT) Scholarship</t>
  </si>
  <si>
    <t>Thanks to Dr Kate Helmstedt (QUT) for helpful advice on preparing the figures and providing feedback on the draft of this manuscript. Thanks to Dr Blake Alexander Simmons for producing the methods flow diagram. Funding was provided to O. H. by an Institute for Future Environments (QUT) Scholarship.</t>
  </si>
  <si>
    <t>10.1111/ddi.13246</t>
  </si>
  <si>
    <t>SH4XG</t>
  </si>
  <si>
    <t>WOS:000618632100001</t>
  </si>
  <si>
    <t>Liu, JM; Liu, WJ; Xing, S; Zhang, XY; He, HL; Chen, JB; Bielicki, JK; Zhou, MY</t>
  </si>
  <si>
    <t>Liu, Jianmin; Liu, Wenjie; Xing, Shu; Zhang, Xiying; He, Hailun; Chen, Jianbin; Bielicki, John Kevin; Zhou, Mingyang</t>
  </si>
  <si>
    <t>Diversity of protease-producing bacteria in the soils of the South Shetland Islands, Antarctica</t>
  </si>
  <si>
    <t>ANTONIE VAN LEEUWENHOEK INTERNATIONAL JOURNAL OF GENERAL AND MOLECULAR MICROBIOLOGY</t>
  </si>
  <si>
    <t>Antarctica; Soil; Protease; Bacteria; Diversity</t>
  </si>
  <si>
    <t>Proteases secreted from bacteria into soil play a key role in the degradation of organic nitrogen, which is the first and, usually, the rate-limiting step of nitrogen cycling. However, the diversity of protease-producing bacteria and their excreted proteases in Antarctic soil have not yet been fully explored. Here we studied 20 soil samples from the South Shetland Islands, Antarctica and isolated 253 strains with protease activity. These protease-producing bacteria belonged to the phyla Bacteroidetes, Proteobacteria, Actinobacteria, Firmicutes, and Deinococcus-Thermus. Thhe predominant genera were Arthrobacter (14.9%), Chryseobacterium (14.5%), Flavobacterium (14.5%), and Pseudomonas (14.5%). Most of these bacteria secreted serine proteases and metalloproteases. There was quite a large distribution in activity as quantified by protease and inhibition assays. Only a few strains secreted aspartic and/or cysteine proteases. Together these data provided novel insight into the diversity and mechanism of organic nitrogen degradation in Antarctic soils by various proteases, which may have potential in new biotechnological applications.</t>
  </si>
  <si>
    <t>[Liu, Jianmin; Liu, Wenjie; Xing, Shu; Chen, Jianbin; Zhou, Mingyang] Qilu Univ Technol, Sch Chem &amp; Chem Engn, Shandong Acad Sci, Jinan, Peoples R China; [Zhang, Xiying] Shandong Univ, Marine Biotechnol Res Ctr, State Key Lab Microbial Technol, Qingdao, Peoples R China; [He, Hailun] Cent South Univ, Sch Life Sci, State Key Lab Med Genet, Changsha, Peoples R China; [Bielicki, John Kevin] Lawrence Berkeley Natl Lab, Berkeley, CA USA</t>
  </si>
  <si>
    <t>Qilu University of Technology; Shandong University; Central South University; United States Department of Energy (DOE); Lawrence Berkeley National Laboratory</t>
  </si>
  <si>
    <t>Zhou, MY (corresponding author), Qilu Univ Technol, Sch Chem &amp; Chem Engn, Shandong Acad Sci, Jinan, Peoples R China.</t>
  </si>
  <si>
    <t>myzhou@qlu.edu.cn</t>
  </si>
  <si>
    <t>Wenjie, Liu/D-6160-2017; Zhang, Xi/HJH-1211-2023; Zhou, Mingyang/JRY-7534-2023; Chen, Jianbin/HGF-1513-2022; He, Hailun/L-4424-2018</t>
  </si>
  <si>
    <t>Zhou, Mingyang/0009-0001-8519-7118; Chen, Jianbin/0000-0003-1104-7237;</t>
  </si>
  <si>
    <t>National Natural Science Foundation of China [31400002, 31370104, 21801144]; Qilu University of Technology (Shandong Academy of Sciences) Joint Fund for Young Doctors [2017BSH2016, 2017BSH2017]; Natural Science Foundation of Shandong Province [ZR2017BH053]; Youth Innovative Talents Recruitment and Cultivation Program of Shandong Higher Education; Government Fund for Universities of Jinan City [2019GXRC021]</t>
  </si>
  <si>
    <t>National Natural Science Foundation of China(National Natural Science Foundation of China (NSFC)); Qilu University of Technology (Shandong Academy of Sciences) Joint Fund for Young Doctors; Natural Science Foundation of Shandong Province(Natural Science Foundation of Shandong Province); Youth Innovative Talents Recruitment and Cultivation Program of Shandong Higher Education; Government Fund for Universities of Jinan City</t>
  </si>
  <si>
    <t>This work was supported by the National Natural Science Foundation of China [grant numbers 31400002, 31370104, and 21801144]; Qilu University of Technology (Shandong Academy of Sciences) Joint Fund for Young Doctors [grant numbers 2017BSH2016 and 2017BSH2017]; Natural Science Foundation of Shandong Province [grant number ZR2017BH053], Youth Innovative Talents Recruitment and Cultivation Program of Shandong Higher Education, and Government Fund for Universities of Jinan City [Grant Number 2019GXRC021].</t>
  </si>
  <si>
    <t>0003-6072</t>
  </si>
  <si>
    <t>1572-9699</t>
  </si>
  <si>
    <t>ANTON LEEUW INT J G</t>
  </si>
  <si>
    <t>Antonie Van Leeuwenhoek</t>
  </si>
  <si>
    <t>10.1007/s10482-021-01533-7</t>
  </si>
  <si>
    <t>QZ5EX</t>
  </si>
  <si>
    <t>WOS:000618901300003</t>
  </si>
  <si>
    <t>Koppel, DJ; Price, GAV; Brown, KE; Adams, MS; King, CK; Gore, DB; Jolley, DF</t>
  </si>
  <si>
    <t>Koppel, Darren J.; Price, Gwilym A., V; Brown, Kathryn E.; Adams, Merrin S.; King, Catherine K.; Gore, Damian B.; Jolley, Dianne F.</t>
  </si>
  <si>
    <t>Assessing metal contaminants in Antarctic soils using diffusive gradients in thin-films</t>
  </si>
  <si>
    <t>Bioavailability; Chelex; DGT; Environmental impact assessment; Environmental monitoring</t>
  </si>
  <si>
    <t>KING GEORGE ISLAND; SEQUENTIAL EXTRACTION; SEDIMENTS; TOXICITY; BIOAVAILABILITY; DGT; REMEDIATION; SPECIATION; TERRESTRIAL; EXCHANGE</t>
  </si>
  <si>
    <t>Metal contaminants in Antarctic soils are typically found around research stations which are concentrated in ice-free coastal areas. The risk of these contaminants to the Antarctic environment is not well understood, given Antarctica's unique organisms and climate. This study assessed the use of diffusive gradients in thin-films (DGT), a passive sampler that measures fluxes of labile metals from soils to porewaters, in Antarctic soils. DGT-labile measurements were compared to three chemical extractants of increasing strength including high-purity water, dilute acid (1 M HCl), and concentrated acids (3:1 v/v HNO3:HCl), to understand differences in contaminant geochemistry that may affect environmental risk. One site had high lead concentrations measured with dilute (114 +/- 4 mg kg(-1)) and concentrated (150 +/- 10 mg kg(-1)) acids, while DGT-labile concentrations were below the method detection limit (0.5 mg L-1), indicating that the lead species has low solubility or lability. Another site had low concentrations of zinc measured by dilute (36.2 +/- 0.5 mg kg(-1)) or concentrated (76 +/- 6 mg kg(-1)) acid extracts, but had high DGT-labile concentrations (350 +/- 80 mg L-1). This reflects an active source of zinc supplied from soil to pore water over time. Copper was found to be acid extractable, water-soluble, and DGT-labile, with DGT-labile concentrations of up to 12 mg L-1. Despite the soil and metal-specific geochemical differences, any of the extracts could be used with statistical clustering techniques to identify differences in sites with elevated metal concentrations. This study shows that the DGT-method can identify contaminated sites comparably to chemical extracts but provides environmentally relevant measurements of metal contaminant lability in Antarctic soils. (C) 2020 Elsevier Ltd. All rights reserved.</t>
  </si>
  <si>
    <t>[Koppel, Darren J.; Price, Gwilym A., V] Univ Technol Sydney, Fac Sci, Sydney, NSW, Australia; [Koppel, Darren J.; Jolley, Dianne F.] Univ Wollongong, Fac Sci Med &amp; Hlth, Wollongong, NSW, Australia; [Koppel, Darren J.; Price, Gwilym A., V; Adams, Merrin S.; Jolley, Dianne F.] CSIRO Land &amp; Water, Lucas Heights, NSW, Australia; [Brown, Kathryn E.; King, Catherine K.] Australian Antarctic Div, Kingston, Tas, Australia; [Gore, Damian B.] Macquarie Univ, Dept Earth &amp; Environm Sci, N Ryde, NSW, Australia</t>
  </si>
  <si>
    <t>University of Technology Sydney; University of Wollongong; Commonwealth Scientific &amp; Industrial Research Organisation (CSIRO); Australian Antarctic Division; Macquarie University</t>
  </si>
  <si>
    <t>Koppel, DJ (corresponding author), Univ Technol Sydney, Fac Sci, Sydney, NSW, Australia.</t>
  </si>
  <si>
    <t>darren.koppel@curtin.edu.au</t>
  </si>
  <si>
    <t>Koppel, Darren J/AAY-6884-2020; Brown, Kathryn/AAE-9933-2021; Adams, Merrin/F-3513-2011; Jolley, Dianne/D-1597-2009; King, Catherine/G-7059-2017</t>
  </si>
  <si>
    <t>Koppel, Darren J/0000-0001-7534-237X; Brown, Kathryn/0000-0002-9093-8742; Adams, Merrin/0000-0003-2849-9096; Jolley, Dianne/0000-0003-1028-1603; King, Catherine/0000-0003-3356-0381; Price, Gwilym/0000-0003-3261-1298</t>
  </si>
  <si>
    <t>Australian government through Australian Antarctic Science Grant [AAS 4326]; Australian Government Research Training Program Scholarship; CSIRO Land and Water</t>
  </si>
  <si>
    <t>Australian government through Australian Antarctic Science Grant; Australian Government Research Training Program Scholarship(Australian GovernmentDepartment of Industry, Innovation and Science); CSIRO Land and Water(Commonwealth Scientific &amp; Industrial Research Organisation (CSIRO))</t>
  </si>
  <si>
    <t>Funding and support were provided by the Australian government through Australian Antarctic Science Grant (AAS 4326 awarded to D. F. Jolley, C. K. King, and M. S. Adams), an Australian Government Research Training Program Scholarship for Dr D. J. Koppel, and support from CSIRO Land and Water. The authors acknowledge the work of the 2017-2018 Casey Station and Kingston teams of the Australian Antarctic Division for logistics support of their fieldwork. We thank Drs G. Batley and S. Simpson (CSIRO) and S. Stark (AAD) for comments that improved the manuscript.</t>
  </si>
  <si>
    <t>10.1016/j.chemosphere.2020.128675</t>
  </si>
  <si>
    <t>RA9FO</t>
  </si>
  <si>
    <t>WOS:000631725000004</t>
  </si>
  <si>
    <t>Ekwealor, JTB; Clark, TA; Dautermann, O; Russell, A; Ebrahimi, S; Stark, LR; Niyogi, KK; Mishler, BD</t>
  </si>
  <si>
    <t>Ekwealor, Jenna T. B.; Clark, Theresa A.; Dautermann, Oliver; Russell, Alexander; Ebrahimi, Sotodeh; Stark, Lloyd R.; Niyogi, Krishna K.; Mishler, Brent D.</t>
  </si>
  <si>
    <t>Natural ultraviolet radiation exposure alters photosynthetic biology and improves recovery from desiccation in a desert moss</t>
  </si>
  <si>
    <t>JOURNAL OF EXPERIMENTAL BOTANY</t>
  </si>
  <si>
    <t>Biological soil crust; desiccation tolerance; maximum PSII quantum efficiency (F-v/F-m); Mojave Desert; moss; non-photochemical quenching (NPQ); photosynthetic efficiency; photosynthetic pigments; Syntrichia caninervis; UV tolerance</t>
  </si>
  <si>
    <t>UV-B RADIATION; 2 AQUATIC BRYOPHYTES; SOIL CRUSTS; CHLOROPHYLL FLUORESCENCE; PHOTOSYSTEM-II; ANTARCTIC MOSS; STRATOSPHERIC OZONE; VASCULAR PLANTS; PHYSIOLOGICAL-RESPONSES; THYLAKOID MEMBRANES</t>
  </si>
  <si>
    <t>Plants in dryland ecosystems experience extreme daily and seasonal fluctuations in light, temperature, and water availability. We used an in situ field experiment to uncover the effects of natural and reduced levels of ultraviolet radiation (UV) on maximum PSII quantum efficiency (F-v/F-m), relative abundance of photosynthetic pigments and antioxidants, and the transcriptome in the desiccation-tolerant desert moss Syntrichia caninervis. We tested the hypotheses that: (i) S. caninervis plants undergo sustained thermal quenching of light [non-photochemical quenching (NPQ)] while desiccated and after rehydration; (ii) a reduction of UV will result in improved recovery of F-v/F-m; but (iii) 1 year of UV removal will de-harden plants and increase vulnerability to UV damage, indicated by a reduction in F-v/F-m. All field-collected plants had extremely low F-v/F-m after initial rehydration but recovered over 8 d in lab-simulated winter conditions. UV-filtered plants had lower F-v/F-m during recovery, higher concentrations of photoprotective pigments and antioxidants such as zeaxanthin and tocopherols, and lower concentrations of neoxanthin and ChI b than plants exposed to near natural UV levels. Field-grown S. caninervis underwent sustained NPQ that took days to relax and for efficient photosynthesis to resume. Reduction of solar UV radiation adversely affected recovery of F-v/F-m following rehydration.</t>
  </si>
  <si>
    <t>[Ekwealor, Jenna T. B.; Mishler, Brent D.] Univ Calif Berkeley, Dept Integrat Biol, Berkeley, CA 94720 USA; [Ekwealor, Jenna T. B.; Mishler, Brent D.] Univ Calif Berkeley, Univ &amp; Jepson Herbaria, Berkeley, CA 94720 USA; [Clark, Theresa A.; Russell, Alexander; Ebrahimi, Sotodeh; Stark, Lloyd R.] Univ Nevada, Sch Life Sci, Las Vegas, NV 89154 USA; [Dautermann, Oliver; Niyogi, Krishna K.] Univ Calif Berkeley, Dept Plant &amp; Microbial Biol, Berkeley, CA 94720 USA; [Niyogi, Krishna K.] Univ Calif Berkeley, Howard Hughes Med Inst, Berkeley, CA 94720 USA; [Niyogi, Krishna K.] Lawrence Berkeley Natl Lab, Mol Biophys &amp; Integrated Bioimaging Div, Berkeley, CA USA</t>
  </si>
  <si>
    <t>University of California System; University of California Berkeley; University of California System; University of California Berkeley; Nevada System of Higher Education (NSHE); University of Nevada Las Vegas; University of California System; University of California Berkeley; Howard Hughes Medical Institute; University of California System; University of California Berkeley; United States Department of Energy (DOE); Lawrence Berkeley National Laboratory</t>
  </si>
  <si>
    <t>Ekwealor, JTB (corresponding author), Univ Calif Berkeley, Dept Integrat Biol, Berkeley, CA 94720 USA.;Ekwealor, JTB (corresponding author), Univ Calif Berkeley, Univ &amp; Jepson Herbaria, Berkeley, CA 94720 USA.</t>
  </si>
  <si>
    <t>jtbe@berkeley.edu</t>
  </si>
  <si>
    <t>Russell, Alexander/J-6869-2013; Ekwealor, Jenna/K-6733-2019</t>
  </si>
  <si>
    <t>Ekwealor, Jenna/0000-0001-9014-8786; Clark, Theresa/0000-0001-5668-2600</t>
  </si>
  <si>
    <t>University of California, Berkeley, Department of Integrative Biology Graduate Research Fund; American Bryological and Lichenological Society Anderson &amp; Crum Field Research Award; German Research Foundation (DFG) [427925948]; National Science Foundation [DEB-1638956, DEB 1638943]; University of California Berkeley Fellowship; UC Berkeley Pinto-Fialon Fellowship; UC Natural Reserve System Mildred E. Mathias Research Grant</t>
  </si>
  <si>
    <t>University of California, Berkeley, Department of Integrative Biology Graduate Research Fund; American Bryological and Lichenological Society Anderson &amp; Crum Field Research Award; German Research Foundation (DFG)(German Research Foundation (DFG)); National Science Foundation(National Science Foundation (NSF)); University of California Berkeley Fellowship; UC Berkeley Pinto-Fialon Fellowship; UC Natural Reserve System Mildred E. Mathias Research Grant</t>
  </si>
  <si>
    <t>The authors would like to thank Carl J. Rothfels, Kirsten K. Coe, and Ben K. Blackman for their feedback on earlier versions of this manuscript. We also thank Cindy V. Looy, Ivo A.P. Duijnstee, and Jeffrey P. Benca for their assistance with measuring UV-B flux from our experimental lamps. This work was supported by the University of California, Berkeley, Department of Integrative Biology Graduate Research Fund to JTBE; the UC Natural Reserve System Mildred E. Mathias Research Grant to JTBE; the American Bryological and Lichenological Society Anderson &amp; Crum Field Research Award to JTBE; German Research Foundation (DFG) project number 427925948 to OD; and National Science Foundation Dimensions of Biodiversity awards (DEB-1638956 and DEB 1638943) to BDM and LRS, respectively. KKN is an investigator of the Howard Hughes Medical Institute. JTBE was also supported by the University of California Berkeley Fellowship, the UC Berkeley Pinto-Fialon Fellowship, and the National Science Foundation Dimensions of Biodiversity award (DEB-1638956).</t>
  </si>
  <si>
    <t>0022-0957</t>
  </si>
  <si>
    <t>1460-2431</t>
  </si>
  <si>
    <t>J EXP BOT</t>
  </si>
  <si>
    <t>J. Exp. Bot.</t>
  </si>
  <si>
    <t>MAY 18</t>
  </si>
  <si>
    <t>10.1093/jxb/erab051</t>
  </si>
  <si>
    <t>SS1VX</t>
  </si>
  <si>
    <t>WOS:000661531200016</t>
  </si>
  <si>
    <t>Wang, YF; Hou, YH; Wang, QF; Wang, YT</t>
  </si>
  <si>
    <t>Wang, Yifan; Hou, Yanhua; Wang, Quanfu; Wang, Yatong</t>
  </si>
  <si>
    <t>The elucidation of the biodegradation of nitrobenzene and p-nitrophenol of nitroreductase from Antarctic psychrophile Psychrobacter sp. ANT206 under low temperature</t>
  </si>
  <si>
    <t>Nitroreductase; Deletion mutant; Psychrobacter sp.; Nitro-aromatic compounds; Metabolomics</t>
  </si>
  <si>
    <t>IDENTIFICATION; REDUCTION; BACTERIA</t>
  </si>
  <si>
    <t>Psychrobacter is one important typical strain in the Antarctic environment. In our previous study, Psychrobacter sp. ANT206 from Antarctica with novel cold-adapted nitroreductase (PsNTR) could biodegrade nitrobenzene and p-nitrophenol in low temperature environment. In this study, the in-frame deletion mutant of psntr (Delta psntr-ANT206) that displayed well genetic stability and kanamycin resistance stability was constructed using allelic replacement method. Additionally, Delta psntr-ANT206 was more sensitive to nitrobenzene and p-nitrophenol in the comparison of heat and hyperosmolarity, suggesting that psntr gene participated in the regulation of the tolerance against nitro-aromatic compounds (NACs). Further analysis was conducted by integrated gas chromatography-mass spectrometry (GC-MS), and several metabolites were identified. Among them, ethylbenzene, L-Alanine, citric acid, aniline, 4-aminophenol and other metabolites were different between the wildtype strain and.psntr-ANT206 under nitrobenzene and p-nitrophenol stress at different time periods under low temperature, respectively. These data could increase the knowledge of the construction of deletion mutant strains and biodegradation mechanism of NACs of typical strains Psychrobacter from Antarctica, which would also provide the basis of the molecular technique on the regulation of bioremediation of the contaminants under low temperature in the future.</t>
  </si>
  <si>
    <t>[Wang, Yifan; Wang, Quanfu; Wang, Yatong] Harbin Inst Technol, Sch Environm, Harbin 150090, Peoples R China; [Hou, Yanhua; Wang, Quanfu] Harbin Inst Technol, Sch Marine Sci &amp; Technol, Weihai 264209, Peoples R China</t>
  </si>
  <si>
    <t>Wang, QF (corresponding author), Harbin Inst Technol, Sch Environm, Harbin 150090, Peoples R China.;Hou, YH (corresponding author), Harbin Inst Technol, Sch Marine Sci &amp; Technol, Weihai 264209, Peoples R China.</t>
  </si>
  <si>
    <t>marry7718@163.com; wangquanfu2000@126.com</t>
  </si>
  <si>
    <t>wang, yatong/KDN-3824-2024; wang, yi fan/L-1193-2018; wang, quan fu/K-9703-2018</t>
  </si>
  <si>
    <t>wang, yi fan/0000-0001-7360-2422; wang, quan fu/0000-0002-3885-5464</t>
  </si>
  <si>
    <t>National Natural Science Foundation of China [41876149]; Key Research and Development Program of Shandong Province, China [2019GHY112031]; Natural Science Foundation of Shandong Province, China [ZR2019MD018]</t>
  </si>
  <si>
    <t>National Natural Science Foundation of China(National Natural Science Foundation of China (NSFC)); Key Research and Development Program of Shandong Province, China; Natural Science Foundation of Shandong Province, China(Natural Science Foundation of Shandong Province)</t>
  </si>
  <si>
    <t>This work was supported by the National Natural Science Foundation of China (No. 41876149); the Key Research and Development Program of Shandong Province, China (No. 2019GHY112031); and the Natural Science Foundation of Shandong Province, China (No. ZR2019MD018).</t>
  </si>
  <si>
    <t>JUL 5</t>
  </si>
  <si>
    <t>10.1016/j.jhazmat.2021.125377</t>
  </si>
  <si>
    <t>RY0FH</t>
  </si>
  <si>
    <t>WOS:000647589900005</t>
  </si>
  <si>
    <t>Brogioni, M; Leduc-Leballeur, M; Andrews, MJ; Macelloni, G; Johnson, JT; Jezek, KC; Yardim, C</t>
  </si>
  <si>
    <t>Brogioni, Marco; Leduc-Leballeur, Marion; Andrews, Mark J.; Macelloni, Giovanni; Johnson, Joel T.; Jezek, Kenneth C.; Yardim, Caglar</t>
  </si>
  <si>
    <t>500-2000-MHz Airborne Brightness Temperature Measurements Over the East Antarctic Plateau</t>
  </si>
  <si>
    <t>IEEE GEOSCIENCE AND REMOTE SENSING LETTERS</t>
  </si>
  <si>
    <t>Temperature measurement; Ice; Sea measurements; Microwave radiometry; Brightness temperature; Microwave measurement; Antarctica; Cryosphere; ice sheet; passive microwave</t>
  </si>
  <si>
    <t>MODEL; EMISSION; SURFACE; FIRN</t>
  </si>
  <si>
    <t>Measurements of the 500-2000-MHz brightness temperature spectra of Antarctica acquired under the Ice Sheet and Sea Ice Ultrawideband Microwave Airborne eXperiment (ISSIUMAX) are reported. These data sets support the remote sensing of ice sheet properties, in particular information on the temperature profile within the ice sheet. The Ultrawideband Software-Defined Microwave Radiometer (UWBRAD) was installed on a Twin Otter aircraft, and measurements were collected on coastal areas and the interior of East Antarctica in November and December 2018. UWBRAD 500-2000-MHz brightness temperature measurements along a 1000-km path over the ice sheet are compared in this letter to forward model simulations for these locations and confirm the expected sensitivities to ice sheet parameters.</t>
  </si>
  <si>
    <t>[Brogioni, Marco; Leduc-Leballeur, Marion; Macelloni, Giovanni] CNR, Inst Appl Phys Nello Carrara, I-50019 Florence, Italy; [Andrews, Mark J.; Johnson, Joel T.; Yardim, Caglar] Ohio State Univ, ElectroSci Lab, Columbus, OH 43210 USA; [Jezek, Kenneth C.] Ohio State Univ, Byrd Polar Res Ctr, Columbus, OH 43210 USA</t>
  </si>
  <si>
    <t>Consiglio Nazionale delle Ricerche (CNR); Istituto di Fisica Applicata Nello Carrara (IFAC-CNR); University System of Ohio; Ohio State University; University System of Ohio; Ohio State University</t>
  </si>
  <si>
    <t>Brogioni, M (corresponding author), CNR, Inst Appl Phys Nello Carrara, I-50019 Florence, Italy.</t>
  </si>
  <si>
    <t>m.brogioni@ifac.cnr.it</t>
  </si>
  <si>
    <t>Leduc-Leballeur, Marion/AAK-9880-2021</t>
  </si>
  <si>
    <t>Leduc-Leballeur, Marion/0000-0001-7579-7024</t>
  </si>
  <si>
    <t>NASA's Instrument Incubator Program [NNX14AE68G]; Cryospheric Science Program [80NSSC18K0550, NNX14AH91G]; National Science Foundation [1838401]; Italian Antarctic Programme-PNRA [2016/AZ3.02]; NASA [NNX14AE68G, 684163] Funding Source: Federal RePORTER</t>
  </si>
  <si>
    <t>NASA's Instrument Incubator Program; Cryospheric Science Program; National Science Foundation(National Science Foundation (NSF)); Italian Antarctic Programme-PNRA; NASA(National Aeronautics &amp; Space Administration (NASA))</t>
  </si>
  <si>
    <t>Manuscript received October 19, 2020; revised December 14, 2020; accepted January 29, 2021. The results from the UWBRAD system were supported in part by the NASA's Instrument Incubator Program under Grant NNX14AE68G, in part by the Cryospheric Science Program under Grant 80NSSC18K0550 and Grant NNX14AH91G, and in part by the National Science Foundation under Grant 1838401. The Antarctic campaign was supported by the Italian Antarctic Programme-PNRA under Grant 2016/AZ3.02. (Corresponding author: Marco Brogioni.)</t>
  </si>
  <si>
    <t>1545-598X</t>
  </si>
  <si>
    <t>1558-0571</t>
  </si>
  <si>
    <t>IEEE GEOSCI REMOTE S</t>
  </si>
  <si>
    <t>IEEE Geosci. Remote Sens. Lett.</t>
  </si>
  <si>
    <t>10.1109/LGRS.2021.3056740</t>
  </si>
  <si>
    <t>XW4AV</t>
  </si>
  <si>
    <t>WOS:000732250100001</t>
  </si>
  <si>
    <t>Duarte, B; Gameiro, C; Matos, AR; Figueiredo, A; Silva, MS; Cordeiro, C; Caçador, I; Reis-Santos, P; Fonseca, V; Cabrita, MT</t>
  </si>
  <si>
    <t>Duarte, Bernardo; Gameiro, Carla; Matos, Ana Rita; Figueiredo, Andreia; Silva, Marta Sousa; Cordeiro, Carlos; Cacador, Isabel; Reis-Santos, Patrick; Fonseca, Vanessa; Cabrita, Maria Teresa</t>
  </si>
  <si>
    <t>First screening of biocides, persistent organic pollutants, pharmaceutical and personal care products in Antarctic phytoplankton from Deception Island by FT-ICR-MS</t>
  </si>
  <si>
    <t>Emerging contaminants; Antarctic phytoplankton; Anthropogenic pressure; FT-ICR-MS</t>
  </si>
  <si>
    <t>KING GEORGE ISLAND; TRACE-ELEMENT CONTAMINATION; EMERGING CONTAMINANTS; ENDOCRINE DISRUPTORS; FILDES PENINSULA; FRESH-WATER; TOXICITY; ENVIRONMENT; PESTICIDES; PHARMACOKINETICS</t>
  </si>
  <si>
    <t>In recent years, the Antarctic territory has seen a rise in the number of tourists and scientists. This has led to an increase in the anthropogenic footprint in Antarctic ecosystems, namely in terms of emerging contaminants, such as Biocides, Persistent Organic Pollutants (POPs) as well as Pharmaceutical and Personal Care Products (PPCPs). Yet scarce information on the presence of these emerging contaminants is available for trophic compartments, especially the phytoplankton community. Using high resolution Fourier-transform ion cyclotron-resonance mass spectrometry (FT-ICR-MS), an untargeted screening of the metabolome of the phytoplankton community was performed. Seventy different contaminant compounds were found to be present in phytoplankton collected at two sites in Port Foster Bay at Deception Island. These emerging contaminants included 1 polycyclic aromatic hydrocarbon (PAH), 10 biocides (acaricides, fungicides, herbicides, insecticides and nematicides), 11 POPs (flame retardants, paints and dyes, polychlorinated biphenyl (PCB), phthalates and plastic components), 5 PCPs (cosmetic, detergents and dietary compounds), 40 pharmaceutical compounds and 3 illicit drugs. Pharmaceutical compounds were, by far, the largest group of emerging contaminants found in phytoplankton cells (anticonvulsants, antihypertensives and beta-blockers, antibiotics, analgesic and anti-inflammatory drugs). The detection of several of these potentially toxic compounds at the basis of the marine food web has potentially severe impacts for the whole ecosystem trophic structure. Additionally, the present findings also point out that the guidelines proposed by the Antarctic Treaty and Protocol on Environmental Protection to the Antarctic Treaty should be revisited to avoid the proliferation of these and other PPCPs in such sensitive environments. (C) 2021 Elsevier Ltd. All rights reserved.</t>
  </si>
  <si>
    <t>[Duarte, Bernardo; Gameiro, Carla; Cacador, Isabel; Reis-Santos, Patrick; Fonseca, Vanessa] Univ Lisbon, MARE Marine &amp; Environm Sci Ctr, Fac Ciencias, P-1749016 Lisbon, Portugal; [Duarte, Bernardo; Matos, Ana Rita; Figueiredo, Andreia; Cacador, Isabel] Univ Lisbon, Dept Biol Vegetal, Fac Ciencias, P-1749016 Lisbon, Portugal; [Gameiro, Carla] Inst Mar &amp; Atmosfera IPMA, Rua Alfredo Magalhaes Ramalho 6, P-1495006 Lisbon, Portugal; [Matos, Ana Rita; Figueiredo, Andreia] Univ Lisbon, BioISI Biosyst &amp; Integrat Sci Inst, Dept Biol Vegetal, Fac Ciencias,Plant Funct Genom Grp, P-1749016 Lisbon, Portugal; [Silva, Marta Sousa; Cordeiro, Carlos] Univ Lisbon, Lab FT ICR &amp; Espectrometria Massa Estrutural, Fac Ciencias, P-1749016 Lisbon, Portugal; [Silva, Marta Sousa; Cordeiro, Carlos] Univ Lisbon, Dept Quim &amp; Bioquim, Fac Ciencias, P-1749016 Lisbon, Portugal; [Reis-Santos, Patrick] Univ Adelaide, Sch Biol Sci, Southern Seas Ecol Labs, Adelaide, SA 5005, Australia; [Fonseca, Vanessa] Univ Lisbon, Dept Biol Anim, Fac Ciencias, P-1749016 Lisbon, Portugal; [Cabrita, Maria Teresa] Univ Lisbon, Ctr Estudos Geog CEG, Inst Geog &amp; Ordenamento Terr IGOT, Rua Branca Edmee Marques, P-1600276 Lisbon, Portugal</t>
  </si>
  <si>
    <t>Universidade de Lisboa; Universidade de Lisboa; Instituto Portugues do Mar e da Atmosfera; Universidade de Lisboa; BIOISI; Universidade de Lisboa; Universidade de Lisboa; University of Adelaide; Universidade de Lisboa; Universidade de Lisboa</t>
  </si>
  <si>
    <t>Duarte, B (corresponding author), Univ Lisbon, MARE Marine &amp; Environm Sci Ctr, Fac Ciencias, P-1749016 Lisbon, Portugal.</t>
  </si>
  <si>
    <t>baduarte@fc.ul.pt</t>
  </si>
  <si>
    <t>Sousa Silva, Marta/N-2084-2019; Gameiro, Carla/B-5462-2012; Reis-Santos, Patrick/M-9972-2019; Fonseca, Vanessa F./B-3696-2012; Figueiredo, Andreia/G-2887-2014; Duarte, Bernardo/H-2001-2011; Cacador, Isabel/C-2618-2012; Cabrita, Maria Teresa/B-5746-2014</t>
  </si>
  <si>
    <t>Sousa Silva, Marta/0000-0002-3080-9682; Gameiro, Carla/0000-0003-2396-3929; Reis-Santos, Patrick/0000-0001-9843-9465; Fonseca, Vanessa F./0000-0002-6374-1194; Figueiredo, Andreia/0000-0001-8156-7700; Duarte, Bernardo/0000-0003-1914-7435; Cacador, Isabel/0000-0002-4475-6091; Matos, Ana Rita/0000-0002-3495-2195; Cordeiro, Carlos/0000-0001-6327-8606; Cabrita, Maria Teresa/0000-0002-4323-4945</t>
  </si>
  <si>
    <t>Fundacao para a Ciencia e a Tecnologia (FCT) [PTDC/CTA-AMB/30056/2017, UIDB/04292/2020, UID/MULTI/04046/2019, SFRH/BPD/95784/2013]; Portuguese Mass Spectrometry Network [LISBOA-01-0145-FEDER-022125]; European Project EU_FT-ICR_MS [H2020-INFRAIA-02-2017, 731077]; DL-57 investigation contract; [CEECIND/00511/2017]; [DL57/2016/CP1479/CT0024]; [IF/00819/2015]; [CEECIND/02246/2017]; Fundação para a Ciência e a Tecnologia [SFRH/BPD/95784/2013] Funding Source: FCT</t>
  </si>
  <si>
    <t>Fundacao para a Ciencia e a Tecnologia (FCT)(Fundacao para a Ciencia e a Tecnologia (FCT)); Portuguese Mass Spectrometry Network; European Project EU_FT-ICR_MS; DL-57 investigation contract; ; ; ; ; Fundação para a Ciência e a Tecnologia(Fundacao para a Ciencia e a Tecnologia (FCT))</t>
  </si>
  <si>
    <t>The authors would like to thank Fundacao para a Ciencia e a Tecnologia (FCT) for funding the Antarctic sampling campaigns through the PROPOLAR program, in this specific case through the Hg-Planktartic project. Additionally, would also like to thank FCT for funding this research via PTDC/CTA-AMB/30056/2017 (OPTOX), UIDB/04292/2020 and UID/MULTI/04046/2019. B. Duarte, V. F. Fonseca, A. Figueiredo and M. Sousa Silva were supported by investigation contracts (CEECIND/00511/2017, DL57/2016/CP1479/CT0024, IF/00819/2015 and CEECIND/02246/2017). P. Reis-Santos was supported by FCT through a postdoctoral grant (SFRH/BPD/95784/2013). We acknowledge the support from the Portuguese Mass Spectrometry Network (LISBOA-01-0145-FEDER-022125) and the European Project EU_FT-ICR_MS (H2020-INFRAIA-02-2017) under grant agreement number 731077. M.T.Cabrita is supported by a DL-57 investigation contract.</t>
  </si>
  <si>
    <t>10.1016/j.chemosphere.2021.129860</t>
  </si>
  <si>
    <t>RR2OR</t>
  </si>
  <si>
    <t>WOS:000642944800088</t>
  </si>
  <si>
    <t>Sun, ST; Eisenman, I</t>
  </si>
  <si>
    <t>Sun, Shantong; Eisenman, Ian</t>
  </si>
  <si>
    <t>Observed Antarctic sea ice expansion reproduced in a climate model after correcting biases in sea ice drift velocity</t>
  </si>
  <si>
    <t>NATURAL VARIABILITY; OZONE DEPLETION; TRENDS; OCEAN; EXTENT; AREA; LINK</t>
  </si>
  <si>
    <t>The Antarctic sea ice area expanded significantly during 1979-2015. This is at odds with state-of-the-art climate models, which typically simulate a receding Antarctic sea ice cover in response to increasing greenhouse forcing. Here, we investigate the hypothesis that this discrepancy between models and observations occurs due to simulation biases in the sea ice drift velocity. As a control we use the Community Earth System Model (CESM) Large Ensemble, which has 40 realizations of past and future climate change that all undergo Antarctic sea ice retreat during recent decades. We modify CESM to replace the simulated sea ice velocity field with a satellite-derived estimate of the observed sea ice motion, and we simulate 3 realizations of recent climate change. We find that the Antarctic sea ice expands in all 3 of these realizations, with the simulated spatial structure of the expansion bearing resemblance to observations. The results suggest that the reason CESM has failed to capture the observed Antarctic sea ice expansion is due to simulation biases in the sea ice drift velocity, implying that an improved representation of sea ice motion is crucial for more accurate sea ice projections. Climate models typically fail to capture the observed Antarctic sea ice expansion during recent decades. Here, the authors show that the observed expansion is reproduced in a climate model after removing biases in the sea ice drift velocity.</t>
  </si>
  <si>
    <t>[Sun, Shantong; Eisenman, Ian] Univ Calif San Diego, Scripps Inst Oceanog, La Jolla, CA 92093 USA; [Sun, Shantong] CALTECH, Environm Sci &amp; Engn, Pasadena, CA 91125 USA</t>
  </si>
  <si>
    <t>University of California System; University of California San Diego; Scripps Institution of Oceanography; California Institute of Technology</t>
  </si>
  <si>
    <t>Sun, ST; Eisenman, I (corresponding author), Univ Calif San Diego, Scripps Inst Oceanog, La Jolla, CA 92093 USA.;Sun, ST (corresponding author), CALTECH, Environm Sci &amp; Engn, Pasadena, CA 91125 USA.</t>
  </si>
  <si>
    <t>shantong@caltech.edu; eisenman@ucsd.edu</t>
  </si>
  <si>
    <t>Eisenman, Ian/B-9329-2009; Sun, Shantong/HTR-4945-2023; Sun, Shantong/AAL-8285-2021</t>
  </si>
  <si>
    <t>Sun, Shantong/0000-0002-6932-5589; Eisenman, Ian/0000-0003-0190-2869</t>
  </si>
  <si>
    <t>National Science Foundation [OPP-1643445]</t>
  </si>
  <si>
    <t>Without implying their endorsement, we thank Ed Blanchard-Wrigglesworth, Till J.W. Wagner, Paul Holland, and Elizabeth Hunke for helpful comments and discussions. This work was supported by National Science Foundation Grant OPP-1643445.</t>
  </si>
  <si>
    <t>FEB 16</t>
  </si>
  <si>
    <t>10.1038/s41467-021-21412-z</t>
  </si>
  <si>
    <t>QT7FJ</t>
  </si>
  <si>
    <t>WOS:000626754100004</t>
  </si>
  <si>
    <t>Hong, JM; Kim, JE; Min, SK; Kim, KH; Han, SJ; Yim, JH; Park, H; Kim, JH; Kim, IC</t>
  </si>
  <si>
    <t>Hong, Ju-Mi; Kim, Jung Eun; Min, Seul Ki; Kim, Kyung Hee; Han, Se Jong; Yim, Joung Han; Park, Hyun; Kim, Jin-Hyoung; Kim, Il-Chan</t>
  </si>
  <si>
    <t>Anti-Inflammatory Effects of Antarctic Lichen Umbilicaria antarctica Methanol Extract in Lipopolysaccharide-Stimulated RAW 264.7 Macrophage Cells and Zebrafish Model</t>
  </si>
  <si>
    <t>BIOMED RESEARCH INTERNATIONAL</t>
  </si>
  <si>
    <t>Umbilicaria antarctica (UA) is a member of the family Umbilicariaceae. To the best of our knowledge, no studies on its anti-inflammatory effects have been reported yet. In the present study, we examined its ability to suppress inflammatory responses and the molecular mechanisms underlying these abilities using lipopolysaccharide- (LPS-) stimulated RAW 264.7 cells and a zebrafish model of inflammation. We investigated the effects of UA on the production of nitric oxide (NO) and prostaglandin E-2 (PGE(2)) in LPS-stimulated RAW 264.7 cells. To explore the anti-inflammatory mechanisms of UA, we measured the mRNA and protein expression of proinflammatory mediators in LPS-stimulated RAW 264.7 cells using quantitative RT-PCR and western blot analyses, respectively. UA significantly inhibited the production of NO, PGE(2), interleukin- (IL-) 6, and tumor necrosis factor- (TNF-) alpha in the LPS-stimulated RAW 264.7 cells. It also suppressed the mRNA and protein expression of inducible nitric oxide synthase (iNOS), cyclooxygenase-2 (COX-2), and nuclear factor- (NF-) kappa B activation in LPS-stimulated RAW 264.7 cells and tail pin-cutting-induced zebrafish model. Collectively, these findings indicate that UA significantly inhibits LPS-stimulated inflammatory responses. These effects were considered to be strongly associated with the suppression of NF-kappa B activation. Overall, our results demonstrate that UA extract exerts strong anti-inflammatory activities in in vitro and in vivo models and suggest that UA may be an effective novel therapeutic agent for the treatment of inflammatory diseases.</t>
  </si>
  <si>
    <t>[Hong, Ju-Mi; Kim, Jung Eun; Min, Seul Ki; Kim, Kyung Hee; Han, Se Jong; Yim, Joung Han; Kim, Jin-Hyoung; Kim, Il-Chan] Korea Polar Res Inst, Div Life Sci, Incheon 21990, South Korea; [Kim, Jung Eun] Sungkyunkwan Univ, Dept Pharm, Suwon 16419, South Korea; [Han, Se Jong] Univ Sci &amp; Technol, Dept Polar Sci, Incheon 21990, South Korea; [Park, Hyun] Korea Univ, Div Biotechnol, Seoul 02841, South Korea</t>
  </si>
  <si>
    <t>Korea Polar Research Institute (KOPRI); Sungkyunkwan University (SKKU); Korea University</t>
  </si>
  <si>
    <t>Kim, IC (corresponding author), Korea Polar Res Inst, Div Life Sci, Incheon 21990, South Korea.</t>
  </si>
  <si>
    <t>wnal5555@kopri.re.kr; je2202@naver.com; seulki.min87@gmail.com; kh313@kopri.re.kr; hansj@kopri.re.kr; jhyim@kopri.re.kr; hpark@korea.ac.kr; kimjh@kopri.re.kr; ickim@kopri.re.kr</t>
  </si>
  <si>
    <t>Park, Hyun/0000-0002-8055-2010; Kim, Il-Chan/0000-0002-5776-7582</t>
  </si>
  <si>
    <t>Korea Polar Research Institute program [PE21150]</t>
  </si>
  <si>
    <t>Korea Polar Research Institute program(Korea Polar Research Institute of Marine Research Placement (KOPRI))</t>
  </si>
  <si>
    <t>We would like to thank Editage (https://www.editage.co.kr) for English language editing. This present study was supported by a grant from the Korea Polar Research Institute program (project no. PE21150) of the Republic of Korea.</t>
  </si>
  <si>
    <t>HINDAWI LTD</t>
  </si>
  <si>
    <t>ADAM HOUSE, 3RD FLR, 1 FITZROY SQ, LONDON, W1T 5HF, ENGLAND</t>
  </si>
  <si>
    <t>2314-6133</t>
  </si>
  <si>
    <t>2314-6141</t>
  </si>
  <si>
    <t>BIOMED RES INT</t>
  </si>
  <si>
    <t>Biomed Res. Int.</t>
  </si>
  <si>
    <t>10.1155/2021/8812090</t>
  </si>
  <si>
    <t>Biotechnology &amp; Applied Microbiology; Medicine, Research &amp; Experimental</t>
  </si>
  <si>
    <t>Biotechnology &amp; Applied Microbiology; Research &amp; Experimental Medicine</t>
  </si>
  <si>
    <t>QR4NI</t>
  </si>
  <si>
    <t>WOS:000625188200007</t>
  </si>
  <si>
    <t>Sutton, AJ; Williams, NL; Tilbrook, B</t>
  </si>
  <si>
    <t>Sutton, A. J.; Williams, N. L.; Tilbrook, B.</t>
  </si>
  <si>
    <t>Constraining Southern Ocean CO2 Flux Uncertainty Using Uncrewed Surface Vehicle Observations</t>
  </si>
  <si>
    <t>air‐ sea CO2 flux; new observing technology; Southern Ocean CO2 sink; surface ocean pCO2</t>
  </si>
  <si>
    <t>SEAWATER PCO(2); WIND-SPEED; VARIABILITY; TRENDS; TEMPERATURE; SINK</t>
  </si>
  <si>
    <t>Remote, harsh conditions of the Southern Ocean challenge our ability to observe the region's influence on the climate system. Southern Ocean air-sea CO2 flux estimates have significant uncertainty due to the reliance on limited ship-dependent observations in combination with satellite-based and interpolated data products. We utilize a new approach, making direct measurements of air-sea CO2, wind speed, and surface ocean properties on an Uncrewed Surface Vehicle (USV). In 2019, the USV completed the first autonomous circumnavigation of Antarctica providing hourly CO2 flux estimates. Using this unique data set to constrain potential error in different measurements and propagate those through the CO2 flux calculation, we find that different wind speed products and sampling frequencies have the largest impact on CO2 flux estimates with biases that range from -4% to +20%. These biases and poorly constrained interannual variability could account for discrepancies between different approaches to estimating Southern Ocean CO2 uptake.</t>
  </si>
  <si>
    <t>[Sutton, A. J.] NOAA, Pacific Marine Environm Lab, 7600 Sand Point Way Ne, Seattle, WA 98115 USA; [Williams, N. L.] Univ S Florida, St Petersburg, FL USA; [Tilbrook, B.] CSIRO, Oceans &amp; Atmosphere, Hobart, Tas, Australia; [Tilbrook, B.] Univ Tasmania, Australian Antarctic Program Partnership, Hobart, Tas, Australia</t>
  </si>
  <si>
    <t>National Oceanic Atmospheric Admin (NOAA) - USA; State University System of Florida; University of South Florida; Commonwealth Scientific &amp; Industrial Research Organisation (CSIRO); University of Tasmania</t>
  </si>
  <si>
    <t>Sutton, AJ (corresponding author), NOAA, Pacific Marine Environm Lab, 7600 Sand Point Way Ne, Seattle, WA 98115 USA.</t>
  </si>
  <si>
    <t>adrienne.sutton@noaa.gov</t>
  </si>
  <si>
    <t>Sutton, Adrienne/C-7725-2015; Williams, Nancy/I-3472-2015; Tilbrook, Bronte/A-1522-2012</t>
  </si>
  <si>
    <t>Sutton, Adrienne/0000-0002-7414-7035; Battle, Sarah/0000-0001-6568-6275; Williams, Nancy/0000-0002-6541-9385; Tilbrook, Bronte/0000-0001-9385-3827</t>
  </si>
  <si>
    <t>Li Ka Shing Foundation; Office of Oceanic and Atmospheric Research of the NOAA, U.S. Department of Commerce; National Science Foundation, Division of Polar Programs [NSF PLR-1425989]; International Argo Program; NOAA programs; Australian Antarctic Program Partnership; Australian Integrated Marine Observing System</t>
  </si>
  <si>
    <t>Li Ka Shing Foundation; Office of Oceanic and Atmospheric Research of the NOAA, U.S. Department of Commerce(National Oceanic Atmospheric Admin (NOAA) - USA); National Science Foundation, Division of Polar Programs(National Science Foundation (NSF)); International Argo Program; NOAA programs(National Oceanic Atmospheric Admin (NOAA) - USA); Australian Antarctic Program Partnership; Australian Integrated Marine Observing System</t>
  </si>
  <si>
    <t>We acknowledge the generous support of Li Ka Shing Foundation for funding the Saildrone USV platform circumnavigation of Antarctica and Saildrone Inc. for coordination and operation of the circumnavigation and delivering real-time data. ASVCO2(TM) development and field evaluations were supported by the Office of Oceanic and Atmospheric Research of the NOAA, U.S. Department of Commerce, including resources from the Global Ocean Monitoring and Observation program and the Pacific Marine Environmental Laboratory (PMEL). ASVCO2(TM) development was led by PMEL scientists and engineers including Noah Lawrence-Slavas, Randy Bott, and Stacy Maenner. The biogeochemical Argo float data were collected and made freely available by the Southern Ocean Carbon and Climate Observations and Modeling (SOCCOM) Project funded by the National Science Foundation, Division of Polar Programs (NSF PLR-1425989), supplemented by NASA, and by the International Argo Program and the NOAA programs that contribute to it. B. Tilbrook was supported by the Australian Antarctic Program Partnership and the Australian Integrated Marine Observing System. This is PMEL contribution 5181.</t>
  </si>
  <si>
    <t>e2020GL091748</t>
  </si>
  <si>
    <t>10.1029/2020GL091748</t>
  </si>
  <si>
    <t>QK0FZ</t>
  </si>
  <si>
    <t>WOS:000620058900039</t>
  </si>
  <si>
    <t>Pedatella, NM; Liu, HL; Conte, JF; Chau, JL; Hall, C; Jacobi, C; Mitchell, N; Tsutsumi, M</t>
  </si>
  <si>
    <t>Pedatella, N. M.; Liu, H-L; Conte, J. F.; Chau, J. L.; Hall, C.; Jacobi, C.; Mitchell, N.; Tsutsumi, M.</t>
  </si>
  <si>
    <t>Migrating Semidiurnal Tide During the September Equinox Transition in the Northern Hemisphere</t>
  </si>
  <si>
    <t>mesosphere; semidiurnal tide; whole atmosphere model</t>
  </si>
  <si>
    <t>Specified Dynamics Whole Atmosphere Community Climate Model with thermosphere-ionosphere eXtension simulations are used to investigate the solar migrating semidiurnal tide (SW2) around September equinox at middle to high latitudes in the Northern Hemisphere. A pronounced minimum in SW2 occurs around September equinox, and is characterized by a similar to 50% reduction in tidal amplitudes for 20-30 days. Analysis of the simulation results indicates that the SW2 minimum occurs due to the seasonal transition of the zonal mean zonal winds, which alter the generation and propagation of different symmetric and antisymmetric modes of SW2. In particular, the antisymmetric modes notably decrease due to the more hemispherically symmetric zonal winds around equinox. It is further demonstrated that interannual variability in the timing of the SW2 minimum is related to the timing of the seasonal transition of the zonal mean zonal winds in the middle atmosphere. This leads to an earlier occurrence of the SW2 minimum during years when the seasonal transition occurs earlier, such as the recent 2019 September equinox which saw an earlier transition of the Southern Hemisphere zonal mean zonal winds following the occurrence of a sudden stratosphere warming. The connection between the timing of the SW2 minimum in the Northern Hemisphere and the timing of the seasonal transition in the middle atmosphere winds is confirmed by seasonal variability of 12-h tides deduced from specular meteor radar observations at middle to high latitudes in the Northern Hemisphere.</t>
  </si>
  <si>
    <t>[Pedatella, N. M.; Liu, H-L] Natl Ctr Atmospher Res, High Altitude Observ, Pob 3000, Boulder, CO 80307 USA; [Pedatella, N. M.] Univ Ctr Atmospher Res, COSMIC Program Mice, Boulder, CO 80305 USA; [Conte, J. F.; Chau, J. L.] Rostock Univ, Leibniz Inst Atmospher Phys, Kuhlungsborn, Germany; [Hall, C.] Arctic Univ Norway, Tromso Geophys Observ, Tromso, Norway; [Jacobi, C.] Univ Leipzig, Inst Meteorol, Leipzig, Germany; [Mitchell, N.] Univ Bath, Dept Elect &amp; Elect Engn, Bath, Avon, England; [Mitchell, N.] British Antarctic Survey, Cambridge, England; [Tsutsumi, M.] Natl Inst Polar Res, Tokyo, Japan</t>
  </si>
  <si>
    <t>National Center Atmospheric Research (NCAR) - USA; National Center Atmospheric Research (NCAR) - USA; Leibniz Institut fur Atmospharenphysik e.V. an der Universitat Rostock (IAP); UiT The Arctic University of Tromso; Leipzig University; University of Bath; UK Research &amp; Innovation (UKRI); Natural Environment Research Council (NERC); NERC British Antarctic Survey; Research Organization of Information &amp; Systems (ROIS); National Institute of Polar Research (NIPR) - Japan</t>
  </si>
  <si>
    <t>Pedatella, NM (corresponding author), Natl Ctr Atmospher Res, High Altitude Observ, Pob 3000, Boulder, CO 80307 USA.;Pedatella, NM (corresponding author), Univ Ctr Atmospher Res, COSMIC Program Mice, Boulder, CO 80305 USA.</t>
  </si>
  <si>
    <t>nickp@ucar.edu</t>
  </si>
  <si>
    <t>Chau, Jorge/C-7568-2013; Pedatella, Nicholas/Q-2242-2015</t>
  </si>
  <si>
    <t>Chau, Jorge/0000-0002-2364-8892; Hall, Chris/0000-0001-7308-5859; Pedatella, Nicholas/0000-0002-8878-5126; Jacobi, Christoph/0000-0002-7878-0110; Conte, Juan Federico/0000-0002-9247-702X</t>
  </si>
  <si>
    <t>National Center for Atmospheric Research - U.S. National Science Foundation [1852977]; National Science Foundation [OPP-1443726, AGS-1552153]; NASA [80NSSC18K1046]; Deutsche Forschungsgemeinschaft (DFG, German Research Foundation) [SPP 1788, CH 1482/2]; NERC [bas010011] Funding Source: UKRI</t>
  </si>
  <si>
    <t>National Center for Atmospheric Research - U.S. National Science Foundation(National Science Foundation (NSF)); National Science Foundation(National Science Foundation (NSF)); NASA(National Aeronautics &amp; Space Administration (NASA)); Deutsche Forschungsgemeinschaft (DFG, German Research Foundation)(German Research Foundation (DFG)); NERC(UK Research &amp; Innovation (UKRI)Natural Environment Research Council (NERC))</t>
  </si>
  <si>
    <t>WACCMX is part of the Community Earth System Model (CESM) and the source code is available at http://www.cesm.ucar.edu. The SD-WACCMX simulation output is available via https://doi.org/10.26024/5b58-nc53. The meteor radar observations of the semidiurnal tide are available via https://doi.org/10.5065/wf44-qr97. We would like to acknowledge high-performance computing support from Cheyenne (doi:10.5065/D6RX99HX) provided by NCAR's Computational and Information Systems Laboratory. We thank the NASA Global Modeling and Assimilation Office (GMAO) for making available the MERRA-2 data available (via https://disc.sci.gsfc.nasa.gov/), which is used to constrain the SD-WACCMX simulations. This material is based upon work supported by the National Center for Atmospheric Research, which is a major facility sponsored by the U.S. National Science Foundation under Cooperative Agreement 1852977. N. P. acknowledges support from National Science Foundation Grant AGS-1552153 and NASA Grant 80NSSC18K1046. H. L. acknowledges partial support from National Science Foundation Grant OPP-1443726. The participation of J. L. C. and J.F. C in this work is supported by the Deutsche Forschungsgemeinschaft (DFG, German Research Foundation) under SPP 1788 (DynamicEarth)-CH 1482/2 (DYNAMITE2).</t>
  </si>
  <si>
    <t>e2020JD033822</t>
  </si>
  <si>
    <t>10.1029/2020JD033822</t>
  </si>
  <si>
    <t>QK1II</t>
  </si>
  <si>
    <t>WOS:000620132700018</t>
  </si>
  <si>
    <t>Barnes, DKA; Ashton, GV; Morley, SA; Peck, LS</t>
  </si>
  <si>
    <t>Barnes, David K. A.; Ashton, Gail V.; Morley, Simon A.; Peck, Lloyd S.</t>
  </si>
  <si>
    <t>1°C warming increases spatial competition frequency and complexity in Antarctic marine macrofauna</t>
  </si>
  <si>
    <t>Environmental conditions of the Southern Ocean around Antarctica have varied little for &gt;5 million years but are now changing. Here, we investigated how warming affects competition for space. Little considered in the polar regions, this is a critical component of biodiversity response. Change in competition in response to environment forcing might be detectable earlier than individual species presence/absence or performance measures (e.g. growth). Examination of fauna on artificial substrata in Antarctica's shallows at ambient or warmed temperature found that, mid-century predicted 1 degrees C warming (throughout the year or just summer-only), increased the probability of individuals encountering spatial competition, as well as density and complexity of such interactions. 2 degrees C, late century predicted warming, increased variance in the probability and density of competition, but overall, competition did not significantly differ from ambient (control) levels. In summary only 1 degrees C warming increased probability, density and complexity of spatial competition, which seems to be summer-only driven.</t>
  </si>
  <si>
    <t>[Barnes, David K. A.; Morley, Simon A.; Peck, Lloyd S.] British Antarctic Survey, NERC, Cambridge, England; [Ashton, Gail V.] Smithsonian Environm Res Ctr, Tiburon, CA USA</t>
  </si>
  <si>
    <t>UK Research &amp; Innovation (UKRI); Natural Environment Research Council (NERC); NERC British Antarctic Survey; Smithsonian Institution; Smithsonian Environmental Research Center</t>
  </si>
  <si>
    <t>Barnes, DKA (corresponding author), British Antarctic Survey, NERC, Cambridge, England.</t>
  </si>
  <si>
    <t>dkab@bas.ac.uk</t>
  </si>
  <si>
    <t>Barnes, David/0000-0002-9076-7867</t>
  </si>
  <si>
    <t>NERC [NE/J007501/1]; Rothera Research Station assemblage; NERC [dml011000] Funding Source: UKRI</t>
  </si>
  <si>
    <t>NERC(UK Research &amp; Innovation (UKRI)Natural Environment Research Council (NERC)); Rothera Research Station assemblage; NERC(UK Research &amp; Innovation (UKRI)Natural Environment Research Council (NERC))</t>
  </si>
  <si>
    <t>Thanks to Mark Preston for development of the settlement panels and technical advice, and to the Rothera Research Station assemblage for project support. This work was funded by NERC standard grant no. NE/J007501/1.</t>
  </si>
  <si>
    <t>10.1038/s42003-021-01742-w</t>
  </si>
  <si>
    <t>QL4IC</t>
  </si>
  <si>
    <t>WOS:000621041100002</t>
  </si>
  <si>
    <t>Seong, GC; Choi, SG; Chung, S; An, DH; Kim, HW; Baeck, GW</t>
  </si>
  <si>
    <t>Seong, Gi Chang; Choi, Seok-Gwan; Chung, Sangdeok; An, Doo Hae; Kim, Hyun-Woo; Baeck, Gun Wook</t>
  </si>
  <si>
    <t>Morphological dietary composition of Antarctic toothfish (Dissostichus mawsoni) along the East Antarctic continental slope</t>
  </si>
  <si>
    <t>Dissostichus mawsoni; Nototheniidae; Antarctic toothfish; Diet composition</t>
  </si>
  <si>
    <t>To predict how the fishing of Antarctic toothfish, Dissostichus mawsoni, would affect the ecosystem, it is necessary to understand the species' ecological niche. Morphological analysis of the stomach contents of 960 D. mawsoni specimens collected at depths of 946-1600 m along the East Antarctic continental slope from December 2016 to March 2017 was used to assess dietary composition according to depth, sex, site, and size. Fishes were the most common prey item for D. mawsoni, comprising 97.8% based on the index of relative importance. Among the nine fish families consumed by D. mawsoni, Macrouridae was the dominant taxon. The size of D. mawsoni increased with depth. The dietary composition of D. mawsoni did not show significant differences by depth or sex, but did differ with site and size. D. mawsoni was the top predator in the ecosystem along the East Antarctic continental slope and can be considered an opportunistic feeder, feeding on abundant food in the environment. Therefore, additional studies of the diet of Antarctic toothfish are necessary to maintain the ecosystem structure and function in a changing environment, and the results of this study can be used as a monitoring baseline.</t>
  </si>
  <si>
    <t>[Seong, Gi Chang; Baeck, Gun Wook] Gyeongsang Natl Univ, Coll Marine Sci, Inst Marine Ind, Dept Marine Biol Sr Aquaculture, Tongyeong, South Korea; [Choi, Seok-Gwan; Chung, Sangdeok; An, Doo Hae] Natl Inst Fisheries Sci, Distant Water Fisheries Resources Res Div, Busan, South Korea; [Kim, Hyun-Woo] Pukyong Natl Univ, Dept Marine Biol, Busan, South Korea</t>
  </si>
  <si>
    <t>Gyeongsang National University; National Institute of Fisheries Science; Pukyong National University</t>
  </si>
  <si>
    <t>Baeck, GW (corresponding author), Gyeongsang Natl Univ, Coll Marine Sci, Inst Marine Ind, Dept Marine Biol Sr Aquaculture, Tongyeong, South Korea.</t>
  </si>
  <si>
    <t>gwbaeck@gnu.ac.kr</t>
  </si>
  <si>
    <t>Kim, Hyun-Woo/AFN-9184-2022</t>
  </si>
  <si>
    <t>Kim, Hyun-Woo/0000-0003-1357-5893</t>
  </si>
  <si>
    <t>National Institute of Fisheries Science (Republic of Korea) [R2021029]</t>
  </si>
  <si>
    <t>National Institute of Fisheries Science (Republic of Korea)</t>
  </si>
  <si>
    <t>We thank the captain and crew of the commercial fishing vessel Kingstar for the sample collection. We appreciate Dieter Piepenburg, Keith Reid, and two anonymous reviewers for their fruitful comments that greatly improved the paper. This research was supported by the National Institute of Fisheries Science (Republic of Korea) (Grant No. R2021029). The English in this document has been checked by at least two professional editors, both native speakers of English. For a certificate, please see http://www.textcheck.com/certificate/Aw9HNj</t>
  </si>
  <si>
    <t>10.1007/s00300-021-02820-9</t>
  </si>
  <si>
    <t>WOS:000618575800001</t>
  </si>
  <si>
    <t>Pelayo-González, L; Hernández-Camacho, CJ; Aurioles-Gamboa, D; Gallo-Reynoso, JP; Barba-Acuña, ID; Godínez-Reyes, C; Ramírez-Delgado, D; Avalos-Téllez, R; Rubio-Rodríguez, U; Villalobos, H</t>
  </si>
  <si>
    <t>Pelayo-Gonzalez, Lili; Hernandez-Camacho, Claudia J.; Aurioles-Gamboa, David; Gallo-Reynoso, Juan P.; Barba-Acuna, Isai D.; Godinez-Reyes, Carlos; Ramirez-Delgado, David; Avalos-Tellez, Rosalia; Rubio-Rodriguez, Uriel; Villalobos, Hector</t>
  </si>
  <si>
    <t>Effect of environmental variables on the number of births at California sea lion (Zalophus californianus) rookeries throughout the Gulf of California, Mexico</t>
  </si>
  <si>
    <t>climate change; coastal; ecological status; fishing; island; mammals; pollution; red list</t>
  </si>
  <si>
    <t>ANTARCTIC FUR SEALS; SURFACE TEMPERATURE; INTERANNUAL VARIATION; FORAGING ENERGETICS; EUMETOPIAS-JUBATUS; POPULATION-CHANGES; PREY AVAILABILITY; PUP PRODUCTION; EL-NINO; MORTALITY</t>
  </si>
  <si>
    <t>The 13 California sea lion breeding colonies in the Gulf of California (GoC), Mexico are each characterized by different population growth trends, including a variable number of births. Despite being located in a highly productive marine area, both the species' population and the number of births have declined significantly over the past few decades. The goal of this study was to assess the effects of certain environmental variables on the number of births at colonies in three regions (northern, central and southern) of the GoC (1995-2018). Data on diet, small pelagic fish catches by fisheries, the density of small pelagic fish schools, remotely sampled values of sea surface temperature and chlorophyll-a concentration and El Nino Southern Oscillation events were collected in order to evaluate whether these variables had an effect on the number of births using correlations and generalized linear models. No significant relationships were found between the environmental variables and the number of births. However, the number of births decreased when the sea surface temperature anomalies exceeded 1 degrees C in the northern and central regions of the GoC. Although no significant relationships were found between the small pelagic fish catches and the number of births, positive trends were observed between sardine catches and the number of births during certain periods in the central region. A positive correlation between the density of small pelagic fish schools and the number of births suggests a possible relationship between prey availability and reproductive success in the central region. A Programme of Action for the Conservation of the Species should be promoted by the Federal Government and carried out in order to implement specific management actions. Specifically, surveillance efforts should increase, fishing gear conversion plans should be established and sea lion exclusion devices should be introduced, among other measures.</t>
  </si>
  <si>
    <t>[Pelayo-Gonzalez, Lili; Hernandez-Camacho, Claudia J.; Aurioles-Gamboa, David; Rubio-Rodriguez, Uriel; Villalobos, Hector] Inst Politecn Nacl, Ctr Interdisciplinario Ciencias Marinas, Lab Ecol Pinnipedos Burney J Le Boeuf, La Paz, Baja Calif Sur, Mexico; [Aurioles-Gamboa, David] Univ Popular Autonoma Estado Puebla, Fac Ingn Ambiental, Puebla, Mexico; [Gallo-Reynoso, Juan P.; Barba-Acuna, Isai D.] Ctr Invest Alimentac &amp; Desarrollo AC, Unidad Guaymas, Guaymas, Sonora, Mexico; [Godinez-Reyes, Carlos; Ramirez-Delgado, David; Avalos-Tellez, Rosalia] Comis Nacl Areas Nat Protegidas, Secretaria Medio Ambiente &amp; Recursos Nat, Reserva Biosfera Bahia Los Angeles Canales Ballen, Salsipuedes, Baja California, Mexico; [Godinez-Reyes, Carlos] Comis Nacl Areas Nat Protegidas, Secretaria Medio Ambiente &amp; Recursos Nat, Parque Nacl Cabo Pulmo, Cabo Pulmo, Baja Califomia, Mexico; [Ramirez-Delgado, David] Ctr Invest Cient &amp; Educ Super Ensenada SC, Ensenada, Baja California, Mexico; [Rubio-Rodriguez, Uriel] Univ Valle Mexico, Area Ciencias Salud, Ciudad De Mexico, Mexico</t>
  </si>
  <si>
    <t>Instituto Politecnico Nacional - Mexico; Universidad Popular Autonoma del Estado de Puebla; CIAD - Centro de Investigacion en Alimentacion y Desarrollo</t>
  </si>
  <si>
    <t>Hernández-Camacho, CJ (corresponding author), Inst Politecn Nacl, Ctr Interdisciplinario Ciencias Marinas, Lab Ecol Pinnipedos Burney J Le Boeuf, La Paz, Baja Calif Sur, Mexico.</t>
  </si>
  <si>
    <t>jcamacho@ipn.mx</t>
  </si>
  <si>
    <t>Villalobos, Héctor/I-9440-2019; Barba, Isai/HLP-4438-2023</t>
  </si>
  <si>
    <t>Villalobos, Héctor/0000-0002-6424-4050; Barba, Isai/0000-0002-8551-6238; Gallo, Juan P./0000-0003-1156-6037; Ramirez-Delgado, David/0000-0001-8907-6850; Rubio Rodriguez, Uriel/0000-0002-9106-2770; Pelayo Gonzalez, Lili/0000-0002-1808-5570; Godinez-Reyes, Carlos Ramon/0000-0002-8892-0762</t>
  </si>
  <si>
    <t>Comision Nacional de A reas Naturales Protegidas [PROMOBI 2011, 2012, 2014, 2015]; PROMANP 2016; PROC; Consejo Nacional de Ciencia y Tecnologia [132415]; Instituto Politecnico Nacional [SIP 20100911, SIP20110299, SIP 20120069, SIP 20130]</t>
  </si>
  <si>
    <t>Comision Nacional de A reas Naturales Protegidas; PROMANP 2016; PROC; Consejo Nacional de Ciencia y Tecnologia(Consejo Nacional de Ciencia y Tecnologia (CONACyT)); Instituto Politecnico Nacional</t>
  </si>
  <si>
    <t>Comision Nacional de A reas Naturales Protegidas, Grant/Award Number: PROMOBI 2011, 2012, 2014, 2015; PROMANP 2016; PROC; Consejo Nacional de Ciencia y Tecnologia, Grant/Award Number: 132415; Instituto Politecnico Nacional, Grant/Award Number: SIP 20100911, SIP20110299, SIP 20120069, SIP 20130</t>
  </si>
  <si>
    <t>10.1002/aqc.3545</t>
  </si>
  <si>
    <t>WOS:000618368400001</t>
  </si>
  <si>
    <t>Silva, CNS; Young, EF; Murphy, NP; Bell, JJ; Green, BS; Morley, SA; Duhamel, G; Cockcroft, AC; Strugnell, JM</t>
  </si>
  <si>
    <t>Silva, Catarina N. S.; Young, Emma F.; Murphy, Nicholas P.; Bell, James J.; Green, Bridget S.; Morley, Simon A.; Duhamel, Guy; Cockcroft, Andrew C.; Strugnell, Jan M.</t>
  </si>
  <si>
    <t>Climatic change drives dynamic source-sink relationships in marine species with high dispersal potential</t>
  </si>
  <si>
    <t>connectivity; individual‐ based model; Jasus paulensis; Jasus tristani; lobster; population genetics</t>
  </si>
  <si>
    <t>ROCK LOBSTER; SOUTHERN ATLANTIC; GENETIC-STRUCTURE; AGULHAS LEAKAGE; OCEAN CURRENTS; NORTH-ISLAND; EAST-COAST; R-PACKAGE; CONNECTIVITY; MIGRATION</t>
  </si>
  <si>
    <t>While there is now strong evidence that many factors can shape dispersal, the mechanisms influencing connectivity patterns are species-specific and remain largely unknown for many species with a high dispersal potential. The rock lobsters Jasus tristani and Jasus paulensis have a long pelagic larval duration (up to 20 months) and inhabit seamounts and islands in the southern Atlantic and Indian Oceans, respectively. We used a multidisciplinary approach to assess the genetic relationships between J. tristani and J. paulensis, investigate historic and contemporary gene flow, and inform fisheries management. Using 17,256 neutral single nucleotide polymorphisms we found low but significant genetic differentiation. We show that patterns of connectivity changed over time in accordance with climatic fluctuations. Historic migration estimates showed stronger connectivity from the Indian to the Atlantic Ocean (influenced by the Agulhas Leakage). In contrast, the individual-based model coupled with contemporary migration estimates inferred from genetic data showed stronger inter-ocean connectivity in the opposite direction from the Atlantic to the Indian Ocean driven by the Subtropical Front. We suggest that the J. tristani and J. paulensis historical distribution might have extended further north (when water temperatures were lower) resulting in larval dispersal between the ocean basis being more influenced by the Agulhas Leakage than the Subtropical Front. As water temperatures in the region increase in accordance with anthropogenic climate change, a southern shift in the distribution range of J. tristani and J. paulensis could further reduce larval transport from the Indian to the Atlantic Ocean, adding complexity to fisheries management.</t>
  </si>
  <si>
    <t>[Silva, Catarina N. S.; Strugnell, Jan M.] James Cook Univ, Ctr Sustainable Trop Fisheries &amp; Aquaculture, Townsville, Qld 4810, Australia; [Young, Emma F.; Morley, Simon A.] British Antarctic Survey, Cambridge, England; [Murphy, Nicholas P.; Strugnell, Jan M.] La Trobe Univ, Dept Ecol, Melbourne, Vic, Australia; [Bell, James J.] Victoria Univ Wellington, Sch Biol Sci, Wellington, New Zealand; [Green, Bridget S.] Univ Tasmania, Inst Marine &amp; Antarctic Studies, Hobart, Tas, Australia; [Duhamel, Guy] MNHN, Dept Adaptat Vivant, BOREA, Paris, France; [Cockcroft, Andrew C.] South African Govt, Dept Agr Forestry &amp; Fisheries, Cape Town, South Africa</t>
  </si>
  <si>
    <t>James Cook University; UK Research &amp; Innovation (UKRI); Natural Environment Research Council (NERC); NERC British Antarctic Survey; La Trobe University; Melbourne Genomics Health Alliance; Victoria University Wellington; University of Tasmania; Centre National de la Recherche Scientifique (CNRS); Institut de Recherche pour le Developpement (IRD); Museum National d'Histoire Naturelle (MNHN); Sorbonne Universite</t>
  </si>
  <si>
    <t>Silva, CNS (corresponding author), James Cook Univ, Ctr Sustainable Trop Fisheries &amp; Aquaculture, Townsville, Qld 4810, Australia.</t>
  </si>
  <si>
    <t>catari.bio@gmail.com</t>
  </si>
  <si>
    <t>Silva, Catarina N. S./A-8402-2008; Silva, Catarina/GVS-9316-2022; Strugnell, Jan M/P-9921-2016</t>
  </si>
  <si>
    <t>Silva, Catarina N. S./0000-0001-9401-2616; Young, Emma/0000-0002-7069-6109; Strugnell, Jan/0000-0003-2994-637X</t>
  </si>
  <si>
    <t>Australian Research Council [DP150101491]; Natural Environment Research Council [NE/R000107/1]; NERC [bas0100033, bas0100036, NE/T012439/1, NE/R000107/1] Funding Source: UKRI</t>
  </si>
  <si>
    <t>Australian Research Council(Australian Research Council); Natural Environment Research Council(UK Research &amp; Innovation (UKRI)Natural Environment Research Council (NERC)); NERC(UK Research &amp; Innovation (UKRI)Natural Environment Research Council (NERC))</t>
  </si>
  <si>
    <t>Australian Research Council, Grant/Award Number: DP150101491; Natural Environment Research Council, Grant/Award Number: NE/R000107/1</t>
  </si>
  <si>
    <t>10.1002/ece3.7204</t>
  </si>
  <si>
    <t>QZ6EH</t>
  </si>
  <si>
    <t>WOS:000618375500001</t>
  </si>
  <si>
    <t>Barceló, A; Sandoval-Castillo, J; Stockin, KA; Bilgmann, K; Attard, CRM; Zanardo, N; Parra, GJ; Hupman, K; Reeves, IM; Betty, EL; Tezanos-Pinto, G; Beheregaray, LB; Möller, LM</t>
  </si>
  <si>
    <t>Barcelo, Andrea; Sandoval-Castillo, Jonathan; Stockin, Karen A.; Bilgmann, Kerstin; Attard, Catherine R. M.; Zanardo, Nikki; Parra, Guido J.; Hupman, Krista; Reeves, Isabella M.; Betty, Emma L.; Tezanos-Pinto, Gabriela; Beheregaray, Luciano B.; Moeller, Luciana M.</t>
  </si>
  <si>
    <t>A Matter of Scale: Population Genomic Structure and Connectivity of Fisheries At-Risk Common Dolphins (Delphinus delphis) From Australasia</t>
  </si>
  <si>
    <t>delphinids; fisheries genomics; isolation-by-distance; migration; gene flow; metapopulation; conservation genomics</t>
  </si>
  <si>
    <t>BOTTLE-NOSED DOLPHINS; LOW GENETIC DIVERSITY; GULF ST-VINCENT; TURSIOPS-TRUNCATUS; NEW-ZEALAND; NORTH-ATLANTIC; CONSERVATION GENETICS; SEASCAPE GENOMICS; MARINE PREDATOR; HAURAKI GULF</t>
  </si>
  <si>
    <t>An understanding of population structure and connectivity at multiple spatial scales is required to assist wildlife conservation and management. This is particularly critical for widely distributed and highly mobile marine mammals subject to fisheries by-catch. Here, we present a population genomic assessment of a near-top predator, the common dolphin (Delphinus delphis), which is incidentally caught in multiple fisheries across the Australasian region. The study was carried out using 14,799 ddRAD sequenced genome-wide markers genotyped for 478 individuals sampled at multiple spatial scales across Australasia. A complex hierarchical metapopulation structure was identified, with three highly distinct and genetically diverse regional populations at large spatial scales (&gt;1,500 km). The populations inhabit the southern coast of Australia, the eastern coast of Australia, New Zealand, and Tasmania, with the latter also showing a considerable level of admixture to Australia's east coast. Each of these regional populations contained two to four nested local populations (i.e., subpopulations) at finer spatial scales, with most of the gene flow occurring within distances of 50 to 400 km. Estimates of contemporary migration rates between adjacent subpopulations ranged from 6 to 25%. Overall, our findings identified complex common dolphin population structure and connectivity across state and international jurisdictions, including migration and gene flow across the Tasman Sea. The results indicate that inter-jurisdictional collaboration is required to implement conservation management strategies and mitigate fisheries interactions of common dolphins across multiple spatial scales in the Australasian region.</t>
  </si>
  <si>
    <t>[Barcelo, Andrea; Sandoval-Castillo, Jonathan; Bilgmann, Kerstin; Attard, Catherine R. M.; Zanardo, Nikki; Reeves, Isabella M.; Beheregaray, Luciano B.; Moeller, Luciana M.] Flinders Univ S Australia, Coll Sci &amp; Engn, Mol Ecol Lab, Bedford Pk, SA, Australia; [Barcelo, Andrea; Bilgmann, Kerstin; Attard, Catherine R. M.; Zanardo, Nikki; Parra, Guido J.; Reeves, Isabella M.; Moeller, Luciana M.] Flinders Univ S Australia, Coll Sci &amp; Engn, Cetacean Ecol Behav &amp; Evolut Lab, Bedford Pk, SA, Australia; [Stockin, Karen A.; Betty, Emma L.; Tezanos-Pinto, Gabriela] Massey Univ, Coll Sci, Sch Nat &amp; Computat Sci, Cetacean Ecol Res Grp, Auckland, New Zealand; [Bilgmann, Kerstin] Macquarie Univ, Dept Biol Sci, Sydney, NSW, Australia; [Hupman, Krista] Natl Inst Water &amp; Atmospher Res Ltd NIWA, Wellington, New Zealand; [Tezanos-Pinto, Gabriela] Univ los Andes, Dept Ciencias Biol, Lab Ecol Mol Vertebrados Acuat, Bogota, Colombia</t>
  </si>
  <si>
    <t>Flinders University South Australia; Flinders University South Australia; Massey University; Macquarie University; National Institute of Water &amp; Atmospheric Research (NIWA) - New Zealand; Universidad de los Andes (Colombia)</t>
  </si>
  <si>
    <t>Barceló, A (corresponding author), Flinders Univ S Australia, Coll Sci &amp; Engn, Mol Ecol Lab, Bedford Pk, SA, Australia.;Barceló, A (corresponding author), Flinders Univ S Australia, Coll Sci &amp; Engn, Cetacean Ecol Behav &amp; Evolut Lab, Bedford Pk, SA, Australia.</t>
  </si>
  <si>
    <t>andrea.barcelo@flinders.edu.au</t>
  </si>
  <si>
    <t>Castillo, Jonathan Sandoval/AAE-4727-2022; Beheregaray, Luciano/AAY-6384-2021; Möller, Luciana M/A-6030-2008; Stockin, Karen A/B-4452-2010</t>
  </si>
  <si>
    <t>Castillo, Jonathan Sandoval/0000-0002-8428-3495; Beheregaray, Luciano/0000-0003-0944-3003; Bilgmann, Kerstin/0000-0003-0681-2301; Reeves, Isabella M./0000-0003-0640-333X; Barcelo, Andrea/0000-0002-4748-9953; Betty, Emma/0000-0002-9187-1957</t>
  </si>
  <si>
    <t>Ministry for Primary Industries of New Zealand [PRO201708A]; National Institute of Water and Atmospheric Research; Australian Marine Mammal Centre (AMMC) Grants Program; Australian Antarctic Division (AAD) [2010/3]; Mexican National Council for Science and Technology; Flinders University</t>
  </si>
  <si>
    <t>Ministry for Primary Industries of New Zealand; National Institute of Water and Atmospheric Research; Australian Marine Mammal Centre (AMMC) Grants Program; Australian Antarctic Division (AAD); Mexican National Council for Science and Technology(Consejo Nacional de Ciencia y Tecnologia (CONACyT)); Flinders University</t>
  </si>
  <si>
    <t>Ministry for Primary Industries of New Zealand (Project PRO201708A) and the National Institute of Water and Atmospheric Research (KH, KS, LM, and LB). The Australian Marine Mammal Centre (AMMC) Grants Program, Australian Antarctic Division (AAD) (project number 2010/3, LM, GP, KB, and LB). Ph.D. scholarship from the Mexican National Council for Science and Technology to AB, and Flinders University.</t>
  </si>
  <si>
    <t>10.3389/fmars.2021.616673</t>
  </si>
  <si>
    <t>QR4OK</t>
  </si>
  <si>
    <t>WOS:000625191000001</t>
  </si>
  <si>
    <t>Almela, P; Justel, A; Quesada, A</t>
  </si>
  <si>
    <t>Almela, Pablo; Justel, Ana; Quesada, Antonio</t>
  </si>
  <si>
    <t>Heterogeneity of Microbial Communities in Soils From the Antarctic Peninsula Region</t>
  </si>
  <si>
    <t>microorgamisms; soil; distribution; heterogeneity; homogeneity; Antarctica</t>
  </si>
  <si>
    <t>VICTORIA LAND; BACTERIAL SUCCESSION; DIVERSITY; VALLEY; MICROORGANISMS; CONSISTENT; PATTERNS; SURFACE; RANGE; FLUX</t>
  </si>
  <si>
    <t>Ice-free areas represent less than 1% of the Antarctic surface. However, climate change models predict a significant increase in temperatures in the coming decades, triggering a relevant reduction of the ice-covered surface. Microorganisms, adapted to the extreme and fluctuating conditions, are the dominant biota. In this article we analyze the diversity and composition of soil bacterial communities in 52 soil samples on three scales: (i) fine scale, where we compare the differences in the microbial community between top-stratum soils (0-2 cm) and deeper-stratum soils (5-10 cm) at the same sampling point; (ii) medium scale, in which we compare the composition of the microbial community of top-stratum soils from different sampling points within the same sampling location; and (iii) coarse scale, where we compare communities between comparable ecosystems located hundreds of kilometers apart along the Antarctic Peninsula. The results suggest that in ice-free soils exposed for longer periods of time (millennia) microbial communities are significantly different along the soil profiles. However, in recently (decades) deglaciated soils the communities are not different along the soil profile. Furthermore, the microbial communities found in soils at the different sampling locations show a high degree of heterogeneity, with a relevant proportion of unique amplicon sequence variants (ASV) that appeared mainly in low abundance, and only at a single sampling location. The Core90 community, defined as the ASVs shared by 90% of the soils from the 4 sampling locations, was composed of 26 ASVs, representing a small percentage of the total sequences. Nevertheless, the taxonomic composition of the Core80 (ASVs shared by 80% of sampling points per location) of the different sampling locations, was very similar, as they were mostly defined by 20 common taxa, representing up to 75.7% of the sequences of the Core80 communities, suggesting a greater homogeneity of soil bacterial taxa among distant locations.</t>
  </si>
  <si>
    <t>[Almela, Pablo; Quesada, Antonio] Univ Autonoma Madrid, Dept Biol, Madrid, Spain; [Justel, Ana] Univ Autonoma Madrid, Dept Math, Madrid, Spain</t>
  </si>
  <si>
    <t>Quesada, A (corresponding author), Univ Autonoma Madrid, Dept Biol, Madrid, Spain.</t>
  </si>
  <si>
    <t>Almela, Pablo/KHC-9273-2024; Quesada, Antonio/L-2430-2013; Justel, Ana/A-3955-2010</t>
  </si>
  <si>
    <t>Almela, Pablo/0000-0001-8200-861X; Justel, Ana/0000-0003-3335-0579</t>
  </si>
  <si>
    <t>Spanish Agencia Estatal de Investigacion (AEI); Fondo Europeo de Desarrollo Regional (FEDER) [CTM2016-79741-R, PCIN-2016-001]; MINECO [BES-2017-080558]</t>
  </si>
  <si>
    <t>Spanish Agencia Estatal de Investigacion (AEI)(Spanish Government); Fondo Europeo de Desarrollo Regional (FEDER)(European Union (EU)Spanish Government); MINECO(Spanish Government)</t>
  </si>
  <si>
    <t>This work was supported by the Spanish Agencia Estatal de Investigacion (AEI) and Fondo Europeo de Desarrollo Regional (FEDER), Grants CTM2016-79741-R and PCIN-2016-001. PA was supported by a FPI-contract fellowship (BES-2017-080558) from MINECO.</t>
  </si>
  <si>
    <t>10.3389/fmicb.2021.628792</t>
  </si>
  <si>
    <t>QP2IY</t>
  </si>
  <si>
    <t>WOS:000623661000001</t>
  </si>
  <si>
    <t>Morée, AL; Sun, TY; Bretones, A; Straume, EO; Nisancioglu, K; Gebbie, G</t>
  </si>
  <si>
    <t>Moree, Anne L.; Sun, Tianyi; Bretones, Anais; Straume, Eivind O.; Nisancioglu, Kerim; Gebbie, Geoffrey</t>
  </si>
  <si>
    <t>Cancellation of the Precessional Cycle in δ18O Records During the Early Pleistocene</t>
  </si>
  <si>
    <t>destructive interference; mid‐ Pleistocene transition; oxygen isotope benthic records; Paleooceanography; precessional Milankovitch cycle</t>
  </si>
  <si>
    <t>ANTARCTIC ICE-SHEET; WATER MASS; SEA-ICE; CLIMATE; OCEAN; TRANSITION; VOLUME; AGE; INTENSIFICATION; TEMPERATURE</t>
  </si>
  <si>
    <t>The dominant pacing of glacial-interglacial cycles in deep-ocean delta O-18 records changed substantially during the Mid-Pleistocene Transition. The precessional cycle (similar to 23 ky) is absent during the Early Pleistocene, which we show can be explained by cancellation of the hemispherically antiphased precessional cycle in the Early Pleistocene interior ocean. Such cancellation develops due to mixing of North Atlantic and Southern Ocean delta O-18 signals at depth, and shows characteristic spatial patterns. We explore the cancellation potential for different North Atlantic and Southern Ocean deep-water source delta O-18 values using a tracer transport ocean model. Cancellation of precession occurs for all signal strengths and is widespread for a signal strength typical for the Early Pleistocene. Early Pleistocene precessional power is therefore likely incompletely archived in deep-sea delta O-18 records, concealing the true periodicity of the glacial cycles in the two hemispheres.</t>
  </si>
  <si>
    <t>[Moree, Anne L.] Univ Bergen, Geophys Inst, Bergen, Norway; [Moree, Anne L.; Bretones, Anais] Bjerknes Ctr Climate Res, Bergen, Norway; [Sun, Tianyi] Univ Texas Austin, Jackson Sch Geosci, Inst Geophys, Austin, TX 78712 USA; [Sun, Tianyi] Environm Def Fund, New York, NY USA; [Bretones, Anais; Nisancioglu, Kerim] Univ Bergen, Dept Earth Sci, Bergen, Norway; [Straume, Eivind O.; Nisancioglu, Kerim] Univ Oslo, Dept Geosci, Ctr Earth Evolut &amp; Dynam CEED, Oslo, Norway; [Gebbie, Geoffrey] Woods Hole Oceanog Inst, Dept Phys Oceanog, Woods Hole, MA 02543 USA</t>
  </si>
  <si>
    <t>University of Bergen; Bjerknes Centre for Climate Research; University of Texas System; University of Texas Austin; Environmental Defense Fund; University of Bergen; University of Oslo; Woods Hole Oceanographic Institution</t>
  </si>
  <si>
    <t>Morée, AL (corresponding author), Univ Bergen, Geophys Inst, Bergen, Norway.;Morée, AL (corresponding author), Bjerknes Ctr Climate Res, Bergen, Norway.</t>
  </si>
  <si>
    <t>annemoree@gmail.com</t>
  </si>
  <si>
    <t>Nisancioglu, Kerim/AAW-9315-2021; Moree, Anne Lien/JCP-3534-2023</t>
  </si>
  <si>
    <t>Nisancioglu, Kerim/0000-0002-5737-5765; Moree, Anne Lien/0000-0002-0283-5947</t>
  </si>
  <si>
    <t>Bjerknes Visiting Fellowship; Research Council of Norway through its Centers of Excellence funding scheme [223272]; Ewing-Worzel Fellowship at Institute for Geophysics, University of Texas at Austin; UNINETT Sigma2-the National Infrastructure for High Performance Computing and Data Storage in Norway [ns2980k]; U.S. National Science Foundation [OCE-1536380]; DIKU project (ACER (Advanced Climate Education and Research)) [812957]</t>
  </si>
  <si>
    <t>Bjerknes Visiting Fellowship; Research Council of Norway through its Centers of Excellence funding scheme(Research Council of Norway); Ewing-Worzel Fellowship at Institute for Geophysics, University of Texas at Austin; UNINETT Sigma2-the National Infrastructure for High Performance Computing and Data Storage in Norway; U.S. National Science Foundation(National Science Foundation (NSF)); DIKU project (ACER (Advanced Climate Education and Research))</t>
  </si>
  <si>
    <t>The authors acknowledge P. Huybers and M. Raymo for discussions that helped improve this manuscript. Insightful comments from two reviewers also helped improve this manuscript. A. L. Moree, T. Sun, A. Bretones, and E. O. Straume thank the organization of Advanced Climate Dynamics Course (ACDC) for creating a nurturing and inspiring environment. This work developed from the ACDC2018 summer school and by funding of T. Sun and E. O. Straume to visit Bergen through their Bjerknes Visiting Fellowship. A. L. Moree thanks the University of Bergen for her stipend, E. O. Straume acknowledges support from the Research Council of Norway through its Centers of Excellence funding scheme (project 223272). T. Sun was supported by the Ewing-Worzel Fellowship at Institute for Geophysics, University of Texas at Austin. Storage and computing resources were provided by UNINETT Sigma2-the National Infrastructure for High Performance Computing and Data Storage in Norway (project number ns2980k). G. Gebbie is supported by the U.S. National Science Foundation award OCE-1536380. Last, the authors thank the DIKU project (number 812957; ACER (Advanced Climate Education and Research) for its support.</t>
  </si>
  <si>
    <t>e2020GL090035</t>
  </si>
  <si>
    <t>10.1029/2020GL090035</t>
  </si>
  <si>
    <t>WOS:000620058900069</t>
  </si>
  <si>
    <t>Harvey, ES; McLean, DL; Goetze, JS; Saunders, BJ; Langlois, TJ; Monk, J; Barrett, N; Wilson, SK; Holmes, TH; Ierodiaconou, D; Jordan, AR; Meekan, MG; Malcolm, HA; Heupel, MR; Harasti, D; Huveneers, C; Knott, NA; Fairclough, DV; Currey-Randall, LM; Travers, MJ; Radford, B; Rees, MJ; Speed, CW; Wakefield, CB; Cappo, M; Newman, SJ</t>
  </si>
  <si>
    <t>Harvey, Euan S.; McLean, Dianne L.; Goetze, Jordan S.; Saunders, Benjamin J.; Langlois, Tim J.; Monk, Jacquomo; Barrett, Neville; Wilson, Shaun K.; Holmes, Thomas H.; Ierodiaconou, Daniel; Jordan, Alan R.; Meekan, Mark G.; Malcolm, Hamish A.; Heupel, Michelle R.; Harasti, David; Huveneers, Charlie; Knott, Nathan A.; Fairclough, David, V; Currey-Randall, Leanne M.; Travers, Michael J.; Radford, Ben T.; Rees, Matthew J.; Speed, Conrad W.; Wakefield, Corey B.; Cappo, Mike; Newman, Stephen J.</t>
  </si>
  <si>
    <t>The BRUVs workshop-An Australia-wide synthesis of baited remote underwater video data to answer broad-scale ecological questions about fish, sharks and rays</t>
  </si>
  <si>
    <t>Sampling; Monitoring; Population ecology; Management; GlobalArchive</t>
  </si>
  <si>
    <t>STEREO-VIDEO; REEF FISHES; TEMPERATE; ASSEMBLAGES; BEHAVIOR</t>
  </si>
  <si>
    <t>Many marine fish populations have declined due to the individual or cumulative impacts of increasing water temperatures, ocean acidification, overfishing and other human-induced impacts such as land run-off, dredging and habitat alteration. Some solutions may be offered by ecosystem-based fisheries and conservation management. However, understanding their effectiveness relies on the availability of good quality data on the size distributions and abundance of fish populations and assemblages, collected at appropriate temporal and spatial scales. Since the early 2000s, baited remote underwater video systems (BRUVs) have become a popular tool for collecting data on fish assemblages across a range of depths and habitats. In Australia, this technique has been adopted by many different agencies and institutions, creating a unique opportunity to compile a continental-scale synthesis of fish data using a standardised sampling technique. Key Australian researchers and managers were invited to contribute to a synthesis workshop on baited underwater video in Albany, Western Australia between the 4th and 8th of February 2018. Data from 19,939 BRUVs deployments, collected between 2000 and 2017 around Australia, were compiled using GlobalArchive (globalarchive.org). The workshop identified and prioritised several key research themes that would contribute to the conservation and sustainable management of focal species and broad assemblages. Our goal is to describe where and when the data were collected, the type of equipment used and how the imagery was analysed. We also discuss the types of questions that can be addressed by analysing these standardised datasets and the potential benefits to conservation and fisheries management.</t>
  </si>
  <si>
    <t>[Harvey, Euan S.; Goetze, Jordan S.; Saunders, Benjamin J.; Fairclough, David, V; Travers, Michael J.; Wakefield, Corey B.; Newman, Stephen J.] Curtin Univ, Sch Mol &amp; Life Sci, Perth, WA 6845, Australia; [McLean, Dianne L.; Langlois, Tim J.; Wilson, Shaun K.; Holmes, Thomas H.] Univ Western Australia, UWA Oceans Inst M470, 35 Stirling Highway, Perth, WA 6009, Australia; [Goetze, Jordan S.; Wilson, Shaun K.; Holmes, Thomas H.] Dept Biodivers Conservat &amp; Attract, Biodivers &amp; Conservat Sci, Marine Sci Program, Kensington, WA 6151, Australia; [Langlois, Tim J.; Radford, Ben T.] Univ Western Australia, Sch Biol Sci, 35 Stirling Highway, Crawley, WA 6009, Australia; [Monk, Jacquomo; Barrett, Neville] Univ Tasmania, Inst Marine &amp; Antarctic Studies, Hobart, Tas 7001, Australia; [Fairclough, David, V; Travers, Michael J.; Wakefield, Corey B.; Newman, Stephen J.] Govt Western Australia, Dept Primary Ind &amp; Reg Dev, Western Australian Fisheries &amp; Marine Res Labs, POB 20, North Beach, WA 6920, Australia; [Ierodiaconou, Daniel] Deakin Univ, Ctr Integrat Ecol, Sch Life &amp; Environm Sci, Warrnambool 3280, Australia; [McLean, Dianne L.; Meekan, Mark G.; Radford, Ben T.; Rees, Matthew J.; Speed, Conrad W.] IOMRC MO96 UWA, Australian Inst Marine Sci, 35 Stirling Highway, Perth, WA 6009, Australia; [Jordan, Alan R.; Malcolm, Hamish A.] NSW Dept Primary Ind, Fisheries Res, 32 Marina Dr, Coffs Harbour, NSW 2450, Australia; [Heupel, Michelle R.; Currey-Randall, Leanne M.; Cappo, Mike] Australian Inst Marine Sci, PMB 3, Townsville, Qld 4810, Australia; [Harasti, David] Port Stephens Fisheries Inst, NSW Dept Primary Ind, Fisheries Res, Anna Bay, NSW 2316, Australia; [Huveneers, Charlie] Flinders Univ S Australia, Coll Sci &amp; Engn, Adelaide, SA 5042, Australia; [Knott, Nathan A.; Rees, Matthew J.] NSW Dept Primary Ind, Fisheries Res, 4 Woollamia Rd, Huskisson, NSW 2540, Australia</t>
  </si>
  <si>
    <t>Curtin University; University of Western Australia; University of Western Australia; University of Tasmania; Government of Western Australia; Western Australian Fisheries &amp; Marine Research Laboratories; Deakin University; Australian Institute of Marine Science; NSW Department of Primary Industries; Australian Institute of Marine Science; NSW Department of Primary Industries; Flinders University South Australia; NSW Department of Primary Industries</t>
  </si>
  <si>
    <t>Harvey, ES (corresponding author), Curtin Univ, Sch Mol &amp; Life Sci, Perth, WA 6845, Australia.</t>
  </si>
  <si>
    <t>euan.harvey@curtin.edu.au</t>
  </si>
  <si>
    <t>Saunders, Benjamin/AAB-6617-2019; Wilson, Shaun/K-8597-2019; Speed, Conrad W/F-2913-2015; Knott, Nathan/AAA-8888-2019; Ierodiaconou, Daniel A/B-9915-2008; Rees, Matthew John/I-9177-2012; Goetze, Jordan/J-3099-2015; McLean, Dianne/H-2449-2012; Barrett, Neville/J-7593-2014; Newman, Stephen/C-4507-2016</t>
  </si>
  <si>
    <t>Saunders, Benjamin/0000-0003-1929-518X; Wilson, Shaun/0000-0002-4590-0948; Speed, Conrad W/0000-0003-3186-8710; Knott, Nathan/0000-0002-7873-0412; Rees, Matthew John/0000-0002-2472-6215; Huveneers, Charlie/0000-0001-8937-1358; Fairclough, David/0000-0002-9620-5064; Goetze, Jordan/0000-0002-3090-9763; Meekan, Mark/0000-0002-3067-9427; McLean, Dianne/0000-0002-0306-8348; Barrett, Neville/0000-0002-6167-1356; Newman, Stephen/0000-0002-5324-5568; Currey-Randall, Leanne M/0000-0002-3772-1288</t>
  </si>
  <si>
    <t>Australian Research Data Commons (ARDC); Curtin University; Australian Institute of Marine Science; Brooke Gibbons; Marine Biodiversity Hub through Australian Government's National Environmental Science Program; ARDC's Marine Research Data Cloud project; Global FinPrint Project - Paul G Allen Philanthropies</t>
  </si>
  <si>
    <t>Logistical support for the project was provided by Curtin University. The workshop was made possible through participants contributing BRUVs data and metadata into an online portal, GlobalArchive. Global-Archive was supported by the Australian Research Data Commons (ARDC) and synthesis work was supported through the ARDC's Marine Research Data Cloud project. We acknowledge funding from Curtin University, a Community of Practice grant from the Australian Institute of Marine Science and from the Global FinPrint Project funded by Paul G Allen Philanthropies. Researchers TL, Brooke Gibbons, NB and JM were supported by the Marine Biodiversity Hub through funding from the Australian Government's National Environmental Science Program. We also acknowledge funding from all of the author's organisations which assisted paying for participants travel to attend the workshop. We also acknowledge Fervor for their catering. Logistical support for the project was provided by Curtin University. The workshop was made possible through participants contributing BRUVs data and metadata into an online portal, GlobalArchive. Global-Archive was supported by the Australian Research Data Commons (ARDC) and synthesis work was supported through the ARDC's Marine Research Data Cloud project. We acknowledge funding from Curtin University, a Community of Practice grant from the Australian Institute of Marine Science and from the Global FinPrint Project funded by Paul G Allen Philanthropies. Researchers TL, Brooke Gibbons, NB and JM were supported by the Marine Biodiversity Hub through funding from the Australian Government's National Environmental Science Program. We also acknowledge funding from all of the author's organisations which assisted paying for participants travel to attend the workshop. We also acknowledge Fervor for their catering.</t>
  </si>
  <si>
    <t>10.1016/j.marpol.2021.104430</t>
  </si>
  <si>
    <t>SG7NY</t>
  </si>
  <si>
    <t>WOS:000653628000013</t>
  </si>
  <si>
    <t>Bernath, PF; Dodandodage, R; Boone, CD; Crouse, J</t>
  </si>
  <si>
    <t>Bernath, P. F.; Dodandodage, R.; Boone, C. D.; Crouse, J.</t>
  </si>
  <si>
    <t>HOCl retrievals from the Atmospheric Chemistry Experiment</t>
  </si>
  <si>
    <t>JOURNAL OF QUANTITATIVE SPECTROSCOPY &amp; RADIATIVE TRANSFER</t>
  </si>
  <si>
    <t>Chlorofluorocarbons; Ozone hole; Satellite remote sensing; Fourier transform spectroscopy</t>
  </si>
  <si>
    <t>ANTARCTICA; DEPLETION; OZONE; HCL</t>
  </si>
  <si>
    <t>HOCl is a chlorine reservoir molecule found in the stratosphere and in the marine boundary layer. In the stratosphere, it originates from anthropogenic emissions of long-lived chlorine-containing molecules as chlorofluorocarbons (CFCs). HOCl is also a key species in polar ozone destruction and the formation of the Antarctic ozone hole. A new HOCl retrieval has been developed using solar occultation spectra recorded by the Atmospheric Chemistry Experiment Fourier Transform Spectrometer (ACE-FTS) from orbit. Altitude-latitude volume mixing ratio (VMR) distributions of HOCl are presented for the entire mission (2004-2020) and for four seasonal quarters. A time series of quarterly averages for the region 60 degrees S-60 degrees N, 35.5-39.5 km altitude shows a marginally significant trend of -0.23 +/- 0.11 ppt/year consistent with the success of the Montreal Protocol. (C) 2021 Elsevier Ltd. All rights reserved.</t>
  </si>
  <si>
    <t>[Bernath, P. F.] Old Dominion Univ, Dept Chem &amp; Biochem, Norfolk, VA 23529 USA; [Bernath, P. F.; Boone, C. D.; Crouse, J.] Univ Waterloo, Dept Chem, Waterloo, ON N2L 3G1, Canada; [Bernath, P. F.; Dodandodage, R.] Old Dominion Univ, Dept Phys, Norfolk, VA 23529 USA</t>
  </si>
  <si>
    <t>Old Dominion University; University of Waterloo; Old Dominion University</t>
  </si>
  <si>
    <t>Bernath, PF (corresponding author), Old Dominion Univ, Dept Chem &amp; Biochem, Norfolk, VA 23529 USA.;Bernath, PF (corresponding author), Univ Waterloo, Dept Chem, Waterloo, ON N2L 3G1, Canada.;Bernath, PF (corresponding author), Old Dominion Univ, Dept Phys, Norfolk, VA 23529 USA.</t>
  </si>
  <si>
    <t>pbernath@odu.edu</t>
  </si>
  <si>
    <t>Dodangodage, Randika/AAD-8212-2021; Bernath, Peter F/B-6567-2012</t>
  </si>
  <si>
    <t>Bernath, Peter F/0000-0002-1255-396X; Dodangodage, Randika/0000-0003-4814-4970</t>
  </si>
  <si>
    <t>Canadian Space Agency [9F045-180 032/001/MTB]</t>
  </si>
  <si>
    <t>Canadian Space Agency(Canadian Space Agency)</t>
  </si>
  <si>
    <t>The ACE satellite mission is funded by the Canadian Space Agency (9F045-180 032/001/MTB).</t>
  </si>
  <si>
    <t>0022-4073</t>
  </si>
  <si>
    <t>1879-1352</t>
  </si>
  <si>
    <t>J QUANT SPECTROSC RA</t>
  </si>
  <si>
    <t>J. Quant. Spectrosc. Radiat. Transf.</t>
  </si>
  <si>
    <t>10.1016/j.jqsrt.2021.107559</t>
  </si>
  <si>
    <t>Optics; Spectroscopy</t>
  </si>
  <si>
    <t>RQ5LI</t>
  </si>
  <si>
    <t>WOS:000642459600003</t>
  </si>
  <si>
    <t>Griffiths, HJ; Anker, P; Linse, K; Maxwell, J; Post, AL; Stevens, C; Tulaczyk, S; Smith, JA</t>
  </si>
  <si>
    <t>Griffiths, Huw J.; Anker, Paul; Linse, Katrin; Maxwell, Jamie; Post, Alexandra L.; Stevens, Craig; Tulaczyk, Slawek; Smith, James A.</t>
  </si>
  <si>
    <t>Breaking All the Rules: The First Recorded Hard Substrate Sessile Benthic Community Far Beneath an Antarctic Ice Shelf</t>
  </si>
  <si>
    <t>dropstone; oligotrophic; borehole; sponge (Porifera); Filchner-Ronne Ice Shelf; Weddell Sea</t>
  </si>
  <si>
    <t>SOUTHERN-OCEAN; LIFE; SEA</t>
  </si>
  <si>
    <t>The seafloor beneath floating ice shelves accounts roughly a third of the Antarctic's 5 million km(2) of continental shelf. Prior to this study, our knowledge of these habitats and the life they support was restricted to what has been observed from eight boreholes drilled for geological and glaciological studies. The established theory of sub-ice shelf biogeography is that both functional and taxonomic diversities decrease along a nutrient gradient with distance from the ice shelf front, resulting in a depauperate fauna, dominated by mobile scavengers and predators toward the grounding line. Mobile macro-benthic life and mega-benthic life have been observed as far as 700 km under an ice shelf. New observations from two boreholes in the Filchner-Ronne Ice Shelf challenge the idea that sessile organisms reduce in prevalence the further under the ice you go. The discovery of an established community consisting of only sessile, probably filter feeding, organisms (sponges and other taxa) on a boulder 260 km from the ice front raises significant questions, especially when the local currents suggest that this community is somewhere between 625 km and 1500 km in the direction of water flow from the nearest region of photosynthesis. This new evidence requires us to rethink our ideas with regard to the diversity of community types found under ice shelves, the key factors which control their distribution and their vulnerability to environmental change and ice shelf collapse.</t>
  </si>
  <si>
    <t>[Griffiths, Huw J.; Anker, Paul; Linse, Katrin; Maxwell, Jamie; Smith, James A.] British Antarctic Survey, Cambridge, England; [Maxwell, Jamie] Natl Univ Ireland Galway, Ryan Inst, Galway, Ireland; [Post, Alexandra L.] Geosci Australia, Canberra, ACT, Australia; [Stevens, Craig] Natl Inst Water &amp; Atmospher Res, Wellington, New Zealand; [Stevens, Craig] Univ Auckland, Dept Phys, Auckland, New Zealand; [Tulaczyk, Slawek] Univ Calif Santa Cruz, Earth &amp; Planetary Sci, Santa Cruz, CA 95064 USA</t>
  </si>
  <si>
    <t>UK Research &amp; Innovation (UKRI); Natural Environment Research Council (NERC); NERC British Antarctic Survey; Ollscoil na Gaillimhe-University of Galway; Geoscience Australia; National Institute of Water &amp; Atmospheric Research (NIWA) - New Zealand; University of Auckland; University of California System; University of California Santa Cruz</t>
  </si>
  <si>
    <t>Griffiths, HJ (corresponding author), British Antarctic Survey, Cambridge, England.</t>
  </si>
  <si>
    <t>hjg@bas.ac.uk</t>
  </si>
  <si>
    <t>Griffiths, Huw J/D-4234-2009; Tulaczyk, Slawek/O-7375-2018</t>
  </si>
  <si>
    <t>Griffiths, Huw J/0000-0003-1764-223X; Maxwell, Jamie/0000-0001-5705-2811</t>
  </si>
  <si>
    <t>UK Natural Environment Research Council [NE/L013770/1]; Irish Research Council [GOIPG/2019/4020]; Geoscience Australia; New Zealand Antarctic Research Institute Ross Ice Shelf Program; New Zealand Antarctic Science Platform (ASP); NSF-OPP award as part of the Whillans Ice Stream Subglacial Access Drilling (WISSARD) project - ANDRILL drilling team at the University of Nebraska, Lincoln [0838947]; NERC [bas0100033, bas0100036, bas0100030] Funding Source: UKRI</t>
  </si>
  <si>
    <t>UK Natural Environment Research Council(UK Research &amp; Innovation (UKRI)Natural Environment Research Council (NERC)); Irish Research Council(Irish Research Council for Science, Engineering and Technology); Geoscience Australia; New Zealand Antarctic Research Institute Ross Ice Shelf Program; New Zealand Antarctic Science Platform (ASP); NSF-OPP award as part of the Whillans Ice Stream Subglacial Access Drilling (WISSARD) project - ANDRILL drilling team at the University of Nebraska, Lincoln; NERC(UK Research &amp; Innovation (UKRI)Natural Environment Research Council (NERC))</t>
  </si>
  <si>
    <t>HG, PA, KL, and JS are part of the British Antarctic Survey's Polar Science for Planet Earth Program (NC-Science). Images from Filchner were obtained using the UK Natural Environment Research Council grant number NE/L013770/1, Ice shelves in a warming world: Filchner Ice Shelf system, Antarctica. JM is funded by the Irish Research Council GOIPG/2019/4020. AP is funded by Geoscience Australia. CS is funded by the New Zealand Antarctic Research Institute Ross Ice Shelf Program and the New Zealand Antarctic Science Platform (ASP). ST was funded by NSF-OPP award 0838947 as part of the Whillans Ice Stream Subglacial Access Drilling (WISSARD) project supported by the ANDRILL drilling team at the University of Nebraska, Lincoln, and by logistics provided by the United States Antarctic Program.</t>
  </si>
  <si>
    <t>FEB 15</t>
  </si>
  <si>
    <t>10.3389/fmars.2021.642040</t>
  </si>
  <si>
    <t>QO5EN</t>
  </si>
  <si>
    <t>WOS:000623165500001</t>
  </si>
  <si>
    <t>van Wessem, JM; Steger, CR; Wever, N; van den Broeke, MR</t>
  </si>
  <si>
    <t>van Wessem, J. Melchior; Steger, Christian R.; Wever, Nander; van den Broeke, Michiel R.</t>
  </si>
  <si>
    <t>An exploratory modelling study of perennial firn aquifers in the Antarctic Peninsula for the period 1979-2016</t>
  </si>
  <si>
    <t>SURFACE MASS-BALANCE; PHYSICAL SNOWPACK MODEL; GREENLAND ICE-SHEET; CLIMATE; SHELF; TEMPERATURE; MELTWATER; ALBEDO; FLOW</t>
  </si>
  <si>
    <t>In this study, we focus on the model detection in the Antarctic Peninsula (AP) of so-called perennial firn aquifers (PFAs) that are widespread in Greenland and Svalbard and are formed when surface meltwater percolates into the firn pack in summer, which is then buried by snowfall and does not refreeze during the following winter. We use two snow models, the Institute for Marine and Atmospheric Research Utrecht Firn Densification Model (IMAU-FDM) and SNOWPACK, and force these (partly) with mass and energy fluxes from the Regional Atmospheric Climate MOdel (RACMO2.3p2) to construct a 1979-2016 climatology of AP firn density, temperature, and liquid water content. An evaluation using 75 snow temperature observations at 10 m depth and density profiles from 11 firn cores shows that output of both snow models is sufficiently realistic to warrant further analysis of firn characteristics. The models give comparable results: in 941 model grid points in either model, covering similar to 28 000 km(2), PFAs existed for at least 1 year in the simulated period, most notably in the western AR. At these locations, surface meltwater production typically exceeds 200 mm w e yr(-1), with accumulation for most locations &gt; 1000mm w e yr(-1). Most persistent and extensive are PFAs modelled on and around Wilkins Ice Shelf. Here, both meltwater production and accumulation rates are sufficiently high to sustain a PFA on 49 % of the ice shelf area in (up to) 100 % (depending on the model) of the years in the 1979-2016 period. Although this PFA presence is confirmed by recent observations, its extent in the models appears underestimated. Other notable PFA locations are Wordie Ice Shelf, an ice shelf that has almost completely disappeared in recent decades, and the relatively warm north-western side of mountain ranges in Palmer Land, where accumulation rates can be extremely high, and PFAs are formed frequently. PFAs are not necessarily more frequent in areas with the largest melt and accumulation rates, but they do grow larger and retain more meltwater, which could increase the likelihood of ice shelf hydrofracturing. We find that not only the magnitude of melt and accumulation is important but also the timing of precipitation events relative to melt events. Large accumulation events that occur in the months following an above-average summer melt event favour PFA formation in that year. Most PFAs are predicted near the grounding lines of the (former) Prince Gustav, Wilkins, and Wordie ice shelves. This highlights the need to further investigate how PFAs may impact ice shelf disintegration events through the process of hydrofracturing in a similar way as supraglacial lakes do.</t>
  </si>
  <si>
    <t>[van Wessem, J. Melchior; van den Broeke, Michiel R.] Univ Utrecht, Inst Marine &amp; Atmospher Res Utrecht, Utrecht, Netherlands; [Steger, Christian R.] Swiss Fed Inst Technol, Inst Atmospher &amp; Climate Sci, Zurich, Switzerland; [Wever, Nander] Univ Colorado, Dept Atmospher &amp; Ocean Sci, Boulder, CO 80309 USA</t>
  </si>
  <si>
    <t>Utrecht University; Swiss Federal Institutes of Technology Domain; ETH Zurich; University of Colorado System; University of Colorado Boulder</t>
  </si>
  <si>
    <t>van Wessem, JM (corresponding author), Univ Utrecht, Inst Marine &amp; Atmospher Res Utrecht, Utrecht, Netherlands.</t>
  </si>
  <si>
    <t>j.m.vanwessem@uu.nl</t>
  </si>
  <si>
    <t>Van den Broeke, Michiel R./F-7867-2011</t>
  </si>
  <si>
    <t>Van den Broeke, Michiel R./0000-0003-4662-7565; Steger, Christian/0000-0002-5710-2310; Wever, Nander/0000-0002-4829-8585</t>
  </si>
  <si>
    <t>NWO [VI.Veni.192.083]</t>
  </si>
  <si>
    <t>NWO(Netherlands Organization for Scientific Research (NWO))</t>
  </si>
  <si>
    <t>This research has been supported by the NWO (grant no. VI.Veni.192.083.).</t>
  </si>
  <si>
    <t>10.5194/tc-15-695-2021</t>
  </si>
  <si>
    <t>QJ6ZW</t>
  </si>
  <si>
    <t>Green Submitted, gold, Green Published</t>
  </si>
  <si>
    <t>WOS:000619837600001</t>
  </si>
  <si>
    <t>Benitez, J; Pizarro, JC; Blazina, AP; Lencinas, MV</t>
  </si>
  <si>
    <t>Benitez, Julieta; Cristobal Pizarro, J.; Paula Blazina, Ana; Vanessa Lencinas, Maria</t>
  </si>
  <si>
    <t>Response of bird communities to native forest urbanization in one of the southernmost city of the world</t>
  </si>
  <si>
    <t>URBAN FORESTRY &amp; URBAN GREENING</t>
  </si>
  <si>
    <t>Conservation; Habitat variables; Nothofagus forests; Passeriformes; South Patagonia</t>
  </si>
  <si>
    <t>CONSERVATION; HABITAT; VEGETATION; DIVERSITY; ABUNDANCE; RICHNESS; PATTERNS; AVIFAUNA; DENSITY; RESERVE</t>
  </si>
  <si>
    <t>Rapid urban development threatens biodiversity, reducing local livelihoods and well-being when replacing natural habitat by urban structures. Although there is a lot of literature on the effects of urbanization on biodiversity, little has been investigated in South America. This study evaluated, for the first-time, bird community variation in an urban gradient of Nothofagus South-Antarctic forest in Ushuaia, the southernmost city of Argentina. We also studied differences during the breeding season and habitat characteristics. We conducted bird surveys monthly from October 2016 to February 2017 in 12 plots classified as (i) urban, (ii) peri-urban and (iii) non-urban forest. We counted birds for 15 min (three times per month) in each plot to obtain assemblage richness, abundance, density and several indices (Shannon-Weiner diversity, Pielou evenness and abundancebased Chao-Sorensen similarity) for the communities and functional groups. We recorded use of strata, weather conditions and human/domestic animal presence during counting, as well as habitat variables (forest structure, ground cover and understory plants) in each plot. We performed univariate and multivariate analyses, which showed that urbanization positively affects bird community structure (all variables increased in urban forest), with a reduction in the abundance of insectivores cavity-nesters that feed on trees (Campephilus magellanicus, Troglodytes aedon, Aphrastura spinicauda and Pygarrhichas albogularis). Bird assemblages changed similarities over the season; non-urban forests were more dissimilar than urban and peri-urban in October and November, but not in the other months, highlighting different roles of each forest in different periods. We found differences in habitats along the urbanization gradient, and discuss possible influences on bird communities, such as more food supply associated with berry shrubs and low overall richness at high latitudes. According to our results, urban forests with native vegetation are useful structures that help to maintain native bird communities and ecological functions in Ushuaia city.y</t>
  </si>
  <si>
    <t>[Benitez, Julieta; Paula Blazina, Ana; Vanessa Lencinas, Maria] Nacl Sci &amp; Tech Res Council CONICET, Ctr Austral Invest Cient CADIC, Houssay 200, RA-9410 Ushuaia, Tierra Del Fueg, Argentina; [Cristobal Pizarro, J.] Univ Concepcion, Fac Ciencias Forestales, Dept Manejo Bosques &amp; Medioambiente, Lab Estudios Antropoceno, Victoria 636, Concepcion, Chile; [Cristobal Pizarro, J.] Natl Res &amp; Dev Agcy, Millennium Nucleus Ctr Socioecon Impact Environm, Millennium Sci Initiat, Santiago, Chile</t>
  </si>
  <si>
    <t>Universidad de Concepcion</t>
  </si>
  <si>
    <t>Benitez, J (corresponding author), Houssay 200, RA-9410 Ushuaia, Tierra Del Fueg, Argentina.</t>
  </si>
  <si>
    <t>jbenitez@cadic-conicet.gob.ar; jpizarrop@udec.cl; blazina@cadic-conicet.gob.ar; mvlencinas@conicet.gob.ar</t>
  </si>
  <si>
    <t>Benitez, Julieta/AAR-6005-2021; Lencinas, Maria Vanessa/K-6208-2019; Pizarro, Cristobal/J-8925-2014; Benitez, Julieta/JBR-9137-2023</t>
  </si>
  <si>
    <t>Lencinas, Maria Vanessa/0000-0002-2123-3976; Pizarro, Cristobal/0000-0002-5240-2816; Benitez, Julieta/0000-0002-1184-6808</t>
  </si>
  <si>
    <t>1618-8667</t>
  </si>
  <si>
    <t>1610-8167</t>
  </si>
  <si>
    <t>URBAN FOR URBAN GREE</t>
  </si>
  <si>
    <t>Urban For. Urban Green.</t>
  </si>
  <si>
    <t>10.1016/j.ufug.2020.126887</t>
  </si>
  <si>
    <t>Plant Sciences; Environmental Studies; Forestry; Urban Studies</t>
  </si>
  <si>
    <t>Plant Sciences; Environmental Sciences &amp; Ecology; Forestry; Urban Studies</t>
  </si>
  <si>
    <t>QK8UT</t>
  </si>
  <si>
    <t>WOS:000620655900009</t>
  </si>
  <si>
    <t>Hayward, MK; Dewey, ED; Shaffer, KN; Huntington, AM; Burchell, BM; Stokes, LM; Alexander, BC; George, JE; Kempher, ML; Joye, SB; Madigan, MT; Sattley, WM</t>
  </si>
  <si>
    <t>Hayward, Mackenzie K.; Dewey, Emma D.; Shaffer, Kathryn N.; Huntington, Austin M.; Burchell, Brad M.; Stokes, Lynn M.; Alexander, Brittney C.; George, Janessa E.; Kempher, Megan L.; Joye, Samantha B.; Madigan, Michael T.; Sattley, W. Matthew</t>
  </si>
  <si>
    <t>Cultivation and characterization of snowbound microorganisms from the South Pole</t>
  </si>
  <si>
    <t>Little is known about microbial ecosystems of interior Antarctica, if indeed such ecosystems exist. Although considerable research has assessed microorganisms indigenous to coastal regions of Antarctica, particularly their lakes, ponds, and soils, to our knowledge only one characterized bacterium, a strain of Pseudomonas, has been isolated from South Pole ice or snow. Metagenomic community analyses described in this work and elsewhere reveal that a diversity of bacteria exists in inland polar snows, yet attempts to culture and characterize these microbes from this extreme environment have been few to date. In this molecular and culture-dependent investigation of the microbiology of inland Antarctica, we enriched and isolated two new strains of bacteria and one strain of yeast (Fungi) from South Pole snow samples. The bacteria were of the genera Methylobacterium and Sphingomonas, and the yeast grouped with species of Naganishia (class Tremellocytes). In addition to phylogenetic analyses, characterization of these isolates included determinations of cell morphology, growth as a function of temperature, salinity tolerance, and carbon and energy source versatility. All organisms were found to be cold-adapted, and the yeast strain additionally showed considerable halotolerance. These descriptions expand our understanding of the diversity and metabolic activities of snowbound microorganisms of interior Antarctica.</t>
  </si>
  <si>
    <t>[Hayward, Mackenzie K.; Dewey, Emma D.; Shaffer, Kathryn N.; Huntington, Austin M.; Burchell, Brad M.; Stokes, Lynn M.; Alexander, Brittney C.; George, Janessa E.; Sattley, W. Matthew] Indiana Wesleyan Univ, Div Nat Sci, 4201 South Washington St, Marion, IN 46953 USA; [Kempher, Megan L.] Univ Oklahoma, Dept Microbiol &amp; Plant Biol, Norman, OK 73019 USA; [Joye, Samantha B.] Univ Georgia, Dept Marine Sci, Athens, GA 30602 USA; [Madigan, Michael T.] Southern Illinois Univ, Dept Microbiol, 1125 Lincoln Dr, Carbondale, IL 62901 USA</t>
  </si>
  <si>
    <t>University of Oklahoma System; University of Oklahoma - Norman; University System of Georgia; University of Georgia; Southern Illinois University System; Southern Illinois University</t>
  </si>
  <si>
    <t>Sattley, WM (corresponding author), Indiana Wesleyan Univ, Div Nat Sci, 4201 South Washington St, Marion, IN 46953 USA.</t>
  </si>
  <si>
    <t>madigan@siu.edu; matthew.sattley@indwes.edu</t>
  </si>
  <si>
    <t>Dewey, Emma/0000-0002-4239-6272; Sattley, W. Matthew/0000-0001-6712-2836</t>
  </si>
  <si>
    <t>NASA Exobiology/Astrobiology Program Award [NNX11AG45G]; Indiana Wesleyan University (IWU) Division of Natural Sciences; IWU Hodson Research Institute; NASA [145622, NNX11AG45G] Funding Source: Federal RePORTER</t>
  </si>
  <si>
    <t>NASA Exobiology/Astrobiology Program Award; Indiana Wesleyan University (IWU) Division of Natural Sciences; IWU Hodson Research Institute; NASA(National Aeronautics &amp; Space Administration (NASA))</t>
  </si>
  <si>
    <t>South Pole ice sample collection was supported by NASA Exobiology/Astrobiology Program Award NNX11AG45G to SBJ and MTM, and we thank Paul Sullivan, United States Antarctic Program, Amundsen-Scott Station, for help in sample collection. Support for the culture-dependent component of this study was provided by the Indiana Wesleyan University (IWU) Division of Natural Sciences and the IWU Hodson Research Institute.</t>
  </si>
  <si>
    <t>10.1007/s00792-021-01218-z</t>
  </si>
  <si>
    <t>WOS:000618156300001</t>
  </si>
  <si>
    <t>Nesimyan-Agadi, D; Assaraf, OB</t>
  </si>
  <si>
    <t>Nesimyan-Agadi, Dina; Ben Zvi Assaraf, Orit</t>
  </si>
  <si>
    <t>How can learners explain phenomena in ecology using evolutionary evidence from informal learning environments as resources?</t>
  </si>
  <si>
    <t>JOURNAL OF BIOLOGICAL EDUCATION</t>
  </si>
  <si>
    <t>Informal learning environment; system thinking; ecology; evolution; concept maps</t>
  </si>
  <si>
    <t>The theory of evolution can be a useful basis for developing students' understanding of ecology. Our study used concept maps to examine the development of sixth-grade students' understanding of the Antarctic ecosystem following several evolution 'Science Days' conducted at 'Nature Campus' - an informal learning environment comprised of a natural history museum, zoological and botanical gardens. The programme included physical experiences, such as observations and measurements of fossils, skeletons and mounted specimens, and observations in the zoological and botanical gardens. After the first and fourth days, the students watched the film 'March of the Penguins,' and were asked to draw concept maps depicting the penguins' lives. These maps were then analysed to assess: (a) the changes in the students' depictions of the ecosystem's complexity, and (b) the manner and extent to which they used ideas and concepts in evolution to explain phenomena in the Antarctic ecosystem. We found that the students' concept maps increased in complexity, and their post-maps incorporated concepts in evolution from their experiences at Nature Campus. Our results therefore emphasise the benefits of fundamentally changing how biology education is divided and defined, and transitioning to a more holistic approach that acknowledges the interdisciplinary nature of biological phenomena.</t>
  </si>
  <si>
    <t>[Nesimyan-Agadi, Dina; Ben Zvi Assaraf, Orit] Ben Gurion Univ Negev, Program Sci &amp; Technol Educ, Beer Sheva, Israel</t>
  </si>
  <si>
    <t>Ben Gurion University</t>
  </si>
  <si>
    <t>Assaraf, OB (corresponding author), Ben Gurion Univ Negev, Program Sci &amp; Technol Educ, Beer Sheva, Israel.</t>
  </si>
  <si>
    <t>ntorit@bgu.ac.il</t>
  </si>
  <si>
    <t>ROUTLEDGE JOURNALS, TAYLOR &amp; FRANCIS LTD</t>
  </si>
  <si>
    <t>2-4 PARK SQUARE, MILTON PARK, ABINGDON OX14 4RN, OXON, ENGLAND</t>
  </si>
  <si>
    <t>0021-9266</t>
  </si>
  <si>
    <t>2157-6009</t>
  </si>
  <si>
    <t>J BIOL EDUC</t>
  </si>
  <si>
    <t>J. Biol. Educ.</t>
  </si>
  <si>
    <t>JAN 1</t>
  </si>
  <si>
    <t>10.1080/00219266.2021.1877784</t>
  </si>
  <si>
    <t>Biology; Education &amp; Educational Research; Education, Scientific Disciplines</t>
  </si>
  <si>
    <t>Life Sciences &amp; Biomedicine - Other Topics; Education &amp; Educational Research</t>
  </si>
  <si>
    <t>9S2OS</t>
  </si>
  <si>
    <t>WOS:000617966000001</t>
  </si>
  <si>
    <t>Jones, CW; Risi, MM; Osborne, AM; Ryan, PG; Oppel, S</t>
  </si>
  <si>
    <t>Jones, C. W.; Risi, M. M.; Osborne, A. M.; Ryan, P. G.; Oppel, S.</t>
  </si>
  <si>
    <t>Mouse eradication is required to prevent local extinction of an endangered seabird on an oceanic island</t>
  </si>
  <si>
    <t>ANIMAL CONSERVATION</t>
  </si>
  <si>
    <t>eradication; extinction risk; invasive species; island restoration; MacGillivray's prion; Mus musculus; petrels; population model</t>
  </si>
  <si>
    <t>SUB-ANTARCTIC MARION; BREEDING SUCCESS; GOUGH ISLAND; POPULATION VIABILITY; PACHYPTILA-BELCHERI; BURROWING PETRELS; FERAL CATS; PREDATION; MICE; BIOLOGY</t>
  </si>
  <si>
    <t>Petrels (Procellariidae) are a highly diverse family of seabirds, many of which are globally threatened due to the impact of invasive species on breeding populations. While predation by invasive cats and rats has led to the extinction of petrel populations, the impact of invasive house mice Mus musculus is slower and less well documented. However, mice impact small burrow-nesting species such as MacGillivray's prion Pachyptila macgillivrayi, a species classified as endangered because it has been extirpated on islands in the Indian Ocean by introduced rodents. We use historic abundance data and demographic monitoring data from 2014 to 2020 to predict the population trajectory of MacGillivray's prion on Gough Island with and without a mouse eradication using a stochastic integrated population model. Given very low annual breeding success (0.01 fledglings per breeding pair in 'poor' years (83%) or 0.38 in 'good' years (17%), n = 320 nests over 6 years) mainly due to mouse predation, our model predicted that the population collapsed from similar to 3.5 million pairs in 1956 to an estimated 175,000 pairs in 2020 despite reasonably high adult survival probability (square = 0.901). Based on these parameters, the population is predicted to decline at a rate of 9% per year over the next 36 years without a mouse eradication, with a 31% probability that by 2057, the MacGillivray' prion population would become extremely vulnerable to extinction. Our models predict population stability (square = 1.01) and a lower extinction risk (&lt;10%) if mouse eradication on Gough Island restores annual breeding success to 0.519, which is in line with that of closely related species on predator-free islands. This study demonstrates the devastating impacts that introduced house mice can have on small burrowing petrels and highlights the urgency to eradicate invasive mammals from oceanic islands.</t>
  </si>
  <si>
    <t>[Jones, C. W.; Risi, M. M.; Osborne, A. M.; Oppel, S.] Royal Soc Protect Birds, RSPB Ctr Conservat Sci, Cambridge CB2 3QZ, England; [Jones, C. W.; Risi, M. M.; Osborne, A. M.; Ryan, P. G.] Univ Cape Town, DSI NRF Ctr Excellence, FitzPatrick Inst African Ornithol, Rondebosch, South Africa</t>
  </si>
  <si>
    <t>Royal Society for Protection of Birds; University of Cape Town</t>
  </si>
  <si>
    <t>Oppel, S (corresponding author), Royal Soc Protect Birds, RSPB Ctr Conservat Sci, Cambridge CB2 3QZ, England.</t>
  </si>
  <si>
    <t>steffen.oppel@rspb.org.uk</t>
  </si>
  <si>
    <t>Oppel, Steffen/H-2771-2019</t>
  </si>
  <si>
    <t>Oppel, Steffen/0000-0002-8220-3789; Ryan, Peter/0000-0002-3356-2056; Jones, Christopher/0000-0002-4112-1912</t>
  </si>
  <si>
    <t>1367-9430</t>
  </si>
  <si>
    <t>1469-1795</t>
  </si>
  <si>
    <t>ANIM CONSERV</t>
  </si>
  <si>
    <t>Anim. Conserv.</t>
  </si>
  <si>
    <t>10.1111/acv.12670</t>
  </si>
  <si>
    <t>UB0UL</t>
  </si>
  <si>
    <t>WOS:000617905100001</t>
  </si>
  <si>
    <t>Snels, M; Colao, F; Cairo, F; Shuli, I; Scoccione, A; De Muro, M; Pitts, M; Poole, L; Di Liberto, L</t>
  </si>
  <si>
    <t>Snels, Marcel; Colao, Francesco; Cairo, Francesco; Shuli, Ilir; Scoccione, Andrea; De Muro, Mauro; Pitts, Michael; Poole, Lamont; Di Liberto, Luca</t>
  </si>
  <si>
    <t>Quasi-coincident observations of polar stratospheric clouds by ground-based lidar and CALIOP at Concordia (Dome C, Antarctica) from 2014 to 2018</t>
  </si>
  <si>
    <t>Polar stratospheric clouds (PSCs) have been observed from 2014 to 2018 from the lidar observatory at the Antarctic Concordia station (Dome C), included as a primary station in the NDACC (Network for Detection of Atmospheric Climate Change). Many of these measurements have been performed in coincidence with overpasses of the satellite-borne CALIOP (Cloud Aerosol Lidar with Orthogonal Polarization) lidar, in order to perform a comparison in terms of PSC detection and composition classification. Good agreement has been obtained, despite intrinsic differences in observation geometry and data sampling. This study reports, to our knowledge, the most extensive comparison of PSC observations by ground-based and satellite-borne lidars. The PSCs observed by the ground-based lidar and CALIOP form a complementary and congruent dataset and allow us to study the seasonal and interannual variations in PSC occurrences at Dome C. Moreover, a strong correlation with the formation temperature of NAT (nitric acid trihydrate), T-NAT, calculated from local temperature, pressure, and H2O and HNO3 concentrations is shown. PSCs appear at Dome C at the beginning of June up to 26 km and start to disappear in the second half of August, when the local temperatures start to rise above T-NAT. Rare PSC observations in September coincide with colder air masses below 18 km.</t>
  </si>
  <si>
    <t>[Snels, Marcel; Cairo, Francesco; Shuli, Ilir; Scoccione, Andrea; De Muro, Mauro; Di Liberto, Luca] Natl Res Council Italy, Inst Atmospher Sci &amp; Climate CNR ISAC, Via Fosso Cavaliere 100, I-00133 Rome, Italy; [Colao, Francesco] ENEA, Via Enrico Fermi 45, I-00044 Frascati, Italy; [Scoccione, Andrea] Aeronaut Mil, Pratica Di Mare, Italy; [De Muro, Mauro] Thales Alenia Space, Rome, Italy; [Pitts, Michael] NASA, Langley Res Ctr, Hampton, VA 23681 USA; [Poole, Lamont] Sci Syst &amp; Applicat Inc, Hampton, VA 23666 USA</t>
  </si>
  <si>
    <t>Consiglio Nazionale delle Ricerche (CNR); Istituto di Scienze dell'Atmosfera e del Clima (ISAC-CNR); Italian National Agency New Technical Energy &amp; Sustainable Economics Development; Thales Group; National Aeronautics &amp; Space Administration (NASA); NASA Langley Research Center; Science Systems and Applications Inc</t>
  </si>
  <si>
    <t>Snels, M (corresponding author), Natl Res Council Italy, Inst Atmospher Sci &amp; Climate CNR ISAC, Via Fosso Cavaliere 100, I-00133 Rome, Italy.</t>
  </si>
  <si>
    <t>Di Liberto, Luca/AAY-4560-2020; DI LIBERTO, LUCA/P-5876-2018; Snels, Marcel/J-2324-2012; cairo, francesco/C-7460-2015</t>
  </si>
  <si>
    <t>DI LIBERTO, LUCA/0000-0001-7274-1279; Snels, Marcel/0000-0002-3025-5237; cairo, francesco/0000-0002-2886-2601</t>
  </si>
  <si>
    <t>PNRA [2009/B.08]</t>
  </si>
  <si>
    <t>PNRA</t>
  </si>
  <si>
    <t>This research has been supported by the PNRA (grant nos. OSS-12 and 2009/B.08).</t>
  </si>
  <si>
    <t>10.5194/acp-21-2165-2021</t>
  </si>
  <si>
    <t>QJ6WJ</t>
  </si>
  <si>
    <t>WOS:000619828400001</t>
  </si>
  <si>
    <t>Wang, SY; Carter, CG; Fitzgibbon, QP; Smith, GG</t>
  </si>
  <si>
    <t>Wang, Shuangyao; Carter, Chris G.; Fitzgibbon, Quinn P.; Smith, Gregory G.</t>
  </si>
  <si>
    <t>The use of stoichiometric bioenergetics to elucidate metabolic energy substrate use and specific dynamic action in cultured juvenile spiny lobsters (Sagmariasus verreauxi) of different nutritional status</t>
  </si>
  <si>
    <t>Sagmariasus verreauxi; Stoichiometric bioenergetic approach; Metabolic energy substrate use; Specific dynamic action; Cycloheximide</t>
  </si>
  <si>
    <t>SOUTHERN ROCK LOBSTER; AMMONIA-N EXCRETION; ACID-BASE-BALANCE; OXYGEN-CONSUMPTION; PROTEIN-SYNTHESIS; NITROGEN-EXCRETION; LITOPENAEUS-VANNAMEI; JASUS-EDWARDSII; CARBON-DIOXIDE; GROWTH-PERFORMANCE</t>
  </si>
  <si>
    <t>Simultaneous measurements of nitrogenous (ammonia and urea) excretion and respiratory gas (O-2 and CO2) exchange provide a non-destructive stoichiometric bioenergetic approach to elucidate metabolic energy substrate use which has rarely been used with aquatic ectotherms due to previous difficulties in measuring total CO2 excretion. This study examined metabolic energy substrate use and specific dynamic action (SDA) in cultured spiny lobster, Sagmariasus verreauxi, of different nutritional status. SDA magnitude calculated by stoichiometry was compared to a traditional composite oxycalorific coefficient approach. Protein synthesis can account for a large part of SDA in aquatic ectotherms. This study used a protein synthesis inhibitor cycloheximide to investigate the contribution of cycloheximide-sensitive protein synthesis to SDA and the effect of cycloheximide on nitrogenous and CO2 excretion. Lobsters were subjected to five treatments: 2-day fasted juveniles sham injected with saline (FS treatment); 2-day fasted juveniles injected with cycloheximide (FC treatment); 10-day starved juveniles injected with cycloheximide (SC treatment); post-prandial juveniles fed squid Nototodarus sloanii (FED treatment) and; post-prandial juveniles injected with cycloheximide (FEDC treatment). Protein was the primary energy substrate (65% of oxygen consumption) for 2-day fasted juveniles, with lipid accounting for the remainder (35%). After 10-day starvation lipid became the main substrate, indicating lipid oxidation increased with extended fasting. Following feeding, protein contribution remained above 50%, while lipid (0-43%) and carbohydrate (0-37%) provided significant energy at different time periods, indicating besides protein appropriate proportions of non-protein ingredients are also essential to lobsters. SDA magnitude in FED and FEDC treatments estimated by the traditional approach was 10.5 and 0.4 J g(-1), respectively, indicating S. verreauxi expended 96% of post-prandial energy on protein synthesis and that decapod protein synthesis can account for one of the highest proportions of SDA in aquatic ectotherms. SDA magnitude in the FED treatment evaluated by stoichiometry (12.6 J g(-1)) was comparable to the traditional approach. Interestingly, stoichiometry was not applicable in the FEDC treatment as the respiratory quotient exceeded the theoretical maximum under aerobic conditions. Cycloheximide did not affect CO2 excretion among all treatments or nitrogenous excretion among unfed treatments, while the post-treatment total nitrogenous excretion reduced in fed lobsters. The combined measurement of substrate use and SDA potentially helps optimize the feed to achieve sustainable aquaculture. However, more research is required to decipher limitations and the applicability of stoichiometry for crustaceans.</t>
  </si>
  <si>
    <t>[Wang, Shuangyao; Carter, Chris G.; Fitzgibbon, Quinn P.; Smith, Gregory G.] Univ Tasmania, Inst Marine &amp; Antarctic Studies IMAS, Private Bag 49, Hobart, Tas 7001, Australia</t>
  </si>
  <si>
    <t>Wang, SY (corresponding author), Univ Tasmania, Inst Marine &amp; Antarctic Studies IMAS, Private Bag 49, Hobart, Tas 7001, Australia.</t>
  </si>
  <si>
    <t>shuangyao.wang@utas.edu.au</t>
  </si>
  <si>
    <t>Wang, Shuangyao/JNT-4380-2023; Carter, Chris Guy/A-3438-2008; Smith, Gregory/C-9263-2013</t>
  </si>
  <si>
    <t>Wang, Shuangyao/0000-0003-1074-011X; Carter, Chris Guy/0000-0001-5210-1282; Smith, Gregory/0000-0002-8677-1230; Fitzgibbon, Quinn/0000-0002-1104-3052</t>
  </si>
  <si>
    <t>Australian Research Council Industrial Transformation Research Hub [IH120100032]</t>
  </si>
  <si>
    <t>Australian Research Council Industrial Transformation Research Hub(Australian Research Council)</t>
  </si>
  <si>
    <t>We thank all IMAS aquaculture staff for the maintenance of the experiment and the assistance in the culture of the lobsters. We also thank the anonymous reviewers for their valuable input. This work was supported by the Australian Research Council Industrial Transformation Research Hub (project number IH120100032).</t>
  </si>
  <si>
    <t>10.1016/j.aquaculture.2020.736021</t>
  </si>
  <si>
    <t>PH5BZ</t>
  </si>
  <si>
    <t>WOS:000600429200014</t>
  </si>
  <si>
    <t>Fu, JJ; Song, L; Guan, JJ; Sun, C; Zhou, DY; Zhu, BW</t>
  </si>
  <si>
    <t>Fu, Jingjing; Song, Liang; Guan, Jiajia; Sun, Cong; Zhou, Dayong; Zhu, Beiwei</t>
  </si>
  <si>
    <t>Encapsulation of Antarctic krill oil in yeast cell microcarriers: Evaluation of oxidative stability and in vitro release</t>
  </si>
  <si>
    <t>Yeast cells (YCs); Antarctic krill oil (KO); Microencapsulation; Oxidative stability; Release behavior</t>
  </si>
  <si>
    <t>FISH-OIL; MICROENCAPSULATION; DIGESTION; CURCUMIN; MEAL; ACID</t>
  </si>
  <si>
    <t>Antarctic krill oil (KO) was encapsulated into yeast cells (YCs), and the physicochemical, morphological, and conformational characterizations of KO-loaded YCs (KYCs) were investigated. Moreover, the oxidation stability and in vitro release behavior of KYCs were evaluated. Results showed that KYCs provided significantly higher oxidative stability than native KO. The fatty acid profile remained obviously unchanged after encapsulation. Most interestingly, the phospholipid proportion increased from 49.76% +/- 1.42% to 59.92% +/- 1.39% after encapsulation. Furthermore, there was a slow and prolonged release of KYCs, along with higher bioaccessibility of docosahexaenoic acid and eicosapentaenoic acid than the KO-in-water emulsion (69.62% +/- 7.67% and 66.67% +/- 4.55% vs 47.44% +/- 4.4% and 39.74% +/- 3.89%). KO encapsulation in YCs can be considered as an efficient approach for extending the oxidative and in vitro stability of this nutritious oil and facilitating its application in food products.</t>
  </si>
  <si>
    <t>[Fu, Jingjing; Song, Liang; Guan, Jiajia; Sun, Cong; Zhou, Dayong; Zhu, Beiwei] Dalian Polytech Univ, Sch Food Sci &amp; Technol, Natl Engn Res Ctr Seafood, Dalian 116034, Peoples R China</t>
  </si>
  <si>
    <t>Dalian Polytechnic University</t>
  </si>
  <si>
    <t>Song, L; Zhu, BW (corresponding author), Dalian Polytech Univ, Sch Food Sci &amp; Technol, Natl Engn Res Ctr Seafood, Dalian 116034, Peoples R China.</t>
  </si>
  <si>
    <t>ryo.song@foxmail.com; zhubeiwei@163.com</t>
  </si>
  <si>
    <t>National Natural Science Foundation of China [31871795]</t>
  </si>
  <si>
    <t>This work is financially supported by the National Natural Science Foundation of China (No. 31871795).</t>
  </si>
  <si>
    <t>10.1016/j.foodchem.2020.128089</t>
  </si>
  <si>
    <t>OE5GW</t>
  </si>
  <si>
    <t>WOS:000580559700016</t>
  </si>
  <si>
    <t>Souza, JS; Pacyna-Kuchta, AD; da Cunha, LST; Costa, ES; Niedzielski, P; Torres, JPM</t>
  </si>
  <si>
    <t>Souza, Juliana Silva; Pacyna-Kuchta, Aneta Dorota; Teixeira da Cunha, Larissa Schmauder; Costa, Erli Schneider; Niedzielski, Przemyslaw; Machado Torres, Joao Paulo</t>
  </si>
  <si>
    <t>Interspecific and intraspecific variation in organochlorine pesticides and polychlorinated biphenyls using non-destructive samples from Pygoscelis penguins</t>
  </si>
  <si>
    <t>POPs; Legacy pollutants; Feathers; Seabirds; Marine environment</t>
  </si>
  <si>
    <t>PERSISTENT ORGANIC POLLUTANTS; POLYBROMINATED DIPHENYL ETHERS; SOUTH SHETLAND ISLANDS; LONG-RANGE TRANSPORT; KING GEORGE ISLAND; EXTERNAL CONTAMINATION; TISSUE DISTRIBUTION; FOOD-WEB; FEATHERS; SEABIRDS</t>
  </si>
  <si>
    <t>As humans are present in Antarctica only for scientific and tourism-related purposes, it is often described as a pristine region. However, studies have identified measurable levels of Persistent Organic Pollutants (POPs), such as organochlorine pesticides (OCPs) and polychlorinated biphenyls (PCBs), in the Antarctic region. These are highly toxic anthropogenic compounds with tendency to travel long distances and reach remote environments, where they can bioaccumulate in the biota. Penguins are exposed to POPs mainly through their diet, which they partially eliminate via feathers. Species of the genus Pygoscelis occur around Antarctic continent and its surrounding regions, and can act as indicators of contaminants that reach the continent. Here, we report OCP and PCB levels in feathers of male and female penguins of P. adeliae, P. antarcticus and P. papua from King George Island, South Shetland Islands, Antarctica. Interspecific, sex-and body-size-related differences were investigated in the contamination profiles of PCBs and OCPs. Feather samples were collected from adult penguins (n = 41). Quantification of compounds was performed by gas chromatography-tandem mass spectrometry. The three Pygoscelis species presented similar contamination profiles, with higher concentrations of dichlorodiphenyltrichloroethane (PDDT; 1.56-3.82 ng g(-1) dw), lighter PCB congeners (PPCB: 11.81-18.65 ng g(-1) dw) and HCB (hexachlorobenzene: 1.65-4.06 ng g(-1*) dw). Amongst the three penguin species, P. antarcticus had lower and P. papua higher concentrations of most of the compounds identified. We found interspecific differences in POPs accumulation as well as sex differences in POP concentrations. Our data indicate a small but significant positive correlation between body size and the concentrations of some compounds. Despite the overall low concentrations found, this study increases knowledge of the occurrence of POPs in Antarctic penguins, thereby reinforcing concerns that Antarctica, although remote and perceived to be protected, is not free from the impact of anthropogenic pollutants. (C) 2021 Elsevier Ltd. All rights reserved.</t>
  </si>
  <si>
    <t>[Souza, Juliana Silva; Teixeira da Cunha, Larissa Schmauder; Machado Torres, Joao Paulo] Univ Fed Rio de Janeiro, Lab Radioisotopos Eduardo Penna Franca &amp; Micropol, Inst Biofis Carlos Chagas Filho, Av Carlos Chagas Filho 373,CCS,Bloco G,Sala G0-61, BR-21941902 Rio De Janeiro, RJ, Brazil; [Souza, Juliana Silva; Niedzielski, Przemyslaw] Adam Mickiewicz Univ, Dept Analyt Chem, Fac Chem, Ul Uniwersytetu Poznanskiego 8, PL-61614 Poznan, Poland; [Pacyna-Kuchta, Aneta Dorota] Gdansk Univ Technol, Dept Colloid &amp; Lipid Sci, Fac Chem, 11-12 Narutowicza St, PL-80233 Gdansk, Poland; [Costa, Erli Schneider] Univ Estadual Rio Grande do Sul, Mestrado Profiss Ambiente &amp; Sustentabilidade, Unidade Univ Hortensias, Rua Assis Brasil,842 Ctr, BR-95400000 Sao Francisco De Paula, RS, Brazil</t>
  </si>
  <si>
    <t>Universidade Federal do Rio de Janeiro; Adam Mickiewicz University; Fahrenheit Universities; Gdansk University of Technology; Universidade Estadual do Rio Grande do Sul (UERGS)</t>
  </si>
  <si>
    <t>Souza, JS (corresponding author), Univ Fed Rio de Janeiro, Inst Biofis Carlos Chagas Filho, Av Carlos Chagas Filho 373,CCS,Bloco G,Sala G0-6, BR-21941902 Rio De Janeiro, RJ, Brazil.</t>
  </si>
  <si>
    <t>juliana.souza@biof.ufrj.br</t>
  </si>
  <si>
    <t>COSTA, ERLI SCHNEIDER/AAP-2375-2020; Schmauder T da Cunha, Larissa/GON-8442-2022; torres, joao/AAI-8390-2021; Niedzielski, Przemyslaw/A-6316-2009</t>
  </si>
  <si>
    <t>COSTA, ERLI SCHNEIDER/0000-0002-3739-1178; Schmauder T da Cunha, Larissa/0000-0002-2193-342X; torres, joao/0000-0002-2510-1612; Niedzielski, Przemyslaw/0000-0002-2787-9057; Pacyna-Kuchta, Aneta/0000-0002-5132-9290</t>
  </si>
  <si>
    <t>Conselho Nacional de Desenvolvimento Cientifico e Tecnologico [CNPq/MCTIC: 557049/20091]; Fundacao de Amparoa Pesquisa do Estado do Rio de Janeiro [E-26/111.505/2010]; HighChem -interdisciplinary and international doctoral studies with elements of support for intersectoral cooperation [POWR.03.02.00-00-I020/17]; CNPq</t>
  </si>
  <si>
    <t>Conselho Nacional de Desenvolvimento Cientifico e Tecnologico(Conselho Nacional de Desenvolvimento Cientifico e Tecnologico (CNPQ)); Fundacao de Amparoa Pesquisa do Estado do Rio de Janeiro(Fundacao Carlos Chagas Filho de Amparo a Pesquisa do Estado do Rio De Janeiro (FAPERJ)); HighChem -interdisciplinary and international doctoral studies with elements of support for intersectoral cooperation; CNPq(Conselho Nacional de Desenvolvimento Cientifico e Tecnologico (CNPQ))</t>
  </si>
  <si>
    <t>This study was supported by the Conselho Nacional de Desenvolvimento Cientifico e Tecnologico (CNPq/MCTIC: 557049/20091), the Fundacao de Amparoa Pesquisa do Estado do Rio de Janeiro (E-26/111.505/2010) and the HighChem -interdisciplinary and international doctoral studies with elements of support for intersectoral cooperation (POWR.03.02.00-00-I020/17). We thank the Brazilian Antarctic Program (PROANTAR) and the Secretaria da Comissao Interministerial para os Recursos do Mar (SECIRM/Brazilian Navy) for the logistical support. We also would like to thank Zaneta Polkowska (Gdan~ sk University of Technology) for laboratory support, Emil Kasprzyk for the penguin photographs used in the graphical abstract, Gabriel Carvalho (Universidade Federal do Rio de Janeiro) for the developing Fig. 2 and Fig. S1, the researchers from the Pinguins and Skuas Project who participated in the fieldwork, Dr. Peter Convey (British Antarctic Survey) for reviewing the manuscript and for his comments, which greatly improved the manuscript. J. Souza thanks CNPq for her scholarship.</t>
  </si>
  <si>
    <t>10.1016/j.envpol.2021.116590</t>
  </si>
  <si>
    <t>QR7FK</t>
  </si>
  <si>
    <t>WOS:000625380600021</t>
  </si>
  <si>
    <t>Coleine, C; Biagioli, F; de Vera, JP; Onofri, S; Selbmann, L</t>
  </si>
  <si>
    <t>Coleine, Claudia; Biagioli, Federico; de Vera, Jean Pierre; Onofri, Silvano; Selbmann, Laura</t>
  </si>
  <si>
    <t>Endolithic microbial composition in Helliwell Hills, a newly investigated Mars-like area in Antarctica</t>
  </si>
  <si>
    <t>ENVIRONMENTAL MICROBIOLOGY</t>
  </si>
  <si>
    <t>The diversity and composition of Antarctic cryptoendolithic microbial communities in the Mars-analogue site of Helliwell Hills (Northern Victoria Land, Continental Antarctica) are investigated, for the first time, applying both culture-dependent and high-throughput sequencing approaches. The study includes all the domains of the tree of life: Eukaryotes, Bacteria and Archaea to give a complete overview of biodiversity and community structure. Furthermore, to explore the geographic distribution of endoliths throughout the Victoria Land (Continental Antarctica), we compared the fungal and bacterial community composition and structure of endolithically colonized rocks, collected in &gt;30 sites in 10 years of Italian Antarctic Expeditions. Compared with the fungi and other eukaryotes, the prokaryotic communities were richer in species, more diverse and highly heterogeneous. Despite the diverse community compositions, shared populations were found and were dominant in all sites. Local diversification was observed and included prokaryotes as members of Alphaproteobacteria and Crenarchaeota (Archaea), the last detected for the first time in these cryptoendolithic communities. Few eukaryotes, namely lichen-forming fungal species as Lecidella grenii, were detected in Helliwell Hills only. These findings suggest that geographic distance and isolation in these remote areas may promote the establishment of peculiar locally diversified microorganisms.</t>
  </si>
  <si>
    <t>[Coleine, Claudia; Biagioli, Federico; Onofri, Silvano; Selbmann, Laura] Univ Tuscia, Dept Ecol &amp; Biol Sci, Viterbo, Italy; [de Vera, Jean Pierre] German Aerosp Ctr DLR, Inst Planetary Res, Planetary Labs, Res Grp Astrobiol Labs, Berlin, Germany; [Selbmann, Laura] Italian Antarctic Natl Museum MNA, Mycol Sect, Genoa, Italy</t>
  </si>
  <si>
    <t>Tuscia University; Helmholtz Association; German Aerospace Centre (DLR)</t>
  </si>
  <si>
    <t>Coleine, C; Selbmann, L (corresponding author), Univ Tuscia, Dept Ecol &amp; Biol Sci, Viterbo, Italy.;Selbmann, L (corresponding author), Italian Antarctic Natl Museum MNA, Mycol Sect, Genoa, Italy.</t>
  </si>
  <si>
    <t>coleine@unitus.it; selbmann@unitus.it</t>
  </si>
  <si>
    <t>Coleine, Claudia/AAE-1889-2020; Selbmann, Laura/L-3056-2013</t>
  </si>
  <si>
    <t>Coleine, Claudia/0000-0002-9289-6179; Selbmann, Laura/0000-0002-8967-3329; Biagioli, Federico/0000-0001-7648-0520</t>
  </si>
  <si>
    <t>Italian National Program for Antarctic Research</t>
  </si>
  <si>
    <t>L.S. and C.C. wish to thank the Italian National Program for Antarctic Research for funding sampling campaigns and research activities in Italy in the frame of PNRA projects. The Italian Antarctic National Museum (MNA) is kindly acknowledged for financial support to the Culture Collection of Fungi From Extreme Environments (MNA-CCFEE; University of Tuscia, Italy) of the Mycological Section of the MNA, where the rocks used in this study are stored. J.P.d.V. wish to thank the German BGR for the logistics provided for the necessary fieldwork of planetary analog characterization and sample collection in Antarctica during the GANOVEX 10 expedition and is specifically very thankful to Dr. Andreas Laufer, the expedition leader, who organized the helicopter trips to the most remote areas such as the Helliwell Hills.</t>
  </si>
  <si>
    <t>1462-2912</t>
  </si>
  <si>
    <t>1462-2920</t>
  </si>
  <si>
    <t>ENVIRON MICROBIOL</t>
  </si>
  <si>
    <t>Environ. Microbiol.</t>
  </si>
  <si>
    <t>10.1111/1462-2920.15419</t>
  </si>
  <si>
    <t>TR8GX</t>
  </si>
  <si>
    <t>WOS:000617794200001</t>
  </si>
  <si>
    <t>Haas, B; Davis, R; Hanich, Q</t>
  </si>
  <si>
    <t>Haas, Bianca; Davis, Ruth; Hanich, Quentin</t>
  </si>
  <si>
    <t>Regional fisheries management: Virtual decision making in a pandemic</t>
  </si>
  <si>
    <t>COVID-19; Ocean governance; Regional fisheries management organizations</t>
  </si>
  <si>
    <t>The global COVID-19 pandemic is impacting on the fisheries sector and posing significant challenges for the management of transboundary fisheries. Due to travel bans and border closures, regional organizations are not able to hold face-to-face meetings. This commentary provides a summary of the meeting procedures of Regional Fisheries Management Organizations and Regional Organizations during the global pandemic. Most organizations have transitioned to online platforms and are holding virtual meetings. These online meetings impose significant challenges concerning sustainable fisheries management, such as limited discussions and negotiations on important issues. Thus to continue their work effectively, these organizations need to develop new decisionmaking procedures that are more resilient in the upcoming future.</t>
  </si>
  <si>
    <t>[Haas, Bianca] Univ Tasmania, Inst Marine &amp; Antarctic Studies, Private Bag 129, Hobart, Tas 7001, Australia; [Davis, Ruth; Hanich, Quentin] Univ Wollongong, Australian Natl Ctr Ocean Resources &amp; Secur ANCOR, Wollongong, NSW, Australia</t>
  </si>
  <si>
    <t>University of Tasmania; University of Wollongong</t>
  </si>
  <si>
    <t>Haas, B (corresponding author), Univ Tasmania, Inst Marine &amp; Antarctic Studies, Private Bag 129, Hobart, Tas 7001, Australia.</t>
  </si>
  <si>
    <t>Bianca.Haas@utas.edu.au</t>
  </si>
  <si>
    <t>Hanich, Quentin/IUN-2548-2023; Davis, Ruth/O-7880-2015</t>
  </si>
  <si>
    <t>Hanich, Quentin/0000-0001-9402-6233; Davis, Ruth/0000-0003-4728-8366; Haas, Bianca/0000-0002-7322-2929</t>
  </si>
  <si>
    <t>10.1016/j.marpol.2020.104288</t>
  </si>
  <si>
    <t>TX9SN</t>
  </si>
  <si>
    <t>WOS:000683425600015</t>
  </si>
  <si>
    <t>Yamazaki, E; Taniyasu, S; Wang, XH; Yamashita, N</t>
  </si>
  <si>
    <t>Yamazaki, Eriko; Taniyasu, Sachi; Wang, Xinhong; Yamashita, Nobuyoshi</t>
  </si>
  <si>
    <t>Per- and polyfluoroalkyl substances in surface water, gas and particle in open ocean and coastal environment</t>
  </si>
  <si>
    <t>per- and polyfluoroalkyl substances (PFAS); Western arctic ocean; Antarctic ocean; Taiwan western strait; Air-water partition</t>
  </si>
  <si>
    <t>ATMOSPHERIC PARTICULATE MATTER; SIZE-SPECIFIC DISTRIBUTION; PERFLUOROALKYL SUBSTANCES; FLUOROTELOMER ALCOHOLS; PERFLUORINATED COMPOUNDS; PARTITIONING BEHAVIOR; AIR CONCENTRATIONS; ALKYL SUBSTANCES; DRY DEPOSITION; ACIDS</t>
  </si>
  <si>
    <t>A simultaneous sampling of atmospheric and seawater samples was performed in the Taiwan Western Strait, western Arctic Ocean, and the Antarctic Ocean. Analysis of both particle and gas phase PFAS in oceanic air was conducted using cascade impactor particle fractionator, cryogenic air sampler and activated charcoal fiber sorbent for the first time with application in the Taiwan Western Strait. Mean concentration of S12PFAS in surface seawater and atmospheric samples were 1178 pg/L and 24 pg/m(3) in the Taiwan Western Strait, 430 pg/L and 6 pg/m(3) in the western Arctic Ocean, and 456 pg/L and 3 pg/m(3) in the Antarctic Ocean. In oceanic air from the Taiwan Western Strait, fluorotelomer alcohol (FTOH) and the ionic PFAS [perfluoroalkyl sulfonic acid (PFSA) and perfluoroalkyl carboxylic acid (PFCA)] were found in 76% and 7% respectively. Regional comparison of air/water exchange (KAW) and gas-particle (Kp) partition coefficients of PFAS in the oceanic environment indicated potential partitioning of ionic PFAS between surface seawater and oceanic air. These findings highlight the advancement in atmospheric PFAS measurements through combined novel technologies, namely size-fractionated particle sampling with cryogenic air trapping and/or activated charcoal sorption. Correlation between Kp and carbon chain length of PFAS was observed using both hyphenated techniques. (C) 2021 Elsevier Ltd. All rights reserved.</t>
  </si>
  <si>
    <t>[Yamazaki, Eriko; Wang, Xinhong] Xiamen Univ, Coll Environm &amp; Ecol, Xiamen 361102, Peoples R China; [Yamazaki, Eriko; Taniyasu, Sachi; Yamashita, Nobuyoshi] Natl Inst Adv Ind Sci &amp; Technol, 16-1 Onogawa, Tsukuba, Ibaraki 3058569, Japan; [Wang, Xinhong] Xiamen Univ, Coll Environm &amp; Ecol, State Key Lab Marine Environm Sci, Xiamen 361102, Peoples R China</t>
  </si>
  <si>
    <t>Xiamen University; National Institute of Advanced Industrial Science &amp; Technology (AIST); Xiamen University</t>
  </si>
  <si>
    <t>Wang, XH (corresponding author), Xiamen Univ, Coll Environm &amp; Ecol, Xiamen 361102, Peoples R China.;Yamashita, N (corresponding author), Natl Inst Adv Ind Sci &amp; Technol AIST AIST Tsukuba, 16-1 Onogawa, Tsukuba, Ibaraki 3058569, Japan.</t>
  </si>
  <si>
    <t>xhwang@xmu.edu.cn; nob.yamashita@aist.go.jp</t>
  </si>
  <si>
    <t>Yamazaki, Eriko/AAP-9548-2021; Yamashita, Nobuyoshi/L-3290-2018; wang, xinhong/G-3991-2010; 黄, 微/JUU-4277-2023; Taniyasu, Sachi/L-2929-2018</t>
  </si>
  <si>
    <t>Taniyasu, Sachi/0000-0002-2765-6814</t>
  </si>
  <si>
    <t>China Postdoctoral Science Foundation [2018M642565]; National Nature Science Foundation of China [41877474]; Fundamental Research Funds for Central Universities of China [20720190147]; KAKENHI [15H02587, 18H03394]; Grants-in-Aid for Scientific Research [15H02587, 21H04949, 20KK0245, 18H03394] Funding Source: KAKEN</t>
  </si>
  <si>
    <t>China Postdoctoral Science Foundation(China Postdoctoral Science Foundation); National Nature Science Foundation of China(National Natural Science Foundation of China (NSFC)); Fundamental Research Funds for Central Universities of China;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</si>
  <si>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China Postdoctoral Science Foundation (2018M642565), National Nature Science Foundation of China (41877474), the Fundamental Research Funds for Central Universities of China (20720190147) and KAKENHI (15H02587 and 18H03394). We thank to staff of R/V Mirai and Ms. Yongyu Li, Mr. Siquan Wang (Xiamen University, China) for their assistance in sample collection in China. Futamura Co. Ltd. were helpful for providing GAIAC (TM) for this project. The authors gratefully acknowledge Dr. Amila O. De Silva (Canada Centre for Inland Waters, Canada) for giving valuable suggestions.</t>
  </si>
  <si>
    <t>10.1016/j.chemosphere.2021.129869</t>
  </si>
  <si>
    <t>RG5RH</t>
  </si>
  <si>
    <t>WOS:000635594700077</t>
  </si>
  <si>
    <t>Yan, LL; Zhao, F; Niu, LN; Cai, Y; Wu, L; Zhu, XX; Nong, JQ; Hu, SK</t>
  </si>
  <si>
    <t>Yan, Linlin; Zhao, Fan; Niu, Lina; Cai, Yu; Wu, Lei; Zhu, Xiaoxue; Nong, Jinqing; Hu, Shoukui</t>
  </si>
  <si>
    <t>Simultaneous detection of Streptococcus pneumoniae and prevention of carryover contamination using multiple cross displacement amplification with Antarctic thermal sensitive uracil-DNA-glycosylase and a lateral flow biosensor</t>
  </si>
  <si>
    <t>FEMS MICROBIOLOGY LETTERS</t>
  </si>
  <si>
    <t>Streptococcus pneumoniae; multiple cross displacement amplification; Antarctic thermal sensitive uracil-DNA glycosylase (AUDG); carryover contamination; lateral flow biosensor</t>
  </si>
  <si>
    <t>Streptococcus pneumoniae is an important clinical pathogenic bacterium that is the primary cause of meningitis, septicemia and community-acquired pneumonia. The mortality rate of pneumococcal disease is high, especially in children younger than 5-years-old. Rapid and accurate detection of S. pneumoniae is critical for clinical diagnosis. A ply gene-based multiple cross displacement amplification (MCDA) assay, amplifying DNA under 65 degrees C for 40 min, was established to detect S. pneumoniae. Antarctic thermal sensitive uracil-DNA-glycosylase (AUDG) was applied to prevent carryover contamination. A lateral flow biosensor (LFB) was used to indicate the MCDA results. The ply-MCDA assay could detect as low as 10 fg of S. pneumoniae DNA and 447 colony forming units (CFU)/mL of spiked sputum samples. The analytical sensitivity of the ply-MCDA assay to detect clinical specimens was 100 times higher than that of PCR. The specificity of the ply-MCDA assay was evaluated using 15 S. pneumoniae strains and 25 non-S. pneumoniae strains, which confirmed the high selectivity of the ply-MCDA assay for S. pneumoniae. The AUDG enzyme could effectively eliminate carryover contamination and thus prevented false-positive results. In conclusion, ply-AUDG-MCDA-LFB is a simple, rapid and accurate method to detect S. pneumoniae.</t>
  </si>
  <si>
    <t>[Yan, Linlin; Zhao, Fan; Cai, Yu; Wu, Lei; Zhu, Xiaoxue; Nong, Jinqing; Hu, Shoukui] Peking Univ, Dept Clin Lab, Shougang Hosp, 9 Jinyuanzhuang Rd, Beijing 100144, Peoples R China; [Niu, Lina] Hainan Med Univ, Sch Basic Med &amp; Life Sci, Dept Pathogen Biol, 3 Xueyuan Rd, Haikou 571101, Hainan, Peoples R China</t>
  </si>
  <si>
    <t>Peking University; Hainan Medical University</t>
  </si>
  <si>
    <t>Hu, SK (corresponding author), Peking Univ, Dept Clin Lab, Shougang Hosp, 9 Jinyuanzhuang Rd, Beijing 100144, Peoples R China.</t>
  </si>
  <si>
    <t>shoukuihu@163.com</t>
  </si>
  <si>
    <t>niu, lina/GWR-3585-2022; li, fei/JYP-3334-2024</t>
  </si>
  <si>
    <t>, Linlin/0000-0003-0008-8914</t>
  </si>
  <si>
    <t>Education Department of Hainan Province [Hnky2019ZD-27]; Hainan Provincial Natural Science Foundation of China [820RC650]; National Natural Science Foundation of China [81760376, 82060377, 81900386]; Beijing Natural Science Foundation [7192240]; Peking University Shougang Hospital [SGYYQ201903]; Shijingshan District Medical Key Support Specialty Construction</t>
  </si>
  <si>
    <t>Education Department of Hainan Province; Hainan Provincial Natural Science Foundation of China; National Natural Science Foundation of China(National Natural Science Foundation of China (NSFC)); Beijing Natural Science Foundation(Beijing Natural Science Foundation); Peking University Shougang Hospital; Shijingshan District Medical Key Support Specialty Construction</t>
  </si>
  <si>
    <t>This work was supported by the Education Department of Hainan Province [grant number Hnky2019ZD-27]; the Hainan Provincial Natural Science Foundation of China [grant number 820RC650]; the National Natural Science Foundation of China [grant numbers 81760376, 82060377 and 81900386]; the Beijing Natural Science Foundation [grant number 7192240]; the Peking University Shougang Hospital [grant number SGYYQ201903] and the Shijingshan District Medical Key Support Specialty Construction.</t>
  </si>
  <si>
    <t>0378-1097</t>
  </si>
  <si>
    <t>1574-6968</t>
  </si>
  <si>
    <t>FEMS MICROBIOL LETT</t>
  </si>
  <si>
    <t>FEMS Microbiol. Lett.</t>
  </si>
  <si>
    <t>fnab006</t>
  </si>
  <si>
    <t>10.1093/femsle/fnab006</t>
  </si>
  <si>
    <t>RI6XR</t>
  </si>
  <si>
    <t>WOS:000637052900005</t>
  </si>
  <si>
    <t>Urcola, MR; Zelaya, DG</t>
  </si>
  <si>
    <t>Urcola, Matias R.; Zelaya, Diego G.</t>
  </si>
  <si>
    <t>New species of Philobryidae (Bivalvia: Pteriomorphia) from Patagonian and Antarctic waters</t>
  </si>
  <si>
    <t>ZOOLOGISCHER ANZEIGER</t>
  </si>
  <si>
    <t>Mollusca; Southern ocean; Philobrya; Verticipronus</t>
  </si>
  <si>
    <t>MOLLUSKS; MORPHOLOGY; ISLAND</t>
  </si>
  <si>
    <t>Despite being one of the most diversified families of mollusks in sub-Antarctic and Antarctic waters, Philobryidae Bernard, 1897 still appears as a poorly studied family of bivalves. The aim of this study is to contribute to a better understanding of this family, by redescribing Philobrya wandelensis Lamy, 1906 and describing three new species from Patagonia and the adjacent Antarctic waters. Two new species here described closely resemble P. wandelensis, and in fact, at least one of them was previously reported in the literature under that name. The hinges of these species are compared with that of Bryophila setosa Carpenter, 1864, the type species of Philobrya J.G. Cooper, 1867, for which the ontogenetic variation is described for the first time. Furthermore, Hochstetteria Ve?lain, 1877 is removed from the synonymy of Philobrya, as regarded by several recent authors. The remaining new species described belongs to Verticipronus Hedley, 1904 (type species: Verticipronus mytilus Hedley 1904; lectotype here designated), a genus here reported for the first time in Patagonian waters. New arguments supporting the placement of Verticipronus in Philobryidae are provided. The new species here described presents transposition of hinge teeth. The frequency of this phenomenon in that species proved to be higher than that reported for any other bivalve. (c) 2021 Elsevier GmbH. All rights reserved.</t>
  </si>
  <si>
    <t>[Urcola, Matias R.; Zelaya, Diego G.] Univ Buenos Aires, Fac Ciencias Exactas &amp; Nat, Dept Biodiversidad &amp; Biol Expt, Lab Malacol, Intendente Guiraldes 2160,Ciudad Univ,C1428EGA, Buenos Aires, DF, Argentina; [Zelaya, Diego G.] Consejo Nacl Invest Cient &amp; Tecn, Buenos Aires, DF, Argentina</t>
  </si>
  <si>
    <t>University of Buenos Aires; Consejo Nacional de Investigaciones Cientificas y Tecnicas (CONICET)</t>
  </si>
  <si>
    <t>Urcola, MR (corresponding author), Univ Buenos Aires, Fac Ciencias Exactas &amp; Nat, Dept Biodiversidad &amp; Biol Expt, Lab Malacol, Intendente Guiraldes 2160,Ciudad Univ,C1428EGA, Buenos Aires, DF, Argentina.</t>
  </si>
  <si>
    <t>urcola@bg.fcen.uba.ar</t>
  </si>
  <si>
    <t>Urcola, Matias/0000-0002-1335-0072</t>
  </si>
  <si>
    <t>UBACYT [20020150100195BA]; Argentine National Law [26875]</t>
  </si>
  <si>
    <t>UBACYT; Argentine National Law</t>
  </si>
  <si>
    <t>This study was partially supported by UBACYT 20020150100195BA. Samples from the Burdwood Bank were obtained through funds of the Argentine National Law No 26875. This work is contribution No 46 of the MPA Namuncura/Burdwood Bank.</t>
  </si>
  <si>
    <t>0044-5231</t>
  </si>
  <si>
    <t>ZOOL ANZ</t>
  </si>
  <si>
    <t>Zool. Anz.</t>
  </si>
  <si>
    <t>10.1016/j.jcz.2021.02.001</t>
  </si>
  <si>
    <t>RC2PP</t>
  </si>
  <si>
    <t>WOS:000632647000003</t>
  </si>
  <si>
    <t>Srivastava, R; Asutosh, A; Sabu, P; Anilkumar, N</t>
  </si>
  <si>
    <t>Srivastava, Rohit; Asutosh, A.; Sabu, P.; Anilkumar, N.</t>
  </si>
  <si>
    <t>Investigation of Black Carbon characteristics over southern ocean: Contribution of fossil fuel and biomass burning</t>
  </si>
  <si>
    <t>Black carbon; Biomass burning; Fossil fuel; Southern ocean</t>
  </si>
  <si>
    <t>Black Carbon (BC) is an absorbing aerosol which has significant impact on the Earth - Atmosphere radiation balance and hence on climate. The variation of BC mass concentration and contribution of fossil fuel and biomass burning have been investigated over the Indian ocean sector of the Southern Ocean during austral summer. BC mass was in the range of 300-500 ng m(-3) between 23.3 degrees S to 24.5 degrees S followed by decrease in BC to 150 ng m(-3) as moving to higher southern latitudes till 41 degrees S latitude. An increase in BC mass from 250 to 450 ng m(-3) was found between 41 and 50 degrees S due to trap of air masses by cyclonic wind and transport of aerosols from the southern part of African and eastern Madagascar regions. Higher BC concentration (250-350 ng m(-3)) was observed in the latitude range of 57-60 degrees S which can be attributed to convergence of north-westerly and south-easterly winds. The dominant contributor to BC was fossil fuel, which was &gt; 80% during half of the total observations, while &gt; 20% biomass burning contributed to one fifth of observations. The coastal Antarctic region showed higher BC mass concentration with mixed type of contributions of biomass and fossil fuel. Such accumulation of BC near the Antarctic coast can have a crucial impact on the sea-ice albedo which significantly affect the Antarctic climate system locally and global climate in general. (C) 2021 Elsevier Ltd. All rights reserved.</t>
  </si>
  <si>
    <t>[Srivastava, Rohit; Asutosh, A.; Sabu, P.; Anilkumar, N.] Govt India, Natl Ctr Polar &amp; Ocean Res, Minist Earth Sci, Vasco Da Gama, Goa, India</t>
  </si>
  <si>
    <t>Srivastava, R (corresponding author), Govt India, Natl Ctr Polar &amp; Ocean Res, Minist Earth Sci, Vasco Da Gama, Goa, India.</t>
  </si>
  <si>
    <t>rohits@ncpor.res.in</t>
  </si>
  <si>
    <t>Srivastava, Rohit/N-4164-2013</t>
  </si>
  <si>
    <t>Srivastava, Rohit/0000-0002-1552-9156</t>
  </si>
  <si>
    <t>10.1016/j.envpol.2021.116645</t>
  </si>
  <si>
    <t>WOS:000630774100012</t>
  </si>
  <si>
    <t>Steiner, M; Luo, BP; Peter, T; Pitts, MC; Stenke, A</t>
  </si>
  <si>
    <t>Steiner, Michael; Luo, Beiping; Peter, Thomas; Pitts, Michael C.; Stenke, Andrea</t>
  </si>
  <si>
    <t>Evaluation of polar stratospheric clouds in the global chemistry-climate model SOCOLv3.1 by comparison with CALIPSO spaceborne lidar measurements</t>
  </si>
  <si>
    <t>GEOSCIENTIFIC MODEL DEVELOPMENT</t>
  </si>
  <si>
    <t>NITRIC-ACID TRIHYDRATE; CHLORINE ACTIVATION; OZONE DEPLETION; HETEROGENEOUS FORMATION; MOUNTAIN WAVES; ICE PARTICLES; WINTER; MIPAS; DENITRIFICATION; SIMULATION</t>
  </si>
  <si>
    <t>Polar stratospheric clouds (PS Cs) contribute to catalytic ozone destruction by providing surfaces for the conversion of inert chlorine species into active forms and by denitrification. The latter describes the removal of HNO3 from the stratosphere by sedimenting PSC particles, which hinders chlorine deactivation by the formation of reservoir species. Therefore, an accurate representation of PSCs in chemistry- climate models (CCMs) is of great importance to correctly simulate polar ozone concentrations. Here, we evaluate PSCs as simulated by the CCM SOCOLv3.1 for the Antarctic winters 2006, 2007 and 2010 by comparison with backscatter measurements by CALIOP on board the CALIPSO satellite. The year 2007 represents a typical Antarctic winter, while 2006 and 2010 are characterized by above- and below-average PSC occurrence. The model considers supercooled ternary solution (STS) droplets, nitric acid trihydrate (NAT) particles, water ice particles and mixtures thereof. PSCs are parameterized in terms of temperature and partial pressures of HNO3 and H2O, assuming equilibrium between the gas and particulate phase. The PSC scheme involves a set of prescribed microphysical parameters, namely ice number density, NAT particle radius and maximum NAT number density. In this study, we test and optimize the parameter settings through several sensitivity simulations. The choice of the value for the ice number density affects simulated optical properties and dehydration, while modifying the NAT parameters impacts stratospheric composition via HNO3 uptake and denitrification. Depending on the NAT parameters, reasonable denitrification can be modeled. However, its im- pact on ozone loss is minor. The best agreement with the CALIOP optical properties and observed denitrification was for this case study found with the ice number density increased from the hitherto used value of 0.01 to 0.05 cm(-3) and the maximum NAT number density from 5 x 10(-4) to 1 x 10(-3) cm(-3). The NAT radius was kept at the original value of 5 mu m. The new parameterization reflects the higher importance attributed to heterogeneous nucleation of ice and NAT particles following recent new data evaluations of the state-of-the-art CALIOP measurements. A cold temperature bias in the polar lower stratosphere results in an overestimated PSC areal coverage in SOCOLv3.1 by up to 40 %. Offsetting this cold bias by +3 K delays the onset of ozone depletion by about 2 weeks, which improves the agreement with observations. Furthermore, the occurrence of mountain-waveinduced ice, as observed mainly over the Antarctic Peninsula, is continuously underestimated in the model due to the coarse model resolution (T42L39) and the fixed ice number density. Nevertheless, we find overall good temporal and spatial agreement between modeled and observed PSC occurrence and composition. This work confirms previous studies indicating that simplified PSC schemes, which avoid nucleation and growth calculations in sophisticated but time-consuming microphysical process models, may also achieve good approximations of the fundamental properties of PSCs needed in CCMs.</t>
  </si>
  <si>
    <t>[Steiner, Michael; Luo, Beiping; Peter, Thomas; Stenke, Andrea] Swiss Fed Inst Technol, Inst Atmospher &amp; Climate Sci, Zurich, Switzerland; [Pitts, Michael C.] NASA Langley Res Ctr, Hampton, VA 23681 USA; [Steiner, Michael] Empa, Lab Air Pollut Environm Technol, Dubendorf, Switzerland</t>
  </si>
  <si>
    <t>Swiss Federal Institutes of Technology Domain; ETH Zurich; National Aeronautics &amp; Space Administration (NASA); NASA Langley Research Center; Swiss Federal Institutes of Technology Domain; Swiss Federal Laboratories for Materials Science &amp; Technology (EMPA)</t>
  </si>
  <si>
    <t>Steiner, M (corresponding author), Swiss Fed Inst Technol, Inst Atmospher &amp; Climate Sci, Zurich, Switzerland.;Steiner, M (corresponding author), Empa, Lab Air Pollut Environm Technol, Dubendorf, Switzerland.</t>
  </si>
  <si>
    <t>michael.steiner@empa.ch</t>
  </si>
  <si>
    <t>Peter, Thomas/B-2529-2018; Stenke, Andrea/GYJ-6299-2022</t>
  </si>
  <si>
    <t>Peter, Thomas/0000-0002-7218-7156; Stenke, Andrea/0000-0002-5916-4013; Luo, Beiping/0000-0003-1629-881X</t>
  </si>
  <si>
    <t>1991-959X</t>
  </si>
  <si>
    <t>1991-9603</t>
  </si>
  <si>
    <t>GEOSCI MODEL DEV</t>
  </si>
  <si>
    <t>Geosci. Model Dev.</t>
  </si>
  <si>
    <t>FEB 12</t>
  </si>
  <si>
    <t>10.5194/gmd-14-935-2021</t>
  </si>
  <si>
    <t>QJ4PW</t>
  </si>
  <si>
    <t>WOS:000619675000003</t>
  </si>
  <si>
    <t>Silva, TRE; Silva, LCF; de Queiroz, AC; Moreira, MSA; Fraga, CAD; de Menezes, GCA; Rosa, LH; Bicas, J; de Oliveira, VM; Duarte, AWF</t>
  </si>
  <si>
    <t>Rodrigues e Silva, Tiago; Francelino Silva Junior, Luiz Carlos; de Queiroz, Aline Cavalcanti; Alexandre Moreira, Magna Suzana; de Carvalho Fraga, Carlos Alberto; Alves de Menezes, Graciele Cunha; Rosa, Luiz Henrique; Bicas, Juliano; de Oliveira, Valeria Maia; Fernandes Duarte, Alysson Wagner</t>
  </si>
  <si>
    <t>Pigments from Antarctic bacteria and their biotechnological applications</t>
  </si>
  <si>
    <t>CRITICAL REVIEWS IN BIOTECHNOLOGY</t>
  </si>
  <si>
    <t>Antarctica; antimicrobials; carotenoid; indolic biochromes; psychrophiles; microbial pigments; quinones; tetrapyrroles; UV resistance; violacein</t>
  </si>
  <si>
    <t>SP-NOV.; GEN. NOV.; DIVERSITY; BIOSYNTHESIS; HYMENOBACTER; CAROTENOIDS; STABILITY; STRAIN; POND; FOOD</t>
  </si>
  <si>
    <t>Pigments from microorganisms have triggered great interest in the market, mostly by their natural appeal, their favorable production conditions, in addition to the potential new chemical structures or naturally overproducing strains. They have been used in: food, feed, dairy, textile, pharmaceutical, and cosmetic industries. The high rate of pigment production in microorganisms recovered from Antarctica in response to selective pressures such as: high UV radiation, low temperatures, and freezing and thawing cycles makes this a unique biome which means that much of its biological heritage cannot be found elsewhere on the planet. This vast arsenal of pigmented molecules has different functions in bacteria and may exhibit different biotechnological activities, such as: extracellular sunscreens, photoprotective function, antimicrobial activity, biodegradability, etc. However, many challenges for the commercial use of these compounds have yet to be overcome, such as: the low stability of natural pigments in cosmetic formulations, the change in color when subjected to pH variations, the low yield and the high costs in their production. This review surveys the different types of natural pigments found in Antarctic bacteria, classifying them according to their chemical structure. Finally, we give an overview of the main pigments that are used commercially today.</t>
  </si>
  <si>
    <t>[Rodrigues e Silva, Tiago; de Oliveira, Valeria Maia] Univ Estadual Campinas, Ctr Pluridisciplinar Pesquisas Quim Biol &amp; Agr, UNICAMP, Campinas, Brazil; [Francelino Silva Junior, Luiz Carlos; de Queiroz, Aline Cavalcanti; de Carvalho Fraga, Carlos Alberto; Fernandes Duarte, Alysson Wagner] Univ Fed Alagoas, Complexo Ciencias Med &amp; Enfermagem, Campus Arapiraca,Manoel Severino Barbosa S-N, BR-57309005 Arapiraca, Brazil; [Alexandre Moreira, Magna Suzana] Univ Fed Alagoas, Inst Ciencias Biol &amp; Saude, Maceio, Alagoas, Brazil; [Alves de Menezes, Graciele Cunha; Rosa, Luiz Henrique] Univ Fed Minas Gerais, Inst Ciencias Biol, Belo Horizonte, MG, Brazil; [Bicas, Juliano] Univ Estadual Campinas, Dept Ciencia Alimentos, UNICAMP, Campinas, Brazil</t>
  </si>
  <si>
    <t>Universidade Estadual de Campinas; Universidade Federal de Alagoas; Universidade Federal de Alagoas; Universidade Federal de Minas Gerais; Universidade Estadual de Campinas</t>
  </si>
  <si>
    <t>Duarte, AWF (corresponding author), Univ Fed Alagoas, Complexo Ciencias Med &amp; Enfermagem, Campus Arapiraca,Manoel Severino Barbosa S-N, BR-57309005 Arapiraca, Brazil.</t>
  </si>
  <si>
    <t>de Carvalho Fraga, Carlos Alberto/C-1328-2013; Duarte, Alysson Wagner Fernandes/S-8062-2019; Queiroz, Aline Cavalcanti de/GLS-3284-2022; Bicas, Juliano/AFL-1831-2022; Oliveira, Valéria Maia/L-2422-2014</t>
  </si>
  <si>
    <t>de Carvalho Fraga, Carlos Alberto/0000-0002-9564-9595; Duarte, Alysson Wagner Fernandes/0000-0001-9626-7524; Queiroz, Aline Cavalcanti de/0000-0002-6362-2726; Bicas, Juliano/0000-0002-5252-4004; Oliveira, Valéria Maia/0000-0001-8817-4758; Cunha Alves de Menezes, Graciele/0000-0002-9427-1893; Alexandre Moreira, Magna Suzana/0000-0002-9979-1994</t>
  </si>
  <si>
    <t>Fundacao de Amparo a Pesquisa do Estado de Alagoas - FAPEAL [60030 1074/2016]; Fundacao de Amparo a Pesquisa do Estado de Sao Paulo - FAPESP [2016/05640-6]; Consellho Nacional de Desenvolvimento Cientifico e Tecnologico - CNPq [433388/2018-8]</t>
  </si>
  <si>
    <t>Fundacao de Amparo a Pesquisa do Estado de Alagoas - FAPEAL(Fundacao de Amparo a Pesquisa do Estado de Alagoas (FAPEAL)); Fundacao de Amparo a Pesquisa do Estado de Sao Paulo - FAPESP(Fundacao de Amparo a Pesquisa do Estado de Sao Paulo (FAPESP)Fundacao de Amparo a Pesquisa e Inovacao do Estado de Santa Catarina (FAPESC)); Consellho Nacional de Desenvolvimento Cientifico e Tecnologico - CNPq(Conselho Nacional de Desenvolvimento Cientifico e Tecnologico (CNPQ))</t>
  </si>
  <si>
    <t>This research was supported by Fundacao de Amparo a Pesquisa do Estado de Alagoas - FAPEAL [reference number: #60030 1074/2016], Fundacao de Amparo a Pesquisa do Estado de Sao Paulo - FAPESP [reference number: #2016/05640-6], and Consellho Nacional de Desenvolvimento Cientifico e Tecnologico - CNPq [reference number #433388/2018-8].</t>
  </si>
  <si>
    <t>0738-8551</t>
  </si>
  <si>
    <t>1549-7801</t>
  </si>
  <si>
    <t>CRIT REV BIOTECHNOL</t>
  </si>
  <si>
    <t>Crit. Rev. Biotechnol.</t>
  </si>
  <si>
    <t>AUG 18</t>
  </si>
  <si>
    <t>10.1080/07388551.2021.1888068</t>
  </si>
  <si>
    <t>TP2LL</t>
  </si>
  <si>
    <t>WOS:000621271400001</t>
  </si>
  <si>
    <t>Mallet, MD</t>
  </si>
  <si>
    <t>Mallet, Marc Daniel</t>
  </si>
  <si>
    <t>Meteorological normalisation of PM10 using machine learning reveals distinct increases of nearby source emissions in the Australian mining town of Moranbah</t>
  </si>
  <si>
    <t>meteorological normalization; PM10; Air quality; Mining activities; Machine learning</t>
  </si>
  <si>
    <t>PARTICULATE AIR-POLLUTION; BIOMASS BURNING EMISSIONS; ORGANIC AEROSOL; DAILY MORTALITY; QUALITY TRENDS; DUST; IMPACT; PARTICLES; SMOKE; COMMUNITIES</t>
  </si>
  <si>
    <t>The impacts of poor air quality on human health are becoming more apparent. Businesses and governments are implementing technologies and policies in order to improve air quality. Despite this the PM10 air quality in the mining town of Moranbah, Australia, has worsened since measurements commenced in 2011. The annual average PM10 concentrations during 2012, 2017, 2018 and 2019 have all exceeded the Australian National Environmental Protection Measure's standard, and there has been an increase in the frequency of exceedances of the daily standard. The average annual increase in PM10 was 1.2 +/- 0.5 mu g m(-3) per year between 2011 and 2019 and has been 2.5 +/- 1.2 mu g m(-3) per year since 2014. The cause of this has not previously been established. Here, two machine learning algorithms (gradient boosted regression and random forest) have been implemented to model and then meteorologically normalise PM10 mass concentrations measured in Moranbah. The best performing model, using the random forest algorithm, was able to explain 59% of the variance in PM10 using a range of meteorological, environmental and temporal variables as predictors. An increasing trend after normalising for these factors was found of 0.6 +/- 0.5 mu g m(-3) per year since 2011 and 1.7 +/- 0.3 mu g m(-3) per year since 2014. These results indicate that more than half of the increase in PM10 is due to a rise in local emissions in the region. The remainder of the rise in PM10 was found to be due to a decrease of soil water content in the surrounding region, which can facilitate higher dust emissions. Whether the presence of open-cut coal mines exacerbated the role of soil water content is unclear. Although fires can have drastic effects on the local air quality, changes in fire patterns are not responsible for the rising trend. PM10 composition measurements or more detailed data relating to local sources is still needed to better isolate these emissions. Nonetheless, this study highlights the need and potential for action by industry and government to improve the air quality and reduce health risks for the nearby population.</t>
  </si>
  <si>
    <t>[Mallet, Marc Daniel] Queensland Univ Technol, Sch Earth &amp; Atmospher Sci, Brisbane, Qld, Australia; [Mallet, Marc Daniel] Univ Tasmania, Australian Antarctic Program Partnership, Inst Marine &amp; Antarctic Studies, Hobart, Tas, Australia</t>
  </si>
  <si>
    <t>Queensland University of Technology (QUT); University of Tasmania</t>
  </si>
  <si>
    <t>Mallet, MD (corresponding author), Queensland Univ Technol, Sch Earth &amp; Atmospher Sci, Brisbane, Qld, Australia.;Mallet, MD (corresponding author), Univ Tasmania, Australian Antarctic Program Partnership, Inst Marine &amp; Antarctic Studies, Hobart, Tas, Australia.</t>
  </si>
  <si>
    <t>marc.mallet@utas.edu.au</t>
  </si>
  <si>
    <t>DOUSSIN, Jean-Francois/AAT-3084-2021</t>
  </si>
  <si>
    <t>DOUSSIN, Jean-Francois/0000-0002-8042-7228; Mallet, Marc/0000-0003-2749-8833</t>
  </si>
  <si>
    <t>10.1016/j.apr.2020.08.001</t>
  </si>
  <si>
    <t>QI4NS</t>
  </si>
  <si>
    <t>WOS:000618956700003</t>
  </si>
  <si>
    <t>Mitchell, EG; Wallace, MI; Smith, VA; Wiesenthal, AA; Brierley, AS</t>
  </si>
  <si>
    <t>Mitchell, Emily G.; Wallace, Margaret I.; Smith, V. Anne; Wiesenthal, Amanda A.; Brierley, Andrew S.</t>
  </si>
  <si>
    <t>Bayesian Network Analysis reveals resilience of the jellyfish Aurelia aurita to an Irish Sea regime shift</t>
  </si>
  <si>
    <t>CONTINUOUS PLANKTON RECORDER; NORTH-ATLANTIC; CLIMATE-CHANGE; ECOLOGICAL NETWORKS; FOOD WEBS; ECOSYSTEM; BLOOMS; INCREASES; ABUNDANCE; REGIONS</t>
  </si>
  <si>
    <t>Robust time-series of direct observations of jellyfish abundance are not available for many ecosystems, leaving it difficult to determine changes in jellyfish abundance, the possible causes (e.g. climate change) or the consequences (e.g. trophic cascades). We sought an indirect ecological route to reconstruct jellyfish abundance in the Irish Sea: since zooplankton are jellyfish prey, historic variability in zooplankton communities may provide proxies for jellyfish abundance. We determined the Bayesian ecological network of jellyfish-zooplankton dependencies using jellyfish- and zooplankton-abundance data obtained using nets during a 2-week cruise to the Irish Sea in 2008. This network revealed that Aurelia aurita abundance was dependent on zooplankton groups Warm Temperate and Temperate Oceanic as defined by previous zooplankton ecology work. We then determined historic zooplankton networks across the Irish Sea from abundance data from Continuous Plankton Recorder surveys conducted between 1970 and 2000. Transposing the 2008 spatial dependencies onto the historic networks revealed that Aurelia abundance was more strongly dependent over time on sea surface temperature than on the zooplankton community. The generalist predatory abilities of Aurelia may have insulated this jellyfish over the 1985 regime shift when zooplankton composition in the Irish Sea changed abruptly, and also help explain its globally widespread distribution.</t>
  </si>
  <si>
    <t>[Mitchell, Emily G.; Wallace, Margaret I.; Wiesenthal, Amanda A.; Brierley, Andrew S.] Univ St Andrews, Scottish Oceans Inst, Sch Biol, Gatty Marine Lab,Pelag Ecol Res Grp, St Andrews KY16 8LB, Scotland; [Mitchell, Emily G.; Smith, V. Anne] Univ St Andrews, Sch Biol, Ctr Biol Divers, Sir Harold Mitchell Bldg, St Andrews KY16 9TF, Scotland; [Mitchell, Emily G.] Univ Cambridge, Dept Zool, Cambridge CB2 3EJ, England; [Wallace, Margaret I.] Scottish Qualificat Author, Optima Bldg,58 Robertson St, Glasgow G2 8DQ, Lanark, Scotland; [Wiesenthal, Amanda A.] Saarland Univ, PharmaceuticalBiol, D-66123 Saarbrucken, Germany</t>
  </si>
  <si>
    <t>University of St Andrews; University of St Andrews; University of Cambridge; Saarland University</t>
  </si>
  <si>
    <t>Mitchell, EG (corresponding author), Univ St Andrews, Scottish Oceans Inst, Sch Biol, Gatty Marine Lab,Pelag Ecol Res Grp, St Andrews KY16 8LB, Scotland.;Mitchell, EG (corresponding author), Univ St Andrews, Sch Biol, Ctr Biol Divers, Sir Harold Mitchell Bldg, St Andrews KY16 9TF, Scotland.;Mitchell, EG (corresponding author), Univ Cambridge, Dept Zool, Cambridge CB2 3EJ, England.</t>
  </si>
  <si>
    <t>ek338@cam.ac.uk</t>
  </si>
  <si>
    <t>Mitchell, Emily/AAK-1991-2020; Smith, V Anne/GYQ-7644-2022; Smith, V Anne/D-6389-2016; Brierley, Andrew/G-8019-2011</t>
  </si>
  <si>
    <t>Mitchell, Emily/0000-0001-6517-2231; Smith, V Anne/0000-0002-0487-2469; Wiesenthal, Amanda Alice/0000-0002-4374-9607; Brierley, Andrew/0000-0002-6438-6892</t>
  </si>
  <si>
    <t>UK Natural Environment Research Council [NE/E010350/1]; NERC [NE/P002412/1]; Independent Research Fellowship [NE/S014756/1]; NERC [NE/S014756/1, NE/E010350/1] Funding Source: UKRI</t>
  </si>
  <si>
    <t>UK Natural Environment Research Council(UK Research &amp; Innovation (UKRI)Natural Environment Research Council (NERC)); NERC(UK Research &amp; Innovation (UKRI)Natural Environment Research Council (NERC)); Independent Research Fellowship; NERC(UK Research &amp; Innovation (UKRI)Natural Environment Research Council (NERC))</t>
  </si>
  <si>
    <t>This study and the sampling at sea was funded by a grant from the UK Natural Environment Research Council (NE/E010350/1) to ASB and VAS. Multiple people contributed to the field sampling, and we are grateful to them all: the Master and crew of RV Prince Madog; Matteo Bernasconi, Martin Cox, Sascha Fassler and Katie Hill (Pelagic Ecology Research Group); Christian Wilson (British Geological Survey); Martin Lilley and Andrew Griffith (Universities of Swansea and Southampton respectively; and we also thank their supervisors Dr. Cathy Lucas and Prof. Graeme Hays for their positive engagement with the project); Jonathan Houghton and Tom Doyle (for being game to try the aerial survey when the sea conditions were far from optimal for jellyfish-spotting). We thank the Continuous Plankton Recorder team for analysis of zooplankton samples, Abigail McQuatters-Gollop for providing the CPR data, and David Barnes (British Antarctic Survey) for helpful discussion of bryozoan larvae. EGM was funded by a NERC grant (NE/P002412/1) and Independent Research Fellowship (NE/S014756/1). ASB dedicates this paper to David MacLennan and Steve Hay, both formerly of the Fisheries Research Service Marine Laboratory, Aberdeen, who inspired and educated him in the ways of acoustic sampling and jellyfish ecology respectively: rest in peace gentlemen.</t>
  </si>
  <si>
    <t>10.1038/s41598-021-82825-w</t>
  </si>
  <si>
    <t>QK2ZL</t>
  </si>
  <si>
    <t>WOS:000620250600002</t>
  </si>
  <si>
    <t>Ade, PAR; Ahmed, Z; Amiri, M; Barkats, D; Thakur, RB; Bischoff, CA; Bock, JJ; Boenish, H; Bullock, E; Buza, V; Cheshire, JR; Connors, J; Cornelison, J; Crumrine, M; Cukierman, A; Dierickx, M; Duband, L; Fatigoni, S; Filippini, JP; Fliescher, S; Goeckner-Wald, N; Grayson, J; Hall, G; Halpern, M; Harrison, S; Henderson, S; Hildebrandt, SR; Hilton, GC; Hubmayr, J; Hui, H; Irwin, KD; Kang, J; Karkare, KS; Karpel, E; Keating, BG; Kefeli, S; Kernasovskiy, SA; Kovac, JM; Kuo, CL; Lau, K; Leitch, EM; Megerian, KG; Moncelsi, L; Namikawa, T; Netterfield, CB; Nguyen, HT; O'Brient, R; Ogburn, RW; Palladino, S; Prouve, T; Pryke, C; Racine, B; Reintsema, CD; Richter, S; Schillaci, A; Schmitt, BL; Schwarz, R; Sheehy, CD; Soliman, A; St Germaine, T; Steinbach, B; Sudiwala, RV; Teply, G; Thompson, KL; Tolan, JE; Tucker, C; Turner, AD; Umilta, C; Vieregg, AG; Wandui, A; Weber, AC; Wiebe, DV; Willmert, J; Wong, CL; Wu, WLK; Yang, H; Yoon, KW; Young, E; Yu, C; Zeng, L; Zhang, C</t>
  </si>
  <si>
    <t>Ade, P. A. R.; Ahmed, Z.; Amiri, M.; Barkats, D.; Thakur, R. Basu; Bischoff, C. A.; Bock, J. J.; Boenish, H.; Bullock, E.; Buza, V; Cheshire, J. R.; Connors, J.; Cornelison, J.; Crumrine, M.; Cukierman, A.; Dierickx, M.; Duband, L.; Fatigoni, S.; Filippini, J. P.; Fliescher, S.; Goeckner-Wald, N.; Grayson, J.; Hall, G.; Halpern, M.; Harrison, S.; Henderson, S.; Hildebrandt, S. R.; Hilton, G. C.; Hubmayr, J.; Hui, H.; Irwin, K. D.; Kang, J.; Karkare, K. S.; Karpel, E.; Keating, B. G.; Kefeli, S.; Kernasovskiy, S. A.; Kovac, J. M.; Kuo, C. L.; Lau, K.; Leitch, E. M.; Megerian, K. G.; Moncelsi, L.; Namikawa, T.; Netterfield, C. B.; Nguyen, H. T.; O'Brient, R.; Ogburn, R. W.; Palladino, S.; Prouve, T.; Pryke, C.; Racine, B.; Reintsema, C. D.; Richter, S.; Schillaci, A.; Schmitt, B. L.; Schwarz, R.; Sheehy, C. D.; Soliman, A.; St Germaine, T.; Steinbach, B.; Sudiwala, R., V; Teply, G.; Thompson, K. L.; Tolan, J. E.; Tucker, C.; Turner, A. D.; Umilta, C.; Vieregg, A. G.; Wandui, A.; Weber, A. C.; Wiebe, D., V; Willmert, J.; Wong, C. L.; Wu, W. L. K.; Yang, H.; Yoon, K. W.; Young, E.; Yu, C.; Zeng, L.; Zhang, C.</t>
  </si>
  <si>
    <t>BICEP Keck Collaboration</t>
  </si>
  <si>
    <t>BICEP/Keck XII: Constraints on axionlike polarization oscillations in the cosmic microwave background</t>
  </si>
  <si>
    <t>PHYSICAL REVIEW D</t>
  </si>
  <si>
    <t>We present a search for axionlike polarization oscillations in the cosmic microwave background (CMB) with observations from the Keck Array. A local axion field induces an all-sky, temporally sinusoidal rotation of CMB polarization. A CMB polarimeter can thus function as a direct-detection experiment for axionlike dark matter. We develop techniques to extract an oscillation signal. Many elements of the method are generic to CMB polarimetry experiments and can be adapted for other datasets. As a first demonstration, we process data from the 2012 observing season to set upper limits on the axion-photon coupling constant in the mass range 10(-21)-10(-18) eV, which corresponds to oscillation periods on the order of hours to months. We find no statistically significant deviations from the background model. For periods larger than 24 hr (mass m &lt; 4.8 x 10(-20) eV), the median 95% confidence upper limit is equivalent to a rotation amplitude of 0.68 degrees, which constrains the axion-photon coupling constant to g(phi gamma) &lt; (1.1 x 10(-11) GeV-1 )m/(10(-21) eV), if axionlike particles constitute all of the dark matter. The constraints can be improved substantially with data already collected by the BICEP series of experiments. Current and future CMB polarimetry experiments are expected to achieve sufficient sensitivity to rule out unexplored regions of the axion parameter space.</t>
  </si>
  <si>
    <t>[Ade, P. A. R.; Sudiwala, R., V; Tucker, C.] Cardiff Univ, Sch Phys &amp; Astron, Cardiff CF24 3AA, Wales; [Ahmed, Z.; Cukierman, A.; Henderson, S.; Kuo, C. L.; Thompson, K. L.; Young, E.] SLAC Natl Accelerator Lab, Kavli Inst Particle Astrophys &amp; Cosmol, 2575 Sand Hill Rd, Menlo Pk, CA 94025 USA; [Amiri, M.; Fatigoni, S.; Halpern, M.; Wiebe, D., V] Univ British Columbia, Dept Phys &amp; Astron, Vancouver, BC V6T 1Z1, Canada; [Barkats, D.; Boenish, H.; Connors, J.; Cornelison, J.; Dierickx, M.; Harrison, S.; Kovac, J. M.; Racine, B.; Richter, S.; Schmitt, B. L.; St Germaine, T.; Wong, C. L.; Zeng, L.] Harvard Smithsonian Ctr Astrophys, 60 Garden St,MS42, Cambridge, MS USA; [Thakur, R. Basu; Bock, J. J.; Filippini, J. P.; Hildebrandt, S. R.; Hui, H.; Kefeli, S.; Moncelsi, L.; Nguyen, H. T.; O'Brient, R.; Schillaci, A.; Soliman, A.; Steinbach, B.; Teply, G.; Wandui, A.; Zhang, C.] CALTECH, Dept Phys, Pasadena, CA 91125 USA; [Bischoff, C. A.; Palladino, S.] Univ Cincinnati, Dept Phys, Cincinnati, OH 45221 USA; [Bock, J. J.; Hildebrandt, S. R.; Megerian, K. G.; Nguyen, H. T.; O'Brient, R.; Turner, A. D.; Weber, A. C.] Jet Prop Lab, Pasadena, CA 91109 USA; [Bullock, E.; Cheshire, J. R.; Pryke, C.] Univ Minnesota, Minnesota Inst Astrophys, Minneapolis, MN 55455 USA; [Buza, V; Karkare, K. S.; Leitch, E. M.; Sheehy, C. D.; Vieregg, A. G.; Wu, W. L. K.] Univ Chicago, Kavli Inst Cosmol Phys, Chicago, IL 60637 USA; [Connors, J.; Hilton, G. C.; Hubmayr, J.; Reintsema, C. D.] NIST, Boulder, CO 80305 USA; [Crumrine, M.; Fliescher, S.; Hall, G.; Lau, K.; Pryke, C.; Schwarz, R.; Sheehy, C. D.; Willmert, J.] Univ Minnesota, Sch Phys &amp; Astron, Minneapolis, MN 55455 USA; [Cukierman, A.; Goeckner-Wald, N.; Grayson, J.; Hall, G.; Irwin, K. D.; Kang, J.; Karpel, E.; Kernasovskiy, S. A.; Kuo, C. L.; Namikawa, T.; Ogburn, R. W.; Thompson, K. L.; Tolan, J. E.; Yang, H.; Yoon, K. W.; Young, E.; Yu, C.] Stanford Univ, Dept Phys, Stanford, CA 94305 USA; [Duband, L.; Prouve, T.] Commissariat Energie Atom, Serv Basses Temp, F-38054 Grenoble, France; [Filippini, J. P.; Umilta, C.] Univ Illinois, Dept Phys, Urbana, IL 61801 USA; [Filippini, J. P.] Univ Illinois, Dept Astron, Urbana, IL 61801 USA; [Keating, B. G.] Univ Calif San Diego, Dept Phys, La Jolla, CA 92093 USA; [Kovac, J. M.] Harvard Univ, Dept Phys, Cambridge, MA 02138 USA; [Netterfield, C. B.] Univ Toronto, Dept Phys, Toronto, ON M5S 1A7, Canada; [Racine, B.] Aix Marseille Univ, CPPM, CNRS IN2P3, F-13288 Marseille, France; [Vieregg, A. G.] Univ Chicago, Enrico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</si>
  <si>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National Aeronautics &amp; Space Administration (NASA); NASA Jet Propulsion Laboratory (JPL); University of Minnesota System; University of Minnesota Twin Cities; University of Chicago; National Institute of Standards &amp; Technology (NIST) - USA; University of Minnesota System; University of Minnesota Twin Cities; Stanford University; CEA; Communaute Universite Grenoble Alpes; Universite Grenoble Alpes (UGA); University of Illinois System; University of Illinois Urbana-Champaign; University of Illinois System; University of Illinois Urbana-Champaign; University of California System; University of California San Diego; Harvard University; University of Toronto; Aix-Marseille Universite; Centre National de la Recherche Scientifique (CNRS); CNRS - National Institute of Nuclear and Particle Physics (IN2P3); University of Chicago</t>
  </si>
  <si>
    <t>Cukierman, A (corresponding author), SLAC Natl Accelerator Lab, Kavli Inst Particle Astrophys &amp; Cosmol, 2575 Sand Hill Rd, Menlo Pk, CA 94025 USA.;Cukierman, A (corresponding author), Stanford Univ, Dept Phys, Stanford, CA 94305 USA.</t>
  </si>
  <si>
    <t>ajcukier@stanford.edu</t>
  </si>
  <si>
    <t>Nguyen, H.T/AAG-1974-2021; Chen, Shuo/JEO-6350-2023; Moncelsi, Lorenzo/AAU-1009-2020; sun, huan/JEO-7152-2023; Nguyễn, Hương/JUV-6128-2023; Zeng, Lingzhen/V-4602-2019</t>
  </si>
  <si>
    <t>Nguyen, H.T/0000-0001-5580-2877; Moncelsi, Lorenzo/0000-0002-4242-3015; Zeng, Lingzhen/0000-0001-6924-9072; Irwin, Kent/0000-0002-2998-9743; Hui, Howard/0000-0001-5812-1903; Lau, King/0000-0002-6445-2407; Cheshire, James/0000-0002-1630-7854; Bischoff, Colin/0000-0001-9185-6514; Tucker, Carole/0000-0002-1851-3918; Schillaci, Alessandro/0000-0002-0512-1042; Hildebrandt, Sergi/0000-0003-0220-0009; Ahmed, Zeeshan/0000-0002-9957-448X; Namikawa, Toshiya/0000-0003-3070-9240; Dierickx, Marion/0000-0002-3519-8593; Zhang, Cheng/0000-0001-8288-5823; Kang, Jae Hwan/0000-0002-3470-2954; Kovac, John/0009-0003-5432-7180; Racine, Benjamin/0000-0001-8861-3052</t>
  </si>
  <si>
    <t>National Science Foundation [0742818, 0742592, 1044978, 1110087, 1145172, 1145143, 1145248, 1639040, 1638957, 1638978, 1638970, 1836010]; Keck Foundation; Jet Propulsion Laboratory (JPL) Research and Technology Development Fund [06-ARPA206-0040, 10SAT10-0017]; NASA Astrophysics Research and Analysis program (APRA); Strategic Astrophysics Technology (SAT) programs; Gordon and Betty Moore Foundation at Caltech; Canada Foundation for Innovation grant; Department of Energy [DEAC02-76SF00515]; Direct For Mathematical &amp; Physical Scien; Division Of Astronomical Sciences [1836010] Funding Source: National Science Foundation; Division Of Polar Programs; Directorate For Geosciences [1110087] Funding Source: National Science Foundation; STFC [ST/S00033X/1] Funding Source: UKRI</t>
  </si>
  <si>
    <t>National Science Foundation(National Science Foundation (NSF)); Keck Foundation(W.M. Keck Foundation); Jet Propulsion Laboratory (JPL) Research and Technology Development Fund; NASA Astrophysics Research and Analysis program (APRA); Strategic Astrophysics Technology (SAT) programs; Gordon and Betty Moore Foundation at Caltech(Gordon and Betty Moore Foundation); Canada Foundation for Innovation grant(Canada Foundation for Innovation); Department of Energy(United States Department of Energy (DOE)); Direct For Mathematical &amp; Physical Scien; Division Of Astronomical Sciences(National Science Foundation (NSF)NSF - Directorate for Mathematical &amp; Physical Sciences (MPS)); Division Of Polar Programs; Directorate For Geosciences(National Science Foundation (NSF)NSF - Directorate for Geosciences (GEO)); STFC(UK Research &amp; Innovation (UKRI)Science &amp; Technology Facilities Council (STFC))</t>
  </si>
  <si>
    <t>We thank Adam J. Anderson, Aviv R. Cukierman, Michael A. Fedderke, and Ethan O. Nadler for useful conversations. The BICEP/Keck projects have been made possible through a series of grants from the National Science Foundation including Grants No. 0742818, No. 0742592, No. 1044978, No. 1110087, No. 1145172, No. 1145143, No. 1145248, No. 1639040, No. 1638957, No. 1638978, No. 1638970, and No. 1836010, and by the Keck Foundation. The development of antenna-coupled detector technology was supported by the Jet Propulsion Laboratory (JPL) Research and Technology Development Fund and Grants No. 06-ARPA206-0040 and No. 10SAT10-0017 from the NASA Astrophysics Research and Analysis program (APRA) and Strategic Astrophysics Technology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 L. A. C. was partially supported by the Department of Energy, Contract No. DEAC02-76SF00515.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series of experiments, including the BICEP1 team.</t>
  </si>
  <si>
    <t>2470-0010</t>
  </si>
  <si>
    <t>2470-0029</t>
  </si>
  <si>
    <t>PHYS REV D</t>
  </si>
  <si>
    <t>Phys. Rev. D</t>
  </si>
  <si>
    <t>10.1103/PhysRevD.103.042002</t>
  </si>
  <si>
    <t>QG7XP</t>
  </si>
  <si>
    <t>WOS:000617796700001</t>
  </si>
  <si>
    <t>Hester, EW; McConnochie, CD; Cenedese, C; Couston, LA; Vasil, G</t>
  </si>
  <si>
    <t>Hester, Eric W.; McConnochie, Craig D.; Cenedese, Claudia; Couston, Louis-Alexandre; Vasil, Geoffrey</t>
  </si>
  <si>
    <t>Aspect ratio affects iceberg melting</t>
  </si>
  <si>
    <t>PHYSICAL REVIEW FLUIDS</t>
  </si>
  <si>
    <t>Iceberg meltwater is a critical freshwater flux from the cryosphere to the oceans. Global climate simulations therefore require simple and accurate parametrizations of iceberg melting. Iceberg shape is an important but often neglected aspect of iceberg melting. Icebergs have an enormous range of shapes and sizes, and distinct processes dominate basal and side melting. We show how different iceberg aspect ratios and relative ambient water velocities affect melting using a combined experimental and numerical study. The experimental results show significant variations in melting between different iceberg faces, as well as within each iceberg face. These findings are reproduced and explained with multiphysics numerical simulations. At high relative ambient velocities melting is largest on the side facing the flow, and mixing during vortex generation causes local increases in basal melt rates of over 50%. Double-diffusive buoyancy effects become significant when the relative ambient velocity is low. Existing melting parametrizations do not reproduce our findings. We propose several corrections to capture the influence of aspect ratio on iceberg melting.</t>
  </si>
  <si>
    <t>[Hester, Eric W.; Vasil, Geoffrey] Univ Sydney, Sch Math &amp; Stat, Sydney, NSW 2006, Australia; [McConnochie, Craig D.] Univ Canterbury, Dept Civil &amp; Nat Resources Engn, Christchurch 8041, New Zealand; [Cenedese, Claudia] Woods Hole Oceanog Inst, Dept Phys Oceanog, Woods Hole, MA 02543 USA; [Couston, Louis-Alexandre] British Antarctic Survey, Cambridge CB3 0ET, England; [Couston, Louis-Alexandre] Univ Claude Bernard, Ens Lyon, Univ Lyon, CNRS,Lab Phys, F-69342 Lyon, France</t>
  </si>
  <si>
    <t>University of Sydney; University of Canterbury; Woods Hole Oceanographic Institution; UK Research &amp; Innovation (UKRI); Natural Environment Research Council (NERC); NERC British Antarctic Survey; Ecole Normale Superieure de Lyon (ENS de LYON); Universite Claude Bernard Lyon 1; Universite Paris Cite; Centre National de la Recherche Scientifique (CNRS)</t>
  </si>
  <si>
    <t>Hester, EW (corresponding author), Univ Sydney, Sch Math &amp; Stat, Sydney, NSW 2006, Australia.</t>
  </si>
  <si>
    <t>eric.hester@sydney.edu.au</t>
  </si>
  <si>
    <t>Couston, Louis-Alexandre/ABC-7665-2020; Hester, Eric W/JOK-9716-2023</t>
  </si>
  <si>
    <t>Couston, Louis-Alexandre/0000-0002-2184-2472; Hester, Eric W/0000-0003-1651-9141; McConnochie, Craig/0000-0001-7105-192X</t>
  </si>
  <si>
    <t>NSF [OCE-1829864, OCE-1658079]; University of Sydney through the William and Catherine McIllarth Research Travel Scholarship; European Union [793450]; Marie Curie Actions (MSCA) [793450] Funding Source: Marie Curie Actions (MSCA); NERC [bas0100033] Funding Source: UKRI</t>
  </si>
  <si>
    <t>NSF(National Science Foundation (NSF)); University of Sydney through the William and Catherine McIllarth Research Travel Scholarship; European Union(European Union (EU)); Marie Curie Actions (MSCA)(Marie Curie Actions); NERC(UK Research &amp; Innovation (UKRI)Natural Environment Research Council (NERC))</t>
  </si>
  <si>
    <t>E.H. is grateful for support from NSF OCE-1829864 during his 2017 Geophysical Fluid Dynamics Summer Fellowship at the Woods Hole Oceanographic Institution, as well as support from the University of Sydney through the William and Catherine McIllarth Research Travel Scholarship. L.-A.C. acknowledges funding from the European Union's Horizon 2020 research and innovation program under the Marie Sklodowska-Curie grant agreement 793450. C.C. was supported by NSF OCE-1658079. We acknowledge PRACE for awarding us access to Marconi at CINECA, Italy.</t>
  </si>
  <si>
    <t>2469-990X</t>
  </si>
  <si>
    <t>PHYS REV FLUIDS</t>
  </si>
  <si>
    <t>Phys. Rev. Fluids</t>
  </si>
  <si>
    <t>10.1103/PhysRevFluids.6.023802</t>
  </si>
  <si>
    <t>Physics, Fluids &amp; Plasmas</t>
  </si>
  <si>
    <t>QG8AH</t>
  </si>
  <si>
    <t>WOS:000617803700001</t>
  </si>
  <si>
    <t>Fan, SY; Gao, Y; Sherrell, RM; Yu, S; Bu, KX</t>
  </si>
  <si>
    <t>Fan, Songyun; Gao, Yuan; Sherrell, Robert M.; Yu, Shun; Bu, Kaixuan</t>
  </si>
  <si>
    <t>Concentrations, particle-size distributions, and dry deposition fluxes of aerosol trace elements over the Antarctic Peninsula in austral summer</t>
  </si>
  <si>
    <t>SOUTHERN-OCEAN AIR; ATMOSPHERIC DEPOSITION; DOME-C; CHEMICAL-CHARACTERIZATION; ENRICHMENT FACTORS; MULTIPLE SOURCES; MCMURDO STATION; MINERAL DUST; METALS; SOILS</t>
  </si>
  <si>
    <t>Size-segregated particulate air samples were collected during the austral summer of 2016-2017 at Palmer Station on Anvers Island, western Antarctic Peninsula, to characterize trace elements in aerosols. Trace elements in aerosol samples - including Al, P, Ca, Ti, V, Mn, Ni, Cu, Zn, Ce, and Pb - were determined by total digestion and a sector field inductively coupled plasma mass spectrometer (SF-ICP-MS). The crustal enrichment factors (EFcrust) and k-means clustering results of particle-size distributions show that these elements are derived primarily from three sources: (1) regional crustal emissions, including possible resuspension of soils containing biogenic P, (2) long-range transport, and (3) sea salt. Elements derived from crustal sources (Al, P, Ti, V, Mn, Ce) with EFcrust &lt; 10 were dominated by the coarse-mode particles (&gt; 1.8 mu m) and peaked around 4.4 pm in diameter, reflecting the regional contributions. Non-crustal elements (Ca, Ni, Cu, Zn, Pb) showed EFcrust &gt; 10. Aerosol Pb was primarily dominated by fine-mode particles, peaking at 0.14-0.25 mu m, and likely was impacted by air masses from southern South America based on air mass back trajectories. However, Ni, Cu, and Zn were not detectable in most size fractions and did not present clear size patterns. Sea-salt elements (Ca, Na+, K+) showed a single-mode distribution and peaked at 2.5-4.4 mu m. The estimated dry deposition fluxes of mineral dust for the austral summer, based on the particle-size distributions of Al measured at Palmer Station, ranged from 0.65 to 28 mg m(-2) yr(-1) with a mean of 5.5 +/- 5.0 mg m(-2) yr(-1). The estimated dry deposition fluxes of the target trace elements in this study were lower than most fluxes reported previously for coastal Antarctica and suggest that atmospheric input of trace elements through dry deposition processes may play a minor role in determining trace element concentrations in surface seawater over the continental shelf of the western Antarctic Peninsula.</t>
  </si>
  <si>
    <t>[Fan, Songyun; Gao, Yuan; Yu, Shun] Rutgers State Univ, Dept Earth &amp; Environm Sci, Newark, NJ 07102 USA; [Sherrell, Robert M.; Bu, Kaixuan] Rutgers State Univ, Dept Marine &amp; Coastal Sci, New Brunswick, NJ 08901 USA</t>
  </si>
  <si>
    <t>Rutgers University System; Rutgers University New Brunswick; Rutgers University Newark; Rutgers University System; Rutgers University New Brunswick</t>
  </si>
  <si>
    <t>Gao, Y (corresponding author), Rutgers State Univ, Dept Earth &amp; Environm Sci, Newark, NJ 07102 USA.</t>
  </si>
  <si>
    <t>yuangaoh@newark.rutgers.edu</t>
  </si>
  <si>
    <t>Gao, Yuan/0000-0002-1781-8971</t>
  </si>
  <si>
    <t>US National Science Foundation [OPP1341494]</t>
  </si>
  <si>
    <t>US National Science Foundation(National Science Foundation (NSF))</t>
  </si>
  <si>
    <t>This research was supported by the US National Science Foundation (grant no. OPP1341494 to Yuan Gao).</t>
  </si>
  <si>
    <t>10.5194/acp-21-2105-2021</t>
  </si>
  <si>
    <t>QJ4OP</t>
  </si>
  <si>
    <t>WOS:000619671700001</t>
  </si>
  <si>
    <t>Thorhaug, A; Belaire, C; Verduin, JJ; Schwarz, A; Kiswara, W; Prathep, A; Gallagher, JB; Huang, XP; Berlyn, G; Yap, TK; Dorward, S</t>
  </si>
  <si>
    <t>Thorhaug, Anitra; Belaire, Charles; Verduin, Jennifer J.; Schwarz, Arthur; Kiswara, Wawan; Prathep, Anchana; Gallagher, John Barry; Huang, Xiao Ping; Berlyn, Graeme; Yap, Tzuen-Kiat; Dorward, Susan</t>
  </si>
  <si>
    <t>Longevity and sustainability of tropical and subtropical restored seagrass beds among Atlantic, Pacific, and Indian Oceans (vol 160, 111544, 2020)</t>
  </si>
  <si>
    <t>[Thorhaug, Anitra] Yale Univ, Sch Forestry &amp; Environm Studies, 1359 SW 22 Terrace, Miami, FL 33145 USA; [Belaire, Charles] Belaire Environm Inc, Rockport, TX USA; [Verduin, Jennifer J.] Mudoch Univ, Oceanog, Ctr Fish Fisheries &amp; Aquat Ecosyst Res, Perth, WA, Australia; [Schwarz, Arthur] Southwestern Adventist Univ, Dept Biol, Keene, TX USA; [Kiswara, Wawan] Indonesian Inst Sci, Div Earth Sci, Jakarta, Indonesia; [Prathep, Anchana] Prince Songkla Univ, Seaweed &amp; Seagrass Res Unit, Excellence Ctr Biodivers Peninsular Thailand, Hat Yai 90112, Songkhla, Thailand; [Gallagher, John Barry] Univ Tasmania, Inst Marine &amp; Antarctic Studies, Hobart, Tas 7000, Australia; [Huang, Xiao Ping] Chinese Acad Sci, South China Sea Inst Oceanol, Guangzhou, Peoples R China; [Berlyn, Graeme] Yale Univ, Sch Forestry &amp; Environm Studies, New Haven, CT 00651 USA; [Yap, Tzuen-Kiat] Univ Malaysia Sabah, Borneo Marine Res Inst, Kota Kinabalu, Sabah, Malaysia; [Dorward, Susan] Raritan Valley Community Coll, Branchburg, NJ USA</t>
  </si>
  <si>
    <t>Yale University; National Research &amp; Innovation Agency of Indonesia (BRIN); Indonesian Institute of Sciences (LIPI); Prince of Songkla University; University of Tasmania; Chinese Academy of Sciences; South China Sea Institute of Oceanology, CAS; Yale University; Universiti Malaysia Sabah</t>
  </si>
  <si>
    <t>Verduin, JJ (corresponding author), Mudoch Univ, Oceanog, Ctr Fish Fisheries &amp; Aquat Ecosyst Res, Perth, WA, Australia.</t>
  </si>
  <si>
    <t>J.Verduin@murdoch.edu.au</t>
  </si>
  <si>
    <t>Gallagher, John/JVP-1711-2024; Huang, xp/JRX-2837-2023</t>
  </si>
  <si>
    <t>10.1016/j.marpolbul.2020.111802</t>
  </si>
  <si>
    <t>QK3FM</t>
  </si>
  <si>
    <t>WOS:000620266400019</t>
  </si>
  <si>
    <t>Qu, M; Pang, XP; Zhao, X; Lei, RB; Ji, Q; Liu, Y; Chen, Y</t>
  </si>
  <si>
    <t>Qu, Meng; Pang, Xiaoping; Zhao, Xi; Lei, Ruibo; Ji, Qing; Liu, Yue; Chen, Ying</t>
  </si>
  <si>
    <t>Spring leads in the Beaufort Sea and its interannual trend using Terra/MODIS thermal imagery</t>
  </si>
  <si>
    <t>REMOTE SENSING OF ENVIRONMENT</t>
  </si>
  <si>
    <t>Sea ice leads; The Beaufort Sea; Spring leads; Interannual trend; MODIS thermal; Ice motion; Easterly wind</t>
  </si>
  <si>
    <t>ICE LEADS; OCEAN</t>
  </si>
  <si>
    <t>Sea ice leads promote mass and energy exchange between the atmosphere and the Arctic Ocean. The continuous thinning of sea ice and the enhanced sea ice mobility in the past decades can potentially change the seasonal cycle and interannual variability of lead distribution in the Arctic, especially during spring. However, the long-term trend in Arctic leads, associated with sea ice loss, remains inconclusive. Sequential lead distribution data from serial middle-or high-resolution satellite observations are needed to obtain realistic variation, trends, and lead characteristics on a regional or basin scale. This study proposed a modified algorithm to retrieve daily spring leads in the Beaufort Sea using temperature anomaly from Terra/MODIS thermal imagery. Our lead map was compared to existing lead datasets and validated by Landsat-8 images, showing that the modified method gave better results in identification of open water leads and refrozen leads covered by thin ice. The development and interannual trend for April leads were explored for the study period 2001-2020. We found a positive interannual trend in the April lead area of about 2612 +/- 1245 km(2)/year (90% confidence). Higher increasing rate was identified in the early April, which would be 26.4 - 29.2% lower if the influence from cloud variation was removed. Lead area presents a close correlation with the 11-day average of ice drift speed before lead detection, while the influence of regional pressure gradient and easterly wind on the lead area is limited to the synoptic scale and recedes within a week. In the years with anomalous large lead area, we found the detected lead area are closely related to enhanced ice motion driven by strengthening Beaufort High and persistent easterly wind.</t>
  </si>
  <si>
    <t>[Qu, Meng; Pang, Xiaoping; Zhao, Xi; Ji, Qing; Liu, Yue; Chen, Ying] Wuhan Univ, Chinese Antarctic Ctr Surveying &amp; Mapping, Wuhan, Peoples R China; [Lei, Ruibo] Polar Res Inst China, Minist Nat Resources, Key Lab Polar Sci, Shanghai, Peoples R China</t>
  </si>
  <si>
    <t>Wuhan University; Ministry of Natural Resources of the People's Republic of China; Polar Research Institute of China</t>
  </si>
  <si>
    <t>Zhao, X (corresponding author), Wuhan Univ, Chinese Antarctic Ctr Surveying &amp; Mapping, Wuhan, Peoples R China.</t>
  </si>
  <si>
    <t>xi.zhao@whu.edu.cn</t>
  </si>
  <si>
    <t>zhao, xi/HJY-6017-2023; Qu, Meng/ABC-1170-2021</t>
  </si>
  <si>
    <t>Qu, Meng/0000-0002-0036-917X; Zhao, Xi/0000-0003-2274-891X</t>
  </si>
  <si>
    <t>National Key Research and Development Program of China [2018YFA0605903, 2018YFC1407100]; National Natural Science Foundation of China [41876223, 41976219]</t>
  </si>
  <si>
    <t>This research has been supported by the National Key Research and Development Program of China (grant nos. 2018YFA0605903, 2018YFC1407100) and the National Natural Science Foundation of China (grant nos. 41876223, 41976219). We would like to acknowledge NASA Goddard Space Flight Center, U.S. Geological Survey, the European Center for Medium-Range Weather Forecasts, National Snow and Ice Data Center for providing MODIS images, atmosphere and sea ice products used in this study. We thank the reviewers and editor for their constructive comments, which contributed to the final paper.</t>
  </si>
  <si>
    <t>0034-4257</t>
  </si>
  <si>
    <t>1879-0704</t>
  </si>
  <si>
    <t>REMOTE SENS ENVIRON</t>
  </si>
  <si>
    <t>Remote Sens. Environ.</t>
  </si>
  <si>
    <t>10.1016/j.rse.2021.112342</t>
  </si>
  <si>
    <t>Environmental Sciences; Remote Sensing; Imaging Science &amp; Photographic Technology</t>
  </si>
  <si>
    <t>Environmental Sciences &amp; Ecology; Remote Sensing; Imaging Science &amp; Photographic Technology</t>
  </si>
  <si>
    <t>QT5NC</t>
  </si>
  <si>
    <t>WOS:000626633200001</t>
  </si>
  <si>
    <t>Papetti, C; Babbucci, M; Dettai, A; Basso, A; Lucassen, M; Harms, L; Bonillo, C; Heindler, FM; Patarnello, T; Negrisolo, E</t>
  </si>
  <si>
    <t>Papetti, Chiara; Babbucci, Massimiliano; Dettai, Agnes; Basso, Andrea; Lucassen, Magnus; Harms, Lars; Bonillo, Celine; Heindler, Franz Maximilian; Patarnello, Tomaso; Negrisolo, Enrico</t>
  </si>
  <si>
    <t>Not Frozen in the Ice: Large and Dynamic Rearrangements in the Mitochondrial Genomes of the Antarctic Fish</t>
  </si>
  <si>
    <t>GENOME BIOLOGY AND EVOLUTION</t>
  </si>
  <si>
    <t>mitochondrial genome evolution; gene order rearrangements; Notothenioidei; Trematomus; icefish; Dissostichus</t>
  </si>
  <si>
    <t>CONTROL REGION TRANSLOCATION; MODERN FROGS NEOBATRACHIA; GENE REARRANGEMENTS; TANDEM DUPLICATION; NONADAPTIVE EVOLUTION; CONCERTED EVOLUTION; PERCIFORMES; MITOGENOME; SEQUENCE; ICEFISH</t>
  </si>
  <si>
    <t>The vertebrate mitochondrial genomes generally present a typical gene order. Exceptions are uncommon and important to study the genetic mechanisms of gene order rearrangements and their consequences on phylogenetic output and mitochondrial function. Antarctic notothenioid fish carry some peculiar rearrangements of the mitochondrial gene order. In this first systematic study of 28 species, we analyzed known and undescribed mitochondrial genome rearrangements for a total of eight different gene orders within the notothenioid fish. Our reconstructions suggest that transpositions, duplications, and inversion of multiple genes are the most likely mechanisms of rearrangement in notothenioid mitochondrial genomes. In Trematominae, we documented an extremely rare inversion of a large genomic segment of 5,300 bp that partially affected the gene compositional bias but not the phylogenetic output. The genomic region delimited by nad5 and trnF, close to the area of the Control Region, was identified as the hot spot of variation in Antarctic fish mitochondrial genomes. Analyzing the sequence of several intergenic spacers and mapping the arrangements on a newly generated phylogeny showed that the entire history of the Antarctic notothenioids is characterized by multiple, relatively rapid, events of disruption of the gene order. We hypothesized that a pre-existing genomic flexibility of the ancestor of the Antarctic notothenioids may have generated a precondition for gene order rearrangement, and the pressure of purifying selection could have worked for a rapid restoration of the mitochondrial functionality and compactness after each event of rearrangement.</t>
  </si>
  <si>
    <t>[Papetti, Chiara] Univ Padua, Dept Biol, I-35121 Padua, Italy; [Papetti, Chiara] Consorzio Nazl Interuniv Sci Mare CoNISMa, I-00196 Rome, Italy; [Babbucci, Massimiliano; Basso, Andrea; Patarnello, Tomaso; Negrisolo, Enrico] Univ Padua, Dept Comparat Biomed &amp; Food Sci, I-35020 Legnaro, Italy; [Dettai, Agnes] Sorbonne Univ EPHE, Inst Systemat Evolut Biodiversite ISYEB, Museum Natl Hist Nat, CNRS, F-75005 Paris, France; [Lucassen, Magnus; Harms, Lars] Alfred Wegener Inst, Helmholtz Ctr Polar &amp; Marine Res, Handelshafen 12, D-27570 Bremerhaven, Germany; [Harms, Lars] Univ Oldenburg HIFMB, Helmholtz Inst Funct Marine Biodivers, Ammerls Oldenburg HIFM, D-26129 Oldenburg, Germany; [Bonillo, Celine] MNHN, Serv Systemat Mol, Acquisit &amp; Anal Donnees 2AD, UMS2700, F-75005 Paris, France; [Heindler, Franz Maximilian] Katholieke Univ Leuven, Lab Biodivers &amp; Evolutionary Genom, Leuven, Belgium; [Negrisolo, Enrico] Univ Padua, CRIBI Interdept Res Ctr Innovat Biotechnol, Viale G Colombo 3, I-35121 Padua, Italy</t>
  </si>
  <si>
    <t>University of Padua; CoNISMa; University of Padua; Museum National d'Histoire Naturelle (MNHN); Sorbonne Universite; Universite PSL; Ecole Pratique des Hautes Etudes (EPHE); Centre National de la Recherche Scientifique (CNRS); Helmholtz Association; Alfred Wegener Institute, Helmholtz Centre for Polar &amp; Marine Research; Centre National de la Recherche Scientifique (CNRS); CNRS - Institute of Ecology &amp; Environment (INEE); Museum National d'Histoire Naturelle (MNHN); KU Leuven; University of Padua</t>
  </si>
  <si>
    <t>Negrisolo, E (corresponding author), Univ Padua, Dept Comparat Biomed &amp; Food Sci, I-35020 Legnaro, Italy.;Negrisolo, E (corresponding author), Univ Padua, CRIBI Interdept Res Ctr Innovat Biotechnol, Viale G Colombo 3, I-35121 Padua, Italy.</t>
  </si>
  <si>
    <t>enrico.negrisolo@unipd.it</t>
  </si>
  <si>
    <t>Heindler, Franz Maximilian/C-2365-2018; Lucassen, Magnus/ABA-8396-2021; Lucassen, Magnus/E-8433-2011; Negrisolo, Enrico/K-8124-2015</t>
  </si>
  <si>
    <t>Lucassen, Magnus/0000-0003-4276-4781; Basso, Andrea/0000-0001-6784-7271; Negrisolo, Enrico/0000-0002-6244-805X; Papetti, Chiara/0000-0002-4567-459X; Dettai, Agnes/0000-0002-8496-9737; BABBUCCI, MASSIMILIANO/0000-0002-4060-4728; PATARNELLO, Tomaso/0000-0003-1794-5791; Harms, Lars/0000-0001-7620-0613</t>
  </si>
  <si>
    <t>IPEV (Institut Paul Emile Victor) REVOLTA (2009-2017) programs in Adelie Land; Italian Ministry of Research and University (MIUR) [PRIN 2007 2007NSHJL8_003]; European Marie Curie project Polarexpress [622320]; HanseWissenschaftskolleg; Institute for Advanced Study in Delmenhorst (Germany); MIUR; MNHN ATM 2016 grant; Helmholtz Association; Belgian Science Policy Office (BELSPO) [BR/154/A1/RECTO]; GenBak [MT232658-MT232659, MT559882-MT559896]; MNHN ATM 2017 grant</t>
  </si>
  <si>
    <t>IPEV (Institut Paul Emile Victor) REVOLTA (2009-2017) programs in Adelie Land; Italian Ministry of Research and University (MIUR)(Ministry of Education, Universities and Research (MIUR)); European Marie Curie project Polarexpress(European Union (EU)); HanseWissenschaftskolleg; Institute for Advanced Study in Delmenhorst (Germany); MIUR(Ministry of Education, Universities and Research (MIUR)); MNHN ATM 2016 grant; Helmholtz Association(Helmholtz Association); Belgian Science Policy Office (BELSPO)(Belgian Federal Science Policy Office); GenBak; MNHN ATM 2017 grant</t>
  </si>
  <si>
    <t>The authors would like to thank Nils Koschnick (AWI, Bremerhaven, Germany), and Emilio Riginella (Zoological Station Anthon Dohrn, Naples, Italy) for collecting the samples during RV Polarstern PS82 and PS79 cruises. The authors also thank the RV Polarstern crew for their precious help during the sample collection. Authors are very grateful to Jutta Jugens (AWI, Bremerhaven, Germany) for her help with some laboratory protocols. The authors thank Felicity McEnnulty (Commonwealth Scientific and Industrial Research Organization, Marine and Atmospheric Research, Tasmania, Australia) Dirk Welsford, and Tim Lamb (Australian Antarctic Division, Tasmania, Australia) for providing the sample of Bovichtus angustifrons from Tasmania. Authors are very grateful to Gianna Innocenti (Natural History Museum, Zoology Section, Florence University) for helping with samples shipment in compliance with Cites regulation. The authors also acknowledge the support of the IPEV (Institut Paul Emile Victor) REVOLTA (2009-2017) programs in Ad~elie Land. Laboratory access and assistance at the MNHN were provided by the Service de Syst~ematique mol~eculaire (UMS 2700 2AD).The authors acknowledge the funding PRIN 2007 2007NSHJL8_003 awarded by the Italian Ministry of Research and University (MIUR) to E.N., the European Marie Curie project Polarexpress Grant No. 622320, and the financial support of the HanseWissenschaftskolleg (travel award), Institute for Advanced Study in Delmenhorst (Germany) to C.P. A.B. is supported by a post doc grant from the MIUR awarded project: Centro di Eccellenza per la Salute degli Animali Acquatici-ECCE AQUA. A.D. is supported by the MNHN ATM 2016, 2017 grants. The work at AWI and on Polarstern is a contribution to the PACES II research program (work package 1.6) of the AWI funded by the Helmholtz Association. This is contribution number 016 of the RECTO project, funded by the Belgian Science Policy Office (BELSPO, BR/154/A1/RECTO) (A.D. and F.M.H.). This project has been deposited at GenBak under the accession numbers MT232658-MT232659, MT559882-MT559896.</t>
  </si>
  <si>
    <t>1759-6653</t>
  </si>
  <si>
    <t>GENOME BIOL EVOL</t>
  </si>
  <si>
    <t>Genome Biol. Evol.</t>
  </si>
  <si>
    <t>evab017</t>
  </si>
  <si>
    <t>10.1093/gbe/evab017</t>
  </si>
  <si>
    <t>Evolutionary Biology; Genetics &amp; Heredity</t>
  </si>
  <si>
    <t>RI9HT</t>
  </si>
  <si>
    <t>WOS:000637216700011</t>
  </si>
  <si>
    <t>Gladstone, R; Galton-Fenzi, B; Gwyther, D; Zhou, Q; Hattermann, T; Zhao, C; Jong, L; Xia, YW; Guo, XR; Petrakopoulos, K; Zwinger, T; Shapero, D; Moore, J</t>
  </si>
  <si>
    <t>Gladstone, Rupert; Galton-Fenzi, Benjamin; Gwyther, David; Zhou, Qin; Hattermann, Tore; Zhao, Chen; Jong, Lenneke; Xia, Yuwei; Guo, Xiaoran; Petrakopoulos, Konstantinos; Zwinger, Thomas; Shapero, Daniel; Moore, John</t>
  </si>
  <si>
    <t>The Framework For Ice Sheet-Ocean Coupling (FISOC) V1.1</t>
  </si>
  <si>
    <t>GROUNDING LINE; FINITE-VOLUME; SHELF CAVITY; MODEL; RETREAT; GLACIER; IMPLEMENTATION; PERFORMANCE; TOPOGRAPHY; BENEATH</t>
  </si>
  <si>
    <t>A number of important questions concern processes at the margins of ice sheets where multiple components of the Earth system, most crucially ice sheets and oceans, interact. Such processes include thermodynamic interaction at the ice-ocean interface, the impact of meltwater on ice shelf cavity circulation, the impact of basal melting of ice shelves on grounded ice dynamics and ocean controls on iceberg calving. These include fundamentally coupled processes in which feedback mechanisms between ice and ocean play an important role. Some of these mechanisms have major implications for humanity, most notably the impact of retreating marine ice sheets on the global sea level. In order to better quantify these mechanisms using computer models, feedbacks need to be incorporated into the modelling system. To achieve this, ocean and ice dynamic models must be coupled, allowing runtime information sharing between components. We have developed a flexible coupling framework based on existing Earth system coupling technologies. The open-source Framework for Ice Sheet-Ocean Coupling (FISOC) provides a modular approach to coupling, facilitating switching between different ice dynamic and ocean components. FISOC allows fully synchronous coupling, in which both ice and ocean run on the same time step, or semisynchronous coupling in which the ice dynamic model uses a longer time step. Multiple regridding options are available, and there are multiple methods for coupling the sub-ice-shelf cavity geometry. Thermodynamic coupling may also be activated. We present idealized simulations using FISOC with a Stokes flow ice dynamic model coupled to a regional ocean model. We demonstrate the modularity of FISOC by switching between two different regional ocean models and presenting outputs for both. We demonstrate conservation of mass and other verification steps during evolution of an idealized coupled ice-ocean system, both with and without grounding line movement.</t>
  </si>
  <si>
    <t>[Gladstone, Rupert; Moore, John] Univ Lapland, Arctic Ctr, Rovaniemi, Finland; [Galton-Fenzi, Benjamin; Jong, Lenneke] Australian Antarctic Div, Kingston, Tas, Australia; [Galton-Fenzi, Benjamin; Gwyther, David; Zhao, Chen] Univ Tasmania, Inst Marine &amp; Antarctic Studies, Australian Antarctic Program Partnership, Hobart, Tas, Australia; [Zhou, Qin] Akvaplan Niva AS, Tromso, Norway; [Hattermann, Tore] Norwegian Polar Res Inst, Tromso, Norway; [Xia, Yuwei; Guo, Xiaoran; Moore, John] Beijing Normal Univ, Coll Global Change &amp; Earth Syst Sci, Beijing, Peoples R China; [Shapero, Daniel] Univ Washington, Polar Sci Ctr, Appl Phys Lab, Seattle, WA 98195 USA; [Petrakopoulos, Konstantinos] New York Univ Abu Dhabi, Ctr Global Sea Level Change, Abu Dhabi, U Arab Emirates; [Zwinger, Thomas] CSC IT Ctr Sci, Espoo, Finland; [Hattermann, Tore] Univ Tromso, Energy &amp; Climate Grp, Dept Phys &amp; Technol, Arctic Univ, Tromso, Norway</t>
  </si>
  <si>
    <t>University of Lapland; Australian Antarctic Division; University of Tasmania; Akvaplan-niva; Norwegian Polar Institute; Beijing Normal University; University of Washington; University of Washington Seattle; New York University Abu Dhabi; UiT The Arctic University of Tromso</t>
  </si>
  <si>
    <t>Gladstone, R (corresponding author), Univ Lapland, Arctic Ctr, Rovaniemi, Finland.</t>
  </si>
  <si>
    <t>rupertgladstone1972@gmail.com</t>
  </si>
  <si>
    <t>Xia, Yuwei/HLQ-4476-2023; Jong, Lenneke M/AAT-3230-2020; Gwyther, David E/Q-2987-2018; Zhao, Chen/S-2693-2019; Gladstone, Rupert/C-1086-2013; Zwinger, Thomas/H-5163-2018</t>
  </si>
  <si>
    <t>Jong, Lenneke M/0000-0001-6707-570X; Gwyther, David E/0000-0002-7218-2785; Zhao, Chen/0000-0003-0368-1334; Gladstone, Rupert/0000-0002-1582-3857; Zwinger, Thomas/0000-0003-3360-4401; Galton-Fenzi, Benjamin Keith/0000-0003-1404-4103</t>
  </si>
  <si>
    <t>European Union Seventh Framework Programme [299035]; Academy of Finland [286587, 322430]; CSC IT Centre for Science, Finland; Norwegian Research Council [280727, 267660]; NYU Abu Dhabi (CSLC grant) [G1204]; Australian Research Council's Special Research Initiative for Antarctic Gateway Partnership [SR140300001]; Australian Government [ASCI000002]; Academy of Finland (AKA) [286587, 322430] Funding Source: Academy of Finland (AKA)</t>
  </si>
  <si>
    <t>European Union Seventh Framework Programme(European Union (EU)); Academy of Finland(Research Council of Finland); CSC IT Centre for Science, Finland; Norwegian Research Council(Research Council of Norway); NYU Abu Dhabi (CSLC grant); Australian Research Council's Special Research Initiative for Antarctic Gateway Partnership(Australian Research Council); Australian Government(Australian Government); Academy of Finland (AKA)(Research Council of Finland)</t>
  </si>
  <si>
    <t>This research has been supported by the European Union Seventh Framework Programme (grant no. 299035), the Academy of Finland (grant nos. 286587 and 322430), CSC IT Centre for Science, Finland, the Norwegian Research Council (projects 280727 to Tore Hattermann and 267660 to Qin Zhou). Konstantinos Petrakopoulos's work was supported by NYU Abu Dhabi (CSLC grant no. G1204). Benjamin Galton-Fenzi and Chen Zhao were supported under the Australian Research Council's Special Research Initiative for Antarctic Gateway Partnership (Project ID SR140300001) and received grant funding from the Australian Government for the Australian Antarctic Program Partnership (Project ID ASCI000002).</t>
  </si>
  <si>
    <t>FEB 11</t>
  </si>
  <si>
    <t>10.5194/gmd-14-889-2021</t>
  </si>
  <si>
    <t>QJ4DZ</t>
  </si>
  <si>
    <t>WOS:000619643100002</t>
  </si>
  <si>
    <t>Mills, WF; Morley, TI; Votier, SC; Phillips, RA</t>
  </si>
  <si>
    <t>Mills, William F.; Morley, Tim I.; Votier, Stephen C.; Phillips, Richard A.</t>
  </si>
  <si>
    <t>Long-term inter- and intraspecific dietary variation in sibling seabird species</t>
  </si>
  <si>
    <t>GIANT PETRELS MACRONECTES; SEALS ARCTOCEPHALUS-GAZELLA; MANTLED SOOTY ALBATROSS; BIRD-ISLAND; SOUTH-GEORGIA; PROCELLARIA-AEQUINOCTIALIS; MACARONI PENGUINS; FEEDING ECOLOGY; POPULATION-SIZE; EUDYPTES-CHRYSOLOPHUS</t>
  </si>
  <si>
    <t>Northern Macronectes halli and southern giant petrels M. giganteus are opportunistic predators and the dominant avian scavengers in sub-Antarctic and Antarctic ecosystems. At South Georgia, there are globally important breeding populations of both species; however, no detailed diet study has been carried out at this site for&gt;35 years. Here, we analysed stomach contents of northern (n=81) and southern giant petrel (n=73) chicks at Bird Island, South Georgia (2014/15-2016/17). Specifically, we investigated: (1) interspecific and sexual dietary segregation; (2) diet changes within and among recent years; and (3) long-term diet changes since 1979/80-1980/81. Overall diet composition was similar between species, with penguins comprising approximately half the diet by mass. In both species (but more pronounced in southern giant petrels), prey delivered by female parents included higher proportions (by mass) of penguins and Antarctic krill Euphausia superba, and by male parents included more Antarctic fur seal Arctocephalus gazella carrion and seabirds other than penguins. Consumption of penguins increased, and of seal carrion declined, as chick-rearing progressed, mirroring the decreasing availability of the latter after the peak pupping period in December at South Georgia. Comparisons with data from 1979/80-1980/81 suggest some changes in giant petrel diets; however, these differences were no greater than the typical annual variation, and there were no clear links between diet and breeding allochrony or the differing population trends (more rapid increase in northern than southern giant petrels). The high diet diversity and ability of giant petrels to exploit both carrion and marine prey facilitates coexistence with other sympatric Procellariiformes and explains their favourable population status.</t>
  </si>
  <si>
    <t>[Mills, William F.; Morley, Tim I.; Phillips, Richard A.] British Antarctic Survey, Nat Environm Res Council, Cambridge CB3 0ET, England; [Mills, William F.] Univ Exeter, Ctr Ecol &amp; Conservat, Exeter TR10 9EZ, Cornwall, England; [Votier, Stephen C.] Heriot Watt Univ, Lyell Ctr, Edinburgh, Midlothian, Scotland</t>
  </si>
  <si>
    <t>UK Research &amp; Innovation (UKRI); Natural Environment Research Council (NERC); NERC British Antarctic Survey; University of Exeter; Heriot Watt University</t>
  </si>
  <si>
    <t>Mills, WF (corresponding author), British Antarctic Survey, Nat Environm Res Council, Cambridge CB3 0ET, England.;Mills, WF (corresponding author), Univ Exeter, Ctr Ecol &amp; Conservat, Exeter TR10 9EZ, Cornwall, England.</t>
  </si>
  <si>
    <t>wilmil23@bas.ac.uk</t>
  </si>
  <si>
    <t>Mills, William F/AAV-5737-2020; Votier, Stephen/IUO-0154-2023</t>
  </si>
  <si>
    <t>Mills, William F/0000-0001-7170-5794; Votier, Stephen/0000-0002-0976-0167</t>
  </si>
  <si>
    <t>Natural Environment Research Council [NE/L002434/1]; Natural Environment Research Council; NERC [bas0100035]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</si>
  <si>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</si>
  <si>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authors are grateful to Alastair Wilson, Jerry Gilham, Tegan Newman and the other fieldworkers at Bird Island who helped with sampling of giant petrel diets, and to Dr Jose Xavier for identification of cephalopod beaks. Constructive comments from four anonymous reviewers substantially improved this work. W.F.M was supported by a NERC GW4+ Doctoral Training Partnership studentship from the Natural Environment Research Council (NE/L002434/1). This work represents a contribution to the Ecosystems component of the British Antarctic Survey Polar Science for Planet Earth Programme, funded by the Natural Environment Research Council.</t>
  </si>
  <si>
    <t>10.1007/s00227-021-03839-6</t>
  </si>
  <si>
    <t>QK0OR</t>
  </si>
  <si>
    <t>WOS:000620081600003</t>
  </si>
  <si>
    <t>Tian, JS; Du, J; Lu, ZC; Li, YQ; Li, DH; Han, JB; Wang, Z; Guan, XY</t>
  </si>
  <si>
    <t>Tian, Jiashen; Du, Jing; Lu, Zhichuang; Li, Yanqiu; Li, Duohui; Han, Jiabo; Wang, Zhen; Guan, Xiaoyan</t>
  </si>
  <si>
    <t>Differences in the fecal microbiota due to the sexual niche segregation of captive Gentoo penguins Pygoscelis papua</t>
  </si>
  <si>
    <t>Gentoo penguins pygoscelis papua; Gut microbiota; Sexual niche segregation; High-throughput sequencing; Gender; Sexual maturity</t>
  </si>
  <si>
    <t>The Gentoo penguin (Pygoscelis papua) is the most abundant penguin species in Antarctica and the sub-Antarctic islands due to its generalist foraging ecology. Previous studies indicate that the broad diet in Gentoo penguins mainly result from sexual niche segregation caused by its foraging ecology. However, differences in food metabolism and absorption between Gentoo penguins of different genders have been ignored. Gut microbiota of animals plays a vital role in the digestion, absorption, and metabolism of nutrients from diets. Here, captive Gentoo penguins were used to reveal the sexual niche segregation of gut microbiota. The results showed that both the composition and function of gut microbiota composition between male and female Gentoo penguins were significantly distinct. Moreover, a higher degree of individual differences in gut microbiota were found in female Gentoo penguins than in males and a greater impact of sexual maturity on gut microbiota was also observed in females. The family of Lachnospiraceae and C5-branched dibasic acid metabolism were more abundant in the gut microbiota of male Gentoo penguins, indicating a higher carbohydrate metabolic capacity in males. In contrast, Fusobacteriaceae and the d-alanine pathway were enriched in females, suggesting that female Gentoo penguins have a greater capacity to metabolize proteins. Because the captive Gentoo penguins were living in the same environment and feeding on consistent diets, the gender-related differences in gut microbiota observed in the present study could be a genetic characteristic of this species.</t>
  </si>
  <si>
    <t>[Tian, Jiashen; Du, Jing; Lu, Zhichuang; Han, Jiabo; Wang, Zhen; Guan, Xiaoyan] Liaoning Ocean &amp; Fisheries Sci Res Inst, Dalian Key Lab Conservat Biol Endangered Marine M, 50 Heishijiao Rd, Dalian, Liaoning, Peoples R China; [Li, Yanqiu] Dalian Sun Asia Tourism Holding Co Ltd, 608-6-8 Zhongshan Rd, Dalian, Liaoning, Peoples R China; [Li, Duohui] Dalian Modern Agr Prod Dev Serv Ctr, Dalian, Liaoning, Peoples R China</t>
  </si>
  <si>
    <t>Du, J (corresponding author), Liaoning Ocean &amp; Fisheries Sci Res Inst, Dalian Key Lab Conservat Biol Endangered Marine M, 50 Heishijiao Rd, Dalian, Liaoning, Peoples R China.</t>
  </si>
  <si>
    <t>xiaojing-victory@163.com</t>
  </si>
  <si>
    <t>yin, yue/JQV-9753-2023</t>
  </si>
  <si>
    <t>Foundation of Liaoning Province Department of Ocean and Fisheries [201812, 201822]; China Environment and Zoology Protection for Offshore Oil and Ocean Foundation [CF-MEEC/ER/2020-19, CF-MEEC/TR/2020-04]</t>
  </si>
  <si>
    <t>Foundation of Liaoning Province Department of Ocean and Fisheries; China Environment and Zoology Protection for Offshore Oil and Ocean Foundation</t>
  </si>
  <si>
    <t>Sequencing service was provided by Personal Biotechnology Co., Ltd. Shanghai, China. This work was supported by the Foundation of Liaoning Province Department of Ocean and Fisheries (Grant Nos. 201812, 201822) and the China Environment and Zoology Protection for Offshore Oil and Ocean Foundation (Grant Nos. CF-MEEC/ER/2020-19, CF-MEEC/TR/2020-04).</t>
  </si>
  <si>
    <t>10.1007/s00300-021-02812-9</t>
  </si>
  <si>
    <t>WOS:000617082000003</t>
  </si>
  <si>
    <t>Krafft, BA; Krag, LA</t>
  </si>
  <si>
    <t>Krafft, Bjorn A.; Krag, Ludvig A.</t>
  </si>
  <si>
    <t>Antarctic krill (Euphausia superba) exhibit positive phototaxis to white LED light</t>
  </si>
  <si>
    <t>Krill behavior; Light fishing; Low impact fishing; Scientific sampling of krill</t>
  </si>
  <si>
    <t>The use of light-emitting diodes (LEDs) is increasingly used in fishing gears and its application is known to trigger negative or positive phototaxis (i.e., swimming away or toward the light source, respectively) for some marine species. However, our understanding of how artificial light influences behavior is poorly understood for many species and most studies can be characterized as trial and error experiments. In this study, we tested whether exposure to white LED light could initiate a phototactic response in Antarctic krill (Euphausia superba). Trawl-caught krill were used in a controlled artificial light exposure experiment conducted onboard a vessel in the Southern Ocean. The experiment was conducted in chambers with dark and light zones in which krill could move freely. Results showed that krill displayed a significant positive phototaxis. Understanding this behavioral response is relevant to development of krill fishing technology to improve scientific sampling gear, improve harvest efficiency, and reduce potential unwanted bycatch.</t>
  </si>
  <si>
    <t>[Krafft, Bjorn A.] Inst Marine Res, Nordnes, POB 1870, N-5870 Bergen, Norway; [Krag, Ludvig A.] Tech Univ Denmark, DK-9850 Hirtshals, Denmark</t>
  </si>
  <si>
    <t>Institute of Marine Research - Norway; Technical University of Denmark</t>
  </si>
  <si>
    <t>Krafft, BA (corresponding author), Inst Marine Res, Nordnes, POB 1870, N-5870 Bergen, Norway.</t>
  </si>
  <si>
    <t>bjorn.krafft@hi.no</t>
  </si>
  <si>
    <t>Krag, Ludvig Ahm/0000-0002-1531-1499</t>
  </si>
  <si>
    <t>Institute of Marine Research</t>
  </si>
  <si>
    <t>Open access funding provided by Institute of Marine Research.</t>
  </si>
  <si>
    <t>10.1007/s00300-021-02814-7</t>
  </si>
  <si>
    <t>WOS:000617082000001</t>
  </si>
  <si>
    <t>Galera, H; Rudak, A; Pielech, M; Znój, A; Chwedorzewska, KJ; Wódkiewicz, M</t>
  </si>
  <si>
    <t>Galera, Halina; Rudak, Agnieszka; Pielech, Malgorzata; Znoj, Anna; Chwedorzewska, Katarzyna J.; Wodkiewicz, Maciej</t>
  </si>
  <si>
    <t>Influence of the population spatial structure on seed rain distribution of an invasive plant under harsh environment</t>
  </si>
  <si>
    <t>Antarctica; Invasive species; Poa annua; Seed dispersal; Seed rain; Astroturf seed traps; Soil seed bank</t>
  </si>
  <si>
    <t>Distribution of seeds of an invasive species is important for the spread of the invasion and for any directed eradication action. This distribution is driven by seed rain. We studied the influence of tussocks on the spatial pattern of seed rain and resulting population spatial pattern of an invasive Antarctic Poa annua L. population. Our hypothesis was that the tussocks trap wind-dispersed seeds. We set 40 artificial grass seed traps simulating tussocks and 40 soil seed traps (control) in the area occupied by the population. The traps were exposed for a total of 3 years and exchanged periodically. We assessed the seed bank in soil extracted for installation of our control traps. Seed number was determined by the germination method. We did not find any significant difference between the types of traps regarding the number of trapped seeds and the number of traps containing seeds, however trapping events were greater for artificial grass traps. The average size of the seed rain was 13.5 seeds m(-2) year(-1) and the size of the soil seed bank was 216 seeds m(-2). We estimated that accumulation of the soil seed bank required around 16 years. Artificial grass discs may be more efficient than bare soil in accumulating seeds, therefore grass tussocks may influence the spatial population structure not only through local seed deposition, but also by intercepting seeds dispersed by wind. Our research further supports, that directed soil removal from underneath the tussocks is the most efficient eradication method of P. annua in Antarctica.</t>
  </si>
  <si>
    <t>[Galera, Halina; Rudak, Agnieszka; Pielech, Malgorzata; Wodkiewicz, Maciej] Univ Warsaw, Fac Biol, Biol &amp; Chem Res Ctr, Zwirki &amp; Wigury 101, PL-02089 Warsaw, Poland; [Znoj, Anna] PAS, Inst Biochem &amp; Biophys, Dept Antarctic Biol, Pawinskiego 5a, PL-02106 Warsaw, Poland; [Chwedorzewska, Katarzyna J.] Warsaw Univ Life Sci SGGW, Dept Agron, Nowoursynowska 159, PL-02766 Warsaw, Poland</t>
  </si>
  <si>
    <t>University of Warsaw; Polish Academy of Sciences; Institute of Biochemistry &amp; Biophysics - Polish Academy of Sciences; Warsaw University of Life Sciences</t>
  </si>
  <si>
    <t>Rudak, A (corresponding author), Univ Warsaw, Fac Biol, Biol &amp; Chem Res Ctr, Zwirki &amp; Wigury 101, PL-02089 Warsaw, Poland.</t>
  </si>
  <si>
    <t>a.rudak@biol.uw.edu.pl</t>
  </si>
  <si>
    <t>Galera, Halina/IUQ-1030-2023; Znój, Anna/AAX-3819-2021; Galera, Halina/V-5347-2018; Chwedorzewska, Katarzyna J/A-9480-2008; Rudak, Agnieszka/ISS-5183-2023; Chwedorzewska, Katarzyna/M-9721-2019</t>
  </si>
  <si>
    <t>Znój, Anna/0000-0002-8424-6707; Galera, Halina/0000-0001-6983-0908; Rudak, Agnieszka/0000-0002-9638-7726; Chwedorzewska, Katarzyna/0000-0001-6860-3666</t>
  </si>
  <si>
    <t>National Science Centre [2013/09/B/NZ8/03293]; EU European Regional Development Fund under the Innovative Economy Operational Program</t>
  </si>
  <si>
    <t>National Science Centre(National Science Centre, Poland); EU European Regional Development Fund under the Innovative Economy Operational Program</t>
  </si>
  <si>
    <t>This research was supported by The National Science Centre, Grant No. 2013/09/B/NZ8/03293. This study was carried out at the Biological and Chemical Research Centre, University of Warsaw, established within a project co-financed by the EU European Regional Development Fund under the Innovative Economy Operational Program, 2007-2013.</t>
  </si>
  <si>
    <t>10.1007/s00300-021-02808-5</t>
  </si>
  <si>
    <t>WOS:000617082000002</t>
  </si>
  <si>
    <t>Hospitaleche, CA; Paulina-Carabajal, A; Yury-Yáñez, R</t>
  </si>
  <si>
    <t>Hospitaleche, Carolina Acosta; Paulina-Carabajal, Ariana; Yury-Yanez, Roberto</t>
  </si>
  <si>
    <t>The skull of the Miocene Spheniscus urbinai (Aves, Sphenisciformes): osteology, brain morphology, and the cranial pneumatic systems</t>
  </si>
  <si>
    <t>JOURNAL OF ANATOMY</t>
  </si>
  <si>
    <t>cranial endocast; Neogene; osteology; paranasal pneumaticity; paratympanic pneumaticity; penguins; skull pneumaticity; South America and Antarctica</t>
  </si>
  <si>
    <t>Spheniscus urbinai represents one of four extinct Spheniscus species from the Cenozoic of southern South America, known from several poorly described diversely complete skulls and postcranial elements. Here, we present a review of the cranial osteology of all known specimens (collected in Argentina, Chile, and Peru), including a paleoneurological analysis using CT scans, and an exploration of its cranial pneumaticity compared to other extinct and living seabirds. Our results show that among Spheniscus species, S. urbinai exhibits slightly greater cranial pneumaticity than the living species. Additionally, we confirm previous findings which indicate that the marked reduction of cranial pneumaticity-which is characteristic of living penguins-occurred early during the Eocene (as observed in the Antarctic penguin MLP 12-I-20-1, but not in the coeval Anthropornis).</t>
  </si>
  <si>
    <t>[Hospitaleche, Carolina Acosta] Univ Nacl La Plata, Fac Ciencias Nat &amp; Museo, Museo La Plata, CONICET,Div Paleontol Vertebrados, La Plata, Argentina; [Paulina-Carabajal, Ariana] Univ Nacl Comahue, CONICET, Inst Invest Biodiversidad &amp; Medioambiente, San Carlos De Bariloche, Rio Negro, Argentina; [Yury-Yanez, Roberto] Univ Chile, Fac Ciencias, Dept Ciencias Ecol, Lab Zool Vertebrados, Santiago, Chile</t>
  </si>
  <si>
    <t>National University of La Plata; Museo La Plata; Consejo Nacional de Investigaciones Cientificas y Tecnicas (CONICET); Consejo Nacional de Investigaciones Cientificas y Tecnicas (CONICET); Universidad Nacional del Comahue; Universidad de Chile</t>
  </si>
  <si>
    <t>Hospitaleche, CA (corresponding author), Univ Nacl La Plata, Fac Ciencias Nat &amp; Museo, Museo La Plata, CONICET,Div Paleontol Vertebrados, La Plata, Argentina.</t>
  </si>
  <si>
    <t>acostacaro@fcnym.unlp.edu.ar</t>
  </si>
  <si>
    <t>Acosta Hospitaleche, Carolina/E-5740-2017</t>
  </si>
  <si>
    <t>Acosta Hospitaleche, Carolina/0000-0002-2614-1448; Paulina Carabajal, Ariana/0000-0002-7820-4770</t>
  </si>
  <si>
    <t>Agencia Nacional de Promocion Cientifica y Tecnologica [PICT 2016--0481]; La Plata University [N838]</t>
  </si>
  <si>
    <t>Agencia Nacional de Promocion Cientifica y Tecnologica(ANPCyTSpanish Government); La Plata University</t>
  </si>
  <si>
    <t>Agencia Nacional de Promocion Cientifica y Tecnologica PICT 2016--0481 (to APC) and La Plata University N838 (to CAH).</t>
  </si>
  <si>
    <t>0021-8782</t>
  </si>
  <si>
    <t>1469-7580</t>
  </si>
  <si>
    <t>J ANAT</t>
  </si>
  <si>
    <t>J. Anat.</t>
  </si>
  <si>
    <t>10.1111/joa.13403</t>
  </si>
  <si>
    <t>Anatomy &amp; Morphology</t>
  </si>
  <si>
    <t>SR2JV</t>
  </si>
  <si>
    <t>WOS:000617058700001</t>
  </si>
  <si>
    <t>Vargas-Chacoff, L; Dann, F; Paschke, K; Oyarzún-Salazar, R; Nualart, D; Martínez, D; Wilson, JM; Guerreiro, PM; Navarro, JM</t>
  </si>
  <si>
    <t>Vargas-Chacoff, Luis; Dann, Francisco; Paschke, Kurt; Oyarzun-Salazar, Ricardo; Nualart, Daniela; Martinez, Danixa; Wilson, Jonathan M.; Guerreiro, Pedro M.; Navarro, Jorge M.</t>
  </si>
  <si>
    <t>Freshening effect on the osmotic response of the Antarctic spiny plunderfish Harpagifer antarcticus</t>
  </si>
  <si>
    <t>JOURNAL OF FISH BIOLOGY</t>
  </si>
  <si>
    <t>Antarctic fish; freshening; osmoregulation; salinity</t>
  </si>
  <si>
    <t>GILTHEAD SEA BREAM; OSMOREGULATORY RESPONSE; NA+/K+/2CL(-) COTRANSPORTER; WARM-ACCLIMATION; WATER TRANSPORT; NA+/K+-ATPASE; SALINITY; FISH; TELEOST; EXPRESSION</t>
  </si>
  <si>
    <t>Global warming is having a significant impact around the world, modifying environmental conditions in many areas, including in zones that have been thermally stable for thousands of years, such as Antarctica. Stenothermal sedentary intertidal fish species may suffer due to warming, notably if this causes water freshening from increased freshwater inputs. Acute decreases in salinity, from 33 down to 5, were used to assess osmotic responses to environmental salinity fluctuations in Antarctic spiny plunderfish Harpagifer antarcticus, in particular to evaluate if H. antarcticus is able to cope with freshening and to describe osmoregulatory responses at different levels (haematological variables, muscle water content, gene expression, NKA activity). H. antarcticus were acclimated to a range of salinities (33 as control, 20, 15, 10 and 5) for 1 week. At 5, plasma osmolality and calcium concentration were both at their lowest, while plasma cortisol and percentage muscle water content were at their highest. At the same salinity, gill and intestine Na+-K+-ATPase (NKA) activities were at their lowest and highest, respectively. In kidney, NKA activity was highest at intermediate salinities (15 and 10). The salinity-dependent NKA mRNA expression patterns differed depending on the tissue. Marked changes were also observed in the expression of genes coding membrane proteins associated with ion and water transport, such as NKCC2, CFTR and AQP8, and in the expression of mRNA for the regulatory hormone prolactin (PRL) and its receptor (PRLr). Our results demonstrate that freshening causes osmotic imbalances in H. antarcticus, apparently due to reduced capacity of both transport and regulatory mechanisms of key organs to maintain homeostasis. This has implications for fish species that have evolved in stable environmental conditions in the Antarctic, now threatened by climate change.</t>
  </si>
  <si>
    <t>[Vargas-Chacoff, Luis; Dann, Francisco; Oyarzun-Salazar, Ricardo; Nualart, Daniela; Martinez, Danixa; Navarro, Jorge M.] Univ Austral Chile, Inst Ciencias Marinas &amp; Limnol, Valdivia, Chile; [Vargas-Chacoff, Luis; Dann, Francisco; Paschke, Kurt; Oyarzun-Salazar, Ricardo; Navarro, Jorge M.] Univ Austral Chile, Ctr Fondap Invest Altas Latitudes, Valdivia, Chile; [Paschke, Kurt] Univ Austral Chile, Inst Acuicultura, Puerto Montt, Chile; [Oyarzun-Salazar, Ricardo] Univ Austral Chile, Escuela Graduados Programa Doctorado Ciencias Acu, Puerto Montt, Chile; [Wilson, Jonathan M.] Wilfrid Laurier Univ, Waterloo, ON, Canada; [Wilson, Jonathan M.] Ctr Interdisciplinar Invest Marinha &amp; Ambiental, Matosinhos, Portugal; [Guerreiro, Pedro M.] Univ Algarve, Ctr Ciencias Mar, Faro, Portugal</t>
  </si>
  <si>
    <t>Universidad Austral de Chile; Universidad Austral de Chile; Universidad Austral de Chile; Universidad Austral de Chile; Wilfrid Laurier University; Universidade do Porto; Universidade do Algarve</t>
  </si>
  <si>
    <t>Vargas-Chacoff, L (corresponding author), Univ Austral Chile, Inst Ciencias Marinas &amp; Limnol, Valdivia, Chile.;Vargas-Chacoff, L (corresponding author), Univ Austral Chile, Ctr Fondap Invest Altas Latitudes, Valdivia, Chile.</t>
  </si>
  <si>
    <t>luis.vargas@uach.cl</t>
  </si>
  <si>
    <t>Wilson, Jonathan/I-6071-2012; Guerreiro, Pedro Miguel Mendes/L-1826-2017; Vargas-Chacoff, Luis LVCh/A-5855-2012; Oyarzún-Salazar, Ricardo/HGU-6035-2022</t>
  </si>
  <si>
    <t>Wilson, Jonathan/0000-0003-3681-1166; Guerreiro, Pedro Miguel Mendes/0000-0001-7272-2000; Oyarzun-Salazar, Ricardo/0000-0003-3177-399X; MARTINEZ GONZALEZ, DANIXA PAMELA/0000-0002-7363-419X; Vargas-Chacoff, Luis/0000-0002-0497-2582</t>
  </si>
  <si>
    <t>Chilean grants FONDAP-IDEAL [15150003]; FONDECYT REGULAR grant [1160877]; VIDCA-UACH; INACH; FCT - Portuguese Foundation for Science and Technology [UIDB/04326/2020, PTDC/BIA-ANM/3484/2014]; Fundação para a Ciência e a Tecnologia [PTDC/BIA-ANM/3484/2014] Funding Source: FCT</t>
  </si>
  <si>
    <t>Chilean grants FONDAP-IDEAL; FONDECYT REGULAR grant(Comision Nacional de Investigacion Cientifica y Tecnologica (CONICYT)CONICYT FONDECYT); VIDCA-UACH; INACH; FCT - Portuguese Foundation for Science and Technology(Fundacao para a Ciencia e a Tecnologia (FCT)); Fundação para a Ciência e a Tecnologia(Fundacao para a Ciencia e a Tecnologia (FCT))</t>
  </si>
  <si>
    <t>This study received support from Chilean grants FONDAP-IDEAL 15150003, FONDECYT REGULAR grant no.1160877, VIDCA-UACH and INACH and from the FCT - Portuguese Foundation for Science and Technology through project UIDB/04326/2020 and PTDC/BIA-ANM/3484/2014.</t>
  </si>
  <si>
    <t>0022-1112</t>
  </si>
  <si>
    <t>1095-8649</t>
  </si>
  <si>
    <t>J FISH BIOL</t>
  </si>
  <si>
    <t>J. Fish Biol.</t>
  </si>
  <si>
    <t>10.1111/jfb.14676</t>
  </si>
  <si>
    <t>TR5VA</t>
  </si>
  <si>
    <t>WOS:000617031600001</t>
  </si>
  <si>
    <t>Liang, D; Guo, HD; Zhang, L; Cheng, Y; Zhu, Q; Liu, XT</t>
  </si>
  <si>
    <t>Liang, Dong; Guo, Huadong; Zhang, Lu; Cheng, Yun; Zhu, Qi; Liu, Xuting</t>
  </si>
  <si>
    <t>Time-series snowmelt detection over the Antarctic using Sentinel-1 SAR images on Google Earth Engine</t>
  </si>
  <si>
    <t>Snowmelt; SAR; Big Earth Data; Google Earth Engine; Antarctica; Remote sensing; Climate change</t>
  </si>
  <si>
    <t>C ICE SHELF; SIR-C/X-SAR; SURFACE MELT; MICROWAVE RADIOMETERS; SUMMER MELT; WET-SNOW; ZONES; WATER; DRY; VARIABILITY</t>
  </si>
  <si>
    <t>The Antarctic ice sheet is an important mass of glacier ice. It is particularly sensitive to climate change, and the flow of Antarctica?s inland glaciers into the sea, accelerated by collapsing ice shelves, threatens global sea level rise. The amount of snowmelt on the surface of the ice sheet is an important metric for accurately assessing surface material loss and albedo change, which affect the stability of the ice sheet. This study proposes a framework for quickly extracting time-series freeze-thaw information at the continental scale and 40 m resolution by taking advantage of the huge amount of synthetic aperture radar (SAR) data acquired by Sentinel-1 satellites over the Antarctic, available for rapid processing on Google Earth Engine. Co-orbit normalization is used in the proposed framework to establish a unified standard of judgement by reducing the variations in the backscattering coefficient introduced by observation geometry, terrain fluctuations, and melt conditions between images acquired at different times. We implemented the framework to produce a massive dataset of both monthly freeze-thaw information over the Antarctic and higher temporal resolution freeze-thaw information for the Larsen C ice shelf from 2015 to 2019, with overall accuracies of 93% verified by a manual visual interpretation method and 84% evaluated from automatic weather station temperatures. Due to its effectiveness and robustness, the framework can be used to analyse the spatiotemporal distribution of snowmelt, the change in melt area, and anomalous melt events in Antarctica, especially those in Larsen C caused by foehn wind.</t>
  </si>
  <si>
    <t>[Liang, Dong; Guo, Huadong; Zhang, Lu; Cheng, Yun; Zhu, Qi; Liu, Xuting] Chinese Acad Sci, Aerosp Informat Res Inst, Key Lab Digital Earth Sci, 9 Dengzhuang South Rd, Beijing 10094, Peoples R China; [Liang, Dong; Guo, Huadong; Zhang, Lu; Zhu, Qi; Liu, Xuting] Univ Chinese Acad Sci, Beijing, Peoples R China</t>
  </si>
  <si>
    <t>Chinese Academy of Sciences; Aerospace Information Research Institute, CAS; Chinese Academy of Sciences; University of Chinese Academy of Sciences, CAS</t>
  </si>
  <si>
    <t>Zhang, L (corresponding author), Chinese Acad Sci, Aerosp Informat Res Inst, Key Lab Digital Earth Sci, 9 Dengzhuang South Rd, Beijing 10094, Peoples R China.</t>
  </si>
  <si>
    <t>zhanglu@aircas.ac.cn</t>
  </si>
  <si>
    <t>zhang, lu/GRO-2969-2022; Lei, Ming/JAD-1050-2023; Dong, Liang/JZD-4605-2024; Liang, Dong/F-8081-2014; Guo, Huadong/G-9388-2017</t>
  </si>
  <si>
    <t>Liang, Dong/0000-0001-9147-7792; Guo, Huadong/0000-0003-0337-1862</t>
  </si>
  <si>
    <t>National Natural Science Foundation of China [41876226]; Strategic Priority Research Program of the Chinese Academy of Sciences [XDA19030000, XDA19090000]</t>
  </si>
  <si>
    <t>National Natural Science Foundation of China(National Natural Science Foundation of China (NSFC)); Strategic Priority Research Program of the Chinese Academy of Sciences(Chinese Academy of Sciences)</t>
  </si>
  <si>
    <t>The authors are grateful for helpful comments from many researchers and colleagues. This work was supported by the National Natural Science Foundation of China (grant number 41876226), and the Strategic Priority Research Program of the Chinese Academy of Sciences (grant numbers XDA19030000 and XDA19090000).</t>
  </si>
  <si>
    <t>10.1016/j.rse.2021.112318</t>
  </si>
  <si>
    <t>RB9OH</t>
  </si>
  <si>
    <t>WOS:000632433700003</t>
  </si>
  <si>
    <t>Seco, J; Aparício, S; Brierley, AS; Bustamante, P; Ceia, FR; Coelho, JP; Philips, RA; Saunders, RA; Fielding, S; Gregory, S; Matias, R; Pardal, MA; Pereira, E; Stowasser, G; Tarling, GA; Xavier, JC</t>
  </si>
  <si>
    <t>Seco, Jose; Aparicio, Sara; Brierley, Andrew S.; Bustamante, Paco; Ceia, Filipe R.; Coelho, Joao P.; Philips, Richard A.; Saunders, Ryan A.; Fielding, Sophie; Gregory, Susan; Matias, Ricardo; Pardal, Miguel A.; Pereira, Eduarda; Stowasser, Gabriele; Tarling, Geraint A.; Xavier, Jose C.</t>
  </si>
  <si>
    <t>Mercury biomagnification in a Southern Ocean food web</t>
  </si>
  <si>
    <t>Trophic magnification slope; Stable isotopes; Contaminants; Antarctica; Polar</t>
  </si>
  <si>
    <t>Biomagnification of mercury (Hg) in the Scotia Sea food web of the Southern Ocean was examined using the stable isotope ratios of nitrogen (delta N-15) and carbon (delta C-13) as proxies for trophic level and feeding habitat, respectively. Total Hg and stable isotopes were measured in samples of particulate organic matter (POM), zooplankton, squid, myctophid fish, notothenioid fish and seabird tissues collected in two years (austral summers 2007/08 and 2016/17). Overall, there was extensive overlap in delta C-13 values across taxonomic groups suggesting similarities in habitats, with the exception of the seabirds, which showed some differences, possibly due to the type of tissue analysed (feathers instead of muscle). delta N-15 showed increasing enrichment across groups in the order POM to zooplankton to squid to myctophid fish to notothenioid fish to seabirds. There were significant differences in delta N-15 and delta C-13 values among species within taxonomic groups, reflecting inter-specific variation in diet. Hg concentrations increased with trophic level, with the lowest values in POM (0.0005 +/- 0.0002 mg g(-1) dw) and highest values in seabirds (3.88 +/- 2.41 mg g(-1) in chicks of brown skuas Stercorarius antarcticus). Hg concentrations tended to be lower in 2016/17 than in 2007/08 for mid-trophic level species (squid and fish), but the opposite was found for top predators (i.e. seabirds), which had higher levels in the 2016/17 samples. This may reflect an interannual shift in the Scotia Sea marine food web, caused by the reduced availability of a key prey species, Antarctic krill Euphausia superba. In 2016/17, seabirds would have been forced to feed on higher trophic-level prey, such as myctophids, that have higher Hg burdens. These results suggest that changes in the food web are likely to affect the pathway of mercury to Southern Ocean top predators. (C) 2021 Elsevier Ltd. All rights reserved.</t>
  </si>
  <si>
    <t>[Seco, Jose; Pereira, Eduarda] Univ Aveiro, Dept Chem, P-3810193 Aveiro, Portugal; [Seco, Jose; Pereira, Eduarda] Univ Aveiro, CESAM REQUIMTE, P-3810193 Aveiro, Portugal; [Seco, Jose; Brierley, Andrew S.] Univ St Andrews, Gatty Marine Lab, Scottish Oceans Inst, Pelag Ecol Res Grp, St Andrews KY16 8LB, Fife, Scotland; [Aparicio, Sara] Univ Nova Lisboa, Fac Ciencias &amp; Tecnol, Caparica, Portugal; [Bustamante, Paco] La Rochelle Univ, Littoral Environm &amp; Soc LIENSs, UMR CNRS 7266, 2 Rue Olympe Gouges, F-17000 La Rochelle, France; [Bustamante, Paco] Inst Univ France IUF, 1 Rue Descartes, F-75005 Paris, France; [Ceia, Filipe R.; Tarling, Geraint A.; Xavier, Jose C.] Univ Coimbra, Marine &amp; Environm Sci Ctr, Dept Life Sci, P-3000456 Coimbra, Portugal; [Coelho, Joao P.] Univ Aveiro, Dept Biol, CESAM Ctr Environm &amp; Marine Studies, Campus Univ Santiago, P-3810193 Aveiro, Portugal; [Philips, Richard A.; Saunders, Ryan A.; Fielding, Sophie; Gregory, Susan; Matias, Ricardo; Stowasser, Gabriele; Xavier, Jose C.] NERC, British Antarctic Survey, Madingley Rd, Cambridge CB3 0ET, England; [Gregory, Susan] Govt South Georgia &amp; South Sandwich Isl, Stanley, Falkland Island; [Pardal, Miguel A.] Univ Coimbra, Dept Life Sci, CFE Ctr Funct Ecol, P-3000456 Coimbra, Portugal</t>
  </si>
  <si>
    <t>Universidade de Aveiro; Universidade de Aveiro; University of St Andrews; Universidade Nova de Lisboa; Institut Universitaire de France; Universidade de Coimbra; Universidade de Aveiro; UK Research &amp; Innovation (UKRI); Natural Environment Research Council (NERC); NERC British Antarctic Survey; Universidade de Coimbra</t>
  </si>
  <si>
    <t>Seco, J (corresponding author), Univ Aveiro, Dept Chem, P-3810193 Aveiro, Portugal.;Seco, J (corresponding author), Univ Aveiro, CESAM REQUIMTE, P-3810193 Aveiro, Portugal.</t>
  </si>
  <si>
    <t>jose@uc.pt</t>
  </si>
  <si>
    <t>Matias, Ricardo/JNS-8750-2023; Bustamante, Paco/G-5833-2011; Xavier, José/KFB-6739-2024; Fielding, Sophie/E-5137-2012; Coelho, João Pedro/C-1699-2008; Ceia, Filipe R./A-2196-2012; Brierley, Andrew/G-8019-2011; Pardal, Miguel Angelo/C-3984-2009</t>
  </si>
  <si>
    <t>Matias, Ricardo/0000-0002-3236-1551; Bustamante, Paco/0000-0003-3877-9390; Coelho, João Pedro/0000-0003-1975-8308; Ceia, Filipe R./0000-0002-5470-5183; Brierley, Andrew/0000-0002-6438-6892; Aparicio, Sara/0000-0001-7706-7084; Pardal, Miguel Angelo/0000-0001-6048-7007; /0000-0002-9621-6660; Seco, Jose/0000-0002-7957-6488</t>
  </si>
  <si>
    <t>Portuguese Foundation for the Science and Technology (FCT/MCTES) [SRFH/PD/BD/113487]; CESAM [UIDP/50017/2020+UIDB/50017/2020]; Institut Universitaire de France; Natural Environment Research Council, UK Research and Innovation; strategic program of MARE [MARE -UID/MAR/04292/2020]; NERC [bas0100035] Funding Source: UKRI</t>
  </si>
  <si>
    <t>Portuguese Foundation for the Science and Technology (FCT/MCTES)(Fundacao para a Ciencia e a Tecnologia (FCT)); CESAM; Institut Universitaire de France; Natural Environment Research Council, UK Research and Innovation; strategic program of MARE; NERC(UK Research &amp; Innovation (UKRI)Natural Environment Research Council (NERC))</t>
  </si>
  <si>
    <t>We thank the officers, crew and scientists aboard RSS James Clark Ross during cruises JR177 and JR16003 for their assistance in collecting samples. We also thank Giulia Pompeo for her help with the Hg analysis. We are grateful to G. Guillou from the Plateforme Analyses Isotopiques of LIENSs for his assistance during stable isotope analyses at the University of La Rochelle. We acknowledge the financial support of the Portuguese Foundation for the Science and Technology (FCT/MCTES) through a PhD grant to Jose Seco (SRFH/PD/BD/113487) and CESAM (UIDP/50017/2020+UIDB/50017/2020), through national funds. The Institut Universitaire de France is acknowledged for its support to P. Bustamante as a Senior Member. This research was also within strategic program of MARE (MARE -UID/MAR/04292/2020). The work is a contribution to the Ecosystems component of the British Antarctic Survey Polar Science for Planet Earth Programme, funded by the Natural Environment Research Council, which is part of UK Research and Innovation.</t>
  </si>
  <si>
    <t>10.1016/j.envpol.2021.116620</t>
  </si>
  <si>
    <t>Green Accepted, Green Submitted, Green Published</t>
  </si>
  <si>
    <t>WOS:000625380600033</t>
  </si>
  <si>
    <t>Rojas, J; Duprat, J; Engrand, C; Dartois, E; Delauche, L; Godard, M; Gounelle, M; Carrillo-Sánchez, JD; Pokorny, P; Plane, JMC</t>
  </si>
  <si>
    <t>Rojas, J.; Duprat, J.; Engrand, C.; Dartois, E.; Delauche, L.; Godard, M.; Gounelle, M.; Carrillo-Sanchez, J. D.; Pokorny, P.; Plane, J. M. C.</t>
  </si>
  <si>
    <t>The micrometeorite flux at Dome C (Antarctica), monitoring the accretion of extraterrestrial dust on Earth</t>
  </si>
  <si>
    <t>Antarctic micrometeorites; cosmic spherules; interplanetary dust particles; extraterrestrial flux; atmospheric entry; zodiacal cloud</t>
  </si>
  <si>
    <t>EAST ANTARCTICA; COSMIC DUST; NITROGEN; DENSITY</t>
  </si>
  <si>
    <t>The annual flux of extraterrestrial material on Earth is largely dominated by sub-millimetre particles. The mass distribution and absolute value of this cosmic dust flux at the Earth's surface is however still uncertain due to the difficulty in monitoring both the collection efficiency and the exposure parameter (i.e. the area-time product in m(2).yr). In this paper, we present results from micrometeorite collections originating from the vicinity of the CONCORDIA Station located at Dome C (Antarctica), where we performed several independent melts of large volumes of ultra-clean snow. The regular precipitation rate and the exceptional cleanliness of the snow from central Antarctica allow a unique control on both the exposure parameter and the collection efficiency. A total of 1280 unmelted micrometeorites (uMMs) and 808 cosmic spherules (CSs) with diameters ranging from 30 to 350 mu m were identified. Within that size range, we measured mass fluxes of 3.0 g.m(-2).yr(-1) for uMMs and 5.6 mu g.m(-2).yr(-1) for CSs. Extrapolated to the global flux of particles in the 12-700 um diameter range, the mass flux of dust at Earth's surface is 5, 200 +/- (1500)(1200) tons.yr(-1) (1,600 +/- 500 and 3, 600 +/-(1000)(700) tons.yr(-1) of uMMs and CSs, respectively). We indicate the statistical uncertainties expected for collections with exposure parameters in the range of 0.1 up to 10(5)m(2).yr. In addition, we estimated the flux of altered and unaltered carbon carried by heated and un-heated particles at Earth's surface. The mass distributions of CSs and uMMs larger than 100 mu m are fairly well reproduced by the CABMOD-ZoDy model that includes melting and evaporation during atmospheric entry of the interplanetary dust flux. These numerical simulations suggest that most of the uMMs and CSs originate from Jupiter family comets and a minor part from the main asteroid belt. The total dust mass input before atmospheric entry is estimated at 15,000 tons.yr(-1). The existing discrepancy between the flux data and the model for uMMs below 100 mu m suggests that small fragile uMMs may evade present day collections, and/or that the amount of small interplanetary particles at 1 AU may be smaller than expected. (C) 2021 The Authors. Published by Elsevier B.V.</t>
  </si>
  <si>
    <t>[Rojas, J.; Duprat, J.; Engrand, C.; Delauche, L.; Godard, M.] Univ Paris Saclay, CNRS, IN2P3, IJCLab, F-91405 Orsay, France; [Duprat, J.; Gounelle, M.] Sorbonne Univ, IMPMC, CNRS, UMR7590,MNHN, 57 Rue Cuvier, F-75005 Paris, France; [Dartois, E.; Godard, M.] Univ Paris Saclay, CNRS, ISMO, Bat 520, F-91405 Orsay, France; [Carrillo-Sanchez, J. D.; Pokorny, P.] Catholic Univ Amer, Dept Phys, 620 Michigan Ave NE, Washington, DC 20064 USA; [Carrillo-Sanchez, J. D.] NASA, Goddard Space Flight Ctr, ITM Phys Lab, Code 675,8800 Greenbelt Rd, Greenbelt, MD 20771 USA; [Pokorny, P.] NASA, Goddard Space Flight Ctr, Astrophys Sci Div, Code 667,8800 Greenbelt Rd, Greenbelt, MD USA; [Plane, J. M. C.] Univ Leeds, Sch Chem, Leeds LS2 9JT, W Yorkshire, England</t>
  </si>
  <si>
    <t>Universite Paris Saclay; Universite Paris Cite; Centre National de la Recherche Scientifique (CNRS); CNRS - National Institute of Nuclear and Particle Physics (IN2P3); Centre National de la Recherche Scientifique (CNRS); CNRS - Institute of Physics (INP); Museum National d'Histoire Naturelle (MNHN); Institut de Recherche pour le Developpement (IRD); Sorbonne Universite; Universite Paris Cite; Universite Paris Saclay; Centre National de la Recherche Scientifique (CNRS); Universite Paris Cite; Catholic University of America; National Aeronautics &amp; Space Administration (NASA); NASA Goddard Space Flight Center; National Aeronautics &amp; Space Administration (NASA); NASA Goddard Space Flight Center; University of Leeds</t>
  </si>
  <si>
    <t>Rojas, J (corresponding author), Univ Paris Saclay, CNRS, IN2P3, IJCLab, F-91405 Orsay, France.</t>
  </si>
  <si>
    <t>Julien.Rojas@csnsm.in2p3.fr</t>
  </si>
  <si>
    <t>Godard, Marie/H-6451-2011; Plane, John/C-7444-2015</t>
  </si>
  <si>
    <t>Godard, Marie/0000-0002-7276-4021; Rojas, Julien/0000-0002-8389-6126; Carrillo Sanchez, Juan Diego/0000-0001-8230-4048; Plane, John/0000-0003-3648-6893; Duprat, Jean/0000-0001-7408-3089; Pokorny, Petr/0000-0002-5667-9337; Dartois, Emmanuel/0000-0003-1197-7143</t>
  </si>
  <si>
    <t>CONCORDIA Station [1120]; French Polar Institute (IPEV); ANR [COMETOR 18-CE31-0011]; Region Ile de France (DIMACAV); PNP/INSU; CNES; IN2P3; Labex P2IO; UK NERC [NE/P001815/1]; NASA ISFM awards; Region Ile de France (ACAV+); IPEV</t>
  </si>
  <si>
    <t>CONCORDIA Station; French Polar Institute (IPEV); ANR(Agence Nationale de la Recherche (ANR)); Region Ile de France (DIMACAV)(Region Ile-de-France); PNP/INSU; CNES(Centre National D'etudes Spatiales); IN2P3; Labex P2IO; UK NERC(UK Research &amp; Innovation (UKRI)Natural Environment Research Council (NERC)); NASA ISFM awards; Region Ile de France (ACAV+); IPEV</t>
  </si>
  <si>
    <t>This work was performed at CONCORDIA Station (project #1120) and was supported by the French Polar Institute (IPEV). We are very grateful to IPEV for financial support and to IPEV and PNRA staff for logistical help. E. Le Meur kindly provided us helpful information on accumulation rates central Antarctic regions. We thank the anonymous referees for their thoughtful and constructive suggestions. This work was financially supported by ANR (Project COMETOR 18-CE31-0011), Region Ile de France (DIMACAV and ACAV+), PNP/INSU, CNES, IN2P3 and Labex P2IO. The CABMOD-ZoDy work was supported by the UK NERC (Grant Number NE/P001815/1) and NASA ISFM awards.</t>
  </si>
  <si>
    <t>10.1016/j.epsl.2021.116794</t>
  </si>
  <si>
    <t>QT3ZG</t>
  </si>
  <si>
    <t>WOS:000626527700008</t>
  </si>
  <si>
    <t>Lipscomb, WH; Leguy, GR; Jourdain, NC; Asay-Davis, X; Seroussi, H; Nowicki, S</t>
  </si>
  <si>
    <t>Lipscomb, William H.; Leguy, Gunter R.; Jourdain, Nicolas C.; Asay-Davis, Xylar; Seroussi, Helene; Nowicki, Sophie</t>
  </si>
  <si>
    <t>ISMIP6-based projections of ocean-forced Antarctic Ice Sheet evolution using the Community Ice Sheet Model</t>
  </si>
  <si>
    <t>SEA-LEVEL RISE; GROUNDING LINE RETREAT; PINE ISLAND GLACIER; BASAL MELT RATES; INTERCOMPARISON PROJECT; HIGHER-ORDER; MULTIMODEL ENSEMBLE; EXPERIMENTAL-DESIGN; THWAITES GLACIER; WEST ANTARCTICA</t>
  </si>
  <si>
    <t>The future retreat rate for marine-based regions of the Antarctic Ice Sheet is one of the largest uncertainties in sea-level projections. The Ice Sheet Model Intercomparison Project for CMIP6 (ISMIP6) aims to improve projections and quantify uncertainties by running an ensemble of ice sheet models with atmosphere and ocean forcing derived from global climate models. Here, the Community Ice Sheet Model (CISM) is used to run ISMIP6-based projections of ocean-forced Antarctic Ice Sheet evolution. Using multiple combinations of sub-ice-shelf melt parameterizations and calibrations, CISM is spun up to steady state over many millennia. During the spin-up, basal friction parameters and basin-scale thermal forcing corrections are adjusted to optimize agreement with the observed ice thickness. The model is then run forward for 550 years, from 1950-2500, applying ocean thermal forcing anomalies from six climate models. In all simulations, the ocean forcing triggers long-term retreat of the West Antarctic Ice Sheet, especially in the Filchner-Ronne and Ross sectors. Mass loss accelerates late in the 21st century and then rises steadily for several centuries without leveling off. The resulting ocean-forced sea-level rise at year 2500 varies from about 150 to 1300 mm, depending on the melt scheme and ocean forcing. Further experiments show relatively high sensitivity to the basal friction law, moderate sensitivity to grid resolution and the prescribed collapse of small ice shelves, and low sensitivity to the stress-balance approximation. The Amundsen sector exhibits threshold behavior, with modest retreat under many parameter settings but complete collapse under some combinations of low basal friction and high thermal forcing anomalies. Large uncertainties remain, as a result of parameterized sub-shelf melt rates, simplified treatments of calving and basal friction, and the lack of ice-ocean coupling.</t>
  </si>
  <si>
    <t>[Lipscomb, William H.; Leguy, Gunter R.] Natl Ctr Atmospher Res, Climate &amp; Global Dynam Lab, POB 3000, Boulder, CO 80307 USA; [Jourdain, Nicolas C.] Univ Grenoble Alpes, IGE, CNRS, IRD,G INP, Grenoble, France; [Asay-Davis, Xylar] Los Alamos Natl Lab, Los Alamos, NM USA; [Seroussi, Helene] CALTECH, Jet Prop Lab, Pasadena, CA USA; [Nowicki, Sophie] NASA, Goddard Space Flight Ctr, Greenbelt, MD USA; [Nowicki, Sophie] Univ Buffalo, Buffalo, NY USA</t>
  </si>
  <si>
    <t>National Center Atmospheric Research (NCAR) - USA; Communaute Universite Grenoble Alpes; Universite Grenoble Alpes (UGA); Institut de Recherche pour le Developpement (IRD); Centre National de la Recherche Scientifique (CNRS); United States Department of Energy (DOE); Los Alamos National Laboratory; California Institute of Technology; National Aeronautics &amp; Space Administration (NASA); NASA Jet Propulsion Laboratory (JPL); National Aeronautics &amp; Space Administration (NASA); NASA Goddard Space Flight Center; State University of New York (SUNY) System; State University of New York (SUNY) Buffalo</t>
  </si>
  <si>
    <t>Lipscomb, WH (corresponding author), Natl Ctr Atmospher Res, Climate &amp; Global Dynam Lab, POB 3000, Boulder, CO 80307 USA.</t>
  </si>
  <si>
    <t>lipscomb@ucar.edu</t>
  </si>
  <si>
    <t>Seroussi, Helene/AAX-5342-2021; Lipscomb, William/AAR-8668-2021; Jourdain, Nicolas/B-6899-2015</t>
  </si>
  <si>
    <t>Seroussi, Helene/0000-0001-9201-1644; Asay-Davis, Xylar/0000-0002-1990-892X; Leguy, Gunter/0000-0002-9963-8076; Jourdain, Nicolas/0000-0002-1372-2235</t>
  </si>
  <si>
    <t>National Center for Atmospheric Research - National Science Foundation [1852977]; French National Research Agency (ANR) through the TROIS-AS project [ANR-15-CE01-0005-01]; European Commission through the TiPACCs project [820575]; Scientific Discovery through Advanced Computing (SciDAC) program - U.S. Department of Energy (DOE), Office of Science, Advanced Scientific Computing Research and Biological and Environmental Research Programs; NASA Cryospheric Science and Modeling, Analysis and Prediction Programs; NASA Sea Level Change Team</t>
  </si>
  <si>
    <t>National Center for Atmospheric Research - National Science Foundation; French National Research Agency (ANR) through the TROIS-AS project(Agence Nationale de la Recherche (ANR)); European Commission through the TiPACCs project; Scientific Discovery through Advanced Computing (SciDAC) program - U.S. Department of Energy (DOE), Office of Science, Advanced Scientific Computing Research and Biological and Environmental Research Programs(United States Department of Energy (DOE)); NASA Cryospheric Science and Modeling, Analysis and Prediction Programs; NASA Sea Level Change Team</t>
  </si>
  <si>
    <t>This material is based upon work supported by the National Center for Atmospheric Research, which is a major facility sponsored by the National Science Foundation under cooperative agreement no. 1852977.r Nicolas C. Jourdain is funded by the French National Research Agency (ANR) through the TROIS-AS project (ANR-15-CE01-0005-01) and by the European Commission through the TiPACCs project (grant 820575, call H2020-LC-CLA-2018-2). Support for Xylar Asay-Davis was provided through the Scientific Discovery through Advanced Computing (SciDAC) program funded by the U.S. Department of Energy (DOE), Office of Science, Advanced Scientific Computing Research and Biological and Environmental Research Programs. Helene Seroussi and Sophie Nowicki were supported by grants from the NASA Cryospheric Science and Modeling, Analysis and Prediction Programs and the NASA Sea Level Change Team.</t>
  </si>
  <si>
    <t>FEB 10</t>
  </si>
  <si>
    <t>10.5194/tc-15-633-2021</t>
  </si>
  <si>
    <t>QI4WL</t>
  </si>
  <si>
    <t>WOS:000618979700001</t>
  </si>
  <si>
    <t>Mitchell, PJ; Bolam, SG; Close, HL; Garcia, C; Monk, J; Alliji, K</t>
  </si>
  <si>
    <t>Mitchell, Peter J.; Bolam, Stefan G.; Close, Hayden L.; Garcia, Clement; Monk, Jacquomo; Alliji, Khatija</t>
  </si>
  <si>
    <t>Distribution of demersal fish assemblages along the west coast of St Lucia: Implications for planning no-take marine reserves</t>
  </si>
  <si>
    <t>biodiversity; Caribbean; coral; fish; marine protected area (MPA); RDA; seagrass; stereo‐ BRUV; subtidal</t>
  </si>
  <si>
    <t>CORAL-REEF FISH; PROTECTED AREAS; BIODIVERSITY; PERFORMANCE; SURROGATES; MANAGEMENT; DIVERSITY; HABITATS; OUTCOMES</t>
  </si>
  <si>
    <t>Evidence-based decisions relating to effective marine protected areas as a means of conserving biodiversity require a detailed understanding of the species present. The Caribbean island nation of St Lucia is expanding its current marine protected area network by designating additional no-take marine reserves on the west coast. However, information on the distribution of fish species is currently limited. This study used baited remote underwater stereo-video to address this shortcoming by investigating the effects of depth and seabed habitat structure on demersal fish assemblages and comparing these assemblages between regions currently afforded different protection measures. From the 87 stations visited a total of 5,921 fish were observed comprising 120 fish taxa across 22 families. Species richness and total abundance were higher within the highly managed region, which included no-take reserves. Redundancy analysis explained 17% of the total variance in fish distribution, driven predominantly by the seabed habitats. The redundancy analysis identified four main groups of demersal fishes each associated with specific seabed habitats. The current no-take marine reserves protected two of these groups (i.e. fishes associated with the 'soft corals, hard corals or gorgonians' and 'seagrass' groups). Importantly, habitats dominated by sponges, bacterial mats, algal turfs or macroalgae, which also supported unique fish assemblages, are not currently afforded protection via the marine reserve network (based on the five reserves studied). These results imply that incorporation of the full breadth of benthic habitat types present would improve the efficacy of the marine reserve network by ensuring all fish assemblages are protected.</t>
  </si>
  <si>
    <t>[Mitchell, Peter J.; Bolam, Stefan G.; Close, Hayden L.; Garcia, Clement; Alliji, Khatija] Ctr Environm Fisheries &amp; Aquaculture Sci, Pakefield Rd, Lowestoft NR33 0HT, Suffolk, England; [Monk, Jacquomo] Univ Tasmania, Inst Marine &amp; Antarctic Studies, Private Bag 49, Hobart, Tas 7001, Australia</t>
  </si>
  <si>
    <t>Centre for Environment Fisheries &amp; Aquaculture Science; University of Tasmania</t>
  </si>
  <si>
    <t>Mitchell, PJ (corresponding author), Ctr Environm Fisheries &amp; Aquaculture Sci, Pakefield Rd, Lowestoft NR33 0HT, Suffolk, England.</t>
  </si>
  <si>
    <t>peter.mitchell@cefas.co.uk</t>
  </si>
  <si>
    <t>Mitchell, Peter/0000-0002-4286-2288; Close, Hayden/0000-0003-4928-8378</t>
  </si>
  <si>
    <t>Foreign, Commonwealth and Development Office</t>
  </si>
  <si>
    <t>10.1002/aqc.3518</t>
  </si>
  <si>
    <t>SN7LJ</t>
  </si>
  <si>
    <t>WOS:000616495400001</t>
  </si>
  <si>
    <t>King, CK; Wasley, J; Holan, J; Richardson, J; Spedding, T</t>
  </si>
  <si>
    <t>King, Catherine K.; Wasley, Jane; Holan, Jessica; Richardson, Jeremy; Spedding, Tim</t>
  </si>
  <si>
    <t>Using an Expert Judgment Response Matrix to Assess the Risk of Groundwater Discharges from Remediated Fuel Spill Sites to the Marine Environment at Sub-Antarctic Macquarie Island, Australia</t>
  </si>
  <si>
    <t>INTEGRATED ENVIRONMENTAL ASSESSMENT AND MANAGEMENT</t>
  </si>
  <si>
    <t>Direct toxicity assessment; Risk assessment; Petroleum hydrocarbons; Degraded fuel; Marine invertebrate toxicity</t>
  </si>
  <si>
    <t>PETROLEUM-HYDROCARBON CONTAMINATION; DIESEL FUEL; TOXICITY; MANAGEMENT; SOILS; SENSITIVITY; ECOSYSTEM; SEAWATER; COPPER; MODEL</t>
  </si>
  <si>
    <t>This study assesses toxicity of groundwater from remediated fuel spill sites, as the final phase of an environmental risk assessment of contaminated sites at sub-Antarctic Macquarie Island, Tasmania, Australia. To complement previous terrestrial ecotoxicological research, we determine risk to marine environments from residual biodegraded hydrocarbon contaminants in groundwater discharges. Direct toxicity assessments were conducted on 7 composite groundwater test solutions, adjusted to ambient seawater salinity. Eleven native marine invertebrates (from varied taxa: gastropods, bivalves, flatworms, amphipods, copepods, isopods) were exposed and observed for up to 21 d. Lethal time estimates (LT10, LT50) showed sensitivity was time dependent (LT10s = 4-15 d) and variable between species. Three species showed no response to any test solution, and most species did not respond for up to 5 d. Data were interpreted using an expert judgment response matrix with multiple lines of evidence to predict risk. No consistent patterns in the relative toxicity of test solutions, based on polar or nonpolar hydrocarbon concentrations, were identified. Although toxicity was observed in some species, this was only under worst-case conditions of undiluted, continuous, extended exposure. Natural dynamics of the site, including low groundwater discharge rates, high rainfall, and a highly energetic receiving environment, ensure groundwater is rapidly diluted and dispersed. In this context, and based on site conditions at the time of testing, these toxicity assessments provide robust evidence that residual contamination in groundwater at remediated sites at Macquarie Island is unlikely to represent a risk to the adjacent marine communities tested. Integr Environ Assess Manag 2021;00:1-17. (c) 2020 The Authors. Integrated Environmental Assessment and Management published by Wiley Periodicals LLC on behalf of Society of Environmental Toxicology &amp; Chemistry (SETAC)</t>
  </si>
  <si>
    <t>[King, Catherine K.; Wasley, Jane; Holan, Jessica; Richardson, Jeremy; Spedding, Tim] Australian Antarctic Div, Kingston, Tas, Australia</t>
  </si>
  <si>
    <t>King, CK (corresponding author), Australian Antarctic Div, Kingston, Tas, Australia.</t>
  </si>
  <si>
    <t>cath.king@aad.gov.au</t>
  </si>
  <si>
    <t>Wasley, Jane/KHX-4880-2024; King, Catherine/G-7059-2017</t>
  </si>
  <si>
    <t>Wasley, Jane/0000-0001-9379-664X; King, Catherine/0000-0003-3356-0381; Spedding, Tim/0000-0002-4023-2469</t>
  </si>
  <si>
    <t>Australian Government through Australian Antarctic Science Grant [AAS 4036]</t>
  </si>
  <si>
    <t>Australian Government through Australian Antarctic Science Grant</t>
  </si>
  <si>
    <t>Funding was provided by the Australian Government through Australian Antarctic Science Grant (AAS 4036) to T Spedding. This work was approved under the following permits and authorities: Access Authority (nr. 17-18 5) and a Reserve Activity Assessment (RAA) issued by Tasmanian Parks and Wildlife Service (TASPAWS), a division of the Tasmanian State Government Department of Primary Industries, Parks, Water and Environment (DPIPWE); marine invertebrate collections approved under the Living Marine Resources Management Act, 1995 by DPIPWE-Wild Fisheries Branch (Permit nr. 17103); and collection of water samples and test solutions, for use in toxicity tests and for subsequent chemical and biological analysis, were approved under Scientific Collecting Permit (Earth materials) issued by the Natural Values Conservation Branch (NVCB) of DPIPWE (Authority nr. ES 17187). Assistance and support for this study was provided by Macquarie Island station and Australian Antarctic Division head office personnel during the 2017-2018 field season. In particular, we thank Robbie Kilpatrick for his team leadership, guidance, and assistance during the field season at Macquarie Island, the Australian Antarctic Division remediation team, especially Daniel Wilkins, Deborah Terry, and Lauren Wise for support in planning and throughout the season. We sincerely thank a number of taxonomic specialists who verified the identity of specimens: copepods by Julian Uribe-Palomino (CSIRO Oceans &amp; Atmosphere, Australia), with collaboration confirming the specimen of the Zaus genus by Samuel Gomez (Instituto de Ciencias del Mar y Limnologia, Unidad Academica Mazatlan, UNAM, Mexico) and Sharon Appleyard (CSIRO National Collections and Marine Infrastructure, Australia); flatworms by Jorge Rodriguez Monter (Australian Museum Research Institute); gastropods and bivalves by Simon Grove (Tasmanian Museum and Art Gallery); and amphipods by Helen Stoddart, Australian Museum. We would also like to thank Tania Raymond, Kathryn Brown, and 2 anonymous reviewers for constructive comments that have improved this manuscript. Author contributions are as follows: Conception and design: C King; field and laboratory work: C King, J Holan; data curation and analysis: J Wasley, C King; data visualization and preparation of figures and tables: J Wasley, C King, J Richardson; provision of funding and project administration: C King, T Spedding; manuscript drafted: C King, J Wasley; revisions and edits: J Richardson, T Spedding; approval of final version: all.</t>
  </si>
  <si>
    <t>1551-3777</t>
  </si>
  <si>
    <t>1551-3793</t>
  </si>
  <si>
    <t>INTEGR ENVIRON ASSES</t>
  </si>
  <si>
    <t>Integr. Environ. Assess. Manag.</t>
  </si>
  <si>
    <t>10.1002/ieam.4382</t>
  </si>
  <si>
    <t>Environmental Sciences; Toxicology</t>
  </si>
  <si>
    <t>Environmental Sciences &amp; Ecology; Toxicology</t>
  </si>
  <si>
    <t>TA6GH</t>
  </si>
  <si>
    <t>WOS:000616620200001</t>
  </si>
  <si>
    <t>Carrasco, V; Amarelle, ; Lagos-Moraga, S; Quezada, CP; Espinoza-González, R; Faccio, R; Fabiano, E; Pérez-Donoso, JM</t>
  </si>
  <si>
    <t>Carrasco, V; Amarelle, V; Lagos-Moraga, S.; Quezada, C. P.; Espinoza-Gonzalez, R.; Faccio, R.; Fabiano, E.; Perez-Donoso, J. M.</t>
  </si>
  <si>
    <t>Production of cadmium sulfide quantum dots by the lithobiontic Antarctic strain Pedobacter sp. UYP1 and their application as photosensitizer in solar cells</t>
  </si>
  <si>
    <t>MICROBIAL CELL FACTORIES</t>
  </si>
  <si>
    <t>Antarctica; Endoliths; Lithobionts; Nanoparticle biosynthesis; Cadmium sulfide nanoparticles; QDSSC; Pedobacter</t>
  </si>
  <si>
    <t>BIOLOGICAL SYNTHESIS; FLUORESCENT NANOPARTICLES; SELENIUM NANOPARTICLES; CDS; BIOSYNTHESIS; NANOCRYSTALS; BACTERIA; RESISTANCE; LIFE; H2S</t>
  </si>
  <si>
    <t>Background Microbes are present in almost every environment on Earth, even in those with extreme environmental conditions such as Antarctica, where rocks may represent the main refuge for life. Lithobiontic communities are composed of microorganisms capable of colonizing rocks and, as it is a not so well studied bacterial community, they may represent a very interesting source of diversity and functional traits with potential for biotechnological applications. In this work we analyzed the ability of Antarctic lithobiontic bacterium to synthesize cadmium sulfide quantum dots (CdS QDs) and their potential application in solar cells. Results A basaltic andesite rock sample was collected from Fildes Peninsula, King George Island, Antarctica, and processed in order to isolate lithobiontic bacterial strains. Out of the 11 selected isolates, strain UYP1, identified as Pedobacter, was chosen for further characterization and analysis due to its high cadmium tolerance. A protocol for the biosynthesis of CdS QDs was developed and optimized for this strain. After 20 and 80 min of synthesis, yellow-green and orange-red fluorescent emissions were observed under UV light, respectively. QDs were characterized through spectroscopic techniques, dynamic light scattering analysis, high-resolution transmission electron microscopy and energy dispersive x-ray spectroscopy. Nanostructures of 3.07 nm, composed of 51.1% cadmium and 48.9% sulfide were obtained and further used as photosensitizer material in solar cells. These solar cells were able to conduct electrons and displayed an open circuit voltage of 162 mV, a short circuit current density of 0.0110 mA cm(-2), and had an efficiency of conversion up to 0.0016%, which is comparable with data previously reported for solar cells sensitized with biologically produced quantum dots. Conclusions We report a cheap, rapid and eco-friendly protocol for the production of CdS QDs by an Antarctic lithobiontic bacterium, Pedobacter, a genus that was not previously reported as a quantum dot producer. The application of the biosynthesized QDs as sensitizer material in solar cells was validated.</t>
  </si>
  <si>
    <t>[Carrasco, V; Lagos-Moraga, S.; Quezada, C. P.; Perez-Donoso, J. M.] Univ Andres Bello, Fac Ciencias Biol, Ctr Bioinformat &amp; Integrat Biol, BioNanotechnol &amp; Microbiol Lab, Av Republ 239, Santiago 8370146, Chile; [Carrasco, V; Amarelle, V; Fabiano, E.] Inst Invest Biol Clemente Estable, Biochem &amp; Microbial Genom Dept, Av Italia 3318, Montevideo 11600, Uruguay; [Quezada, C. P.] Univ Bernardo OHiggins, Ctr Integrat Biol &amp; Quim Aplicada CIBQA, Gen Gana 1702, Santiago 8370993, Chile; [Espinoza-Gonzalez, R.] Univ Chile, Fac Ciencias Fis &amp; Matemat, Dept Ingn Quim Biotecnol &amp; Mat, Santiago, Chile; [Faccio, R.] Univ Republica, Fac Quim, Dept Expt &amp; Teoria Estruct Mat &amp; Sus Aplicac, Av Gral Flores 2124, Montevideo 11800, Uruguay</t>
  </si>
  <si>
    <t>Universidad Andres Bello; Instituto de Investigaciones Biologicas Clemente Estable Uruguay; Universidad Bernardo O'Higgins; Universidad de Chile; Universidad de la Republica, Uruguay</t>
  </si>
  <si>
    <t>Pérez-Donoso, JM (corresponding author), Univ Andres Bello, Fac Ciencias Biol, Ctr Bioinformat &amp; Integrat Biol, BioNanotechnol &amp; Microbiol Lab, Av Republ 239, Santiago 8370146, Chile.</t>
  </si>
  <si>
    <t>Pérez-Donoso, José M./G-3668-2013; Espinoza-Gonzalez, Rodrigo/A-2731-2012; Quezada, Carolina Paz/AAG-1981-2019</t>
  </si>
  <si>
    <t>Pérez-Donoso, José M./0000-0002-9506-1716; Espinoza-Gonzalez, Rodrigo/0000-0003-1119-9716; Quezada, Carolina Paz/0000-0002-0260-5754; Fabiano, Elena/0000-0003-2868-6393; Lagos, Sebastian/0009-0007-3094-7368; Amarelle, Vanesa/0000-0003-0405-3321</t>
  </si>
  <si>
    <t>Erika Elcira Donoso Lopez, the Programa de Desarrollo para las Ciencias Basicas (PEDECIBA-Uruguay); ANII [POS_ NAC_2016_1_129907]; Instituto Antartico Uruguayo; INACH [RT-25_16]; Fondecyt [1200870]</t>
  </si>
  <si>
    <t>Erika Elcira Donoso Lopez, the Programa de Desarrollo para las Ciencias Basicas (PEDECIBA-Uruguay); ANII; Instituto Antartico Uruguayo; INACH; Fondecyt(Comision Nacional de Investigacion Cientifica y Tecnologica (CONICYT)CONICYT FONDECYT)</t>
  </si>
  <si>
    <t>This work was supported Erika Elcira Donoso Lopez, the Programa de Desarrollo para las Ciencias Basicas (PEDECIBA-Uruguay), ANII POS_ NAC_2016_1_129907 (VC), Instituto Antartico Uruguayo (EF), INACH RT-25_16 (JMP-D) and Fondecyt 1200870 (JMP-D).</t>
  </si>
  <si>
    <t>1475-2859</t>
  </si>
  <si>
    <t>MICROB CELL FACT</t>
  </si>
  <si>
    <t>Microb. Cell. Fact.</t>
  </si>
  <si>
    <t>10.1186/s12934-021-01531-4</t>
  </si>
  <si>
    <t>QF8GN</t>
  </si>
  <si>
    <t>WOS:000617128800001</t>
  </si>
  <si>
    <t>Kelly, R; Evans, K; Alexander, K; Bettiol, S; Corney, S; Cullen-Knox, C; Cvitanovic, C; de Salas, K; Emad, GR; Fullbrook, L; Garcia, C; Ison, S; Ling, S; Macleod, C; Meyer, A; Murray, L; Murunga, M; Nash, KL; Norris, K; Oellermann, M; Scott, J; Stark, JS; Wood, G; Pecl, GT</t>
  </si>
  <si>
    <t>Kelly, Rachel; Evans, Karen; Alexander, Karen; Bettiol, Silvana; Corney, Stuart; Cullen-Knox, Coco; Cvitanovic, Christopher; de Salas, Kristy; Emad, Gholam Reza; Fullbrook, Liam; Garcia, Carolina; Ison, Sierra; Ling, Scott; Macleod, Catriona; Meyer, Amelie; Murray, Linda; Murunga, Michael; Nash, Kirsty L.; Norris, Kimberley; Oellermann, Michael; Scott, Jennifer; Stark, Jonathan S.; Wood, Graham; Pecl, Gretta T.</t>
  </si>
  <si>
    <t>Connecting to the oceans: supporting ocean literacy and public engagement</t>
  </si>
  <si>
    <t>Communication; Education; Future seas; Interdisciplinary; Ocean literacy; Sustainable 2030</t>
  </si>
  <si>
    <t>CITIZEN SCIENCE; CLIMATE-CHANGE; MARINE CONSERVATION; PLACE ATTACHMENT; POLICY-MAKERS; KNOWLEDGE; EDUCATION; GOVERNANCE; IMPACT; PARTICIPATION</t>
  </si>
  <si>
    <t>Improved public understanding of the ocean and the importance of sustainable ocean use, or ocean literacy, is essential for achieving global commitments to sustainable development by 2030 and beyond. However, growing human populations (particularly in mega-cities), urbanisation and socio-economic disparity threaten opportunities for people to engage and connect directly with ocean environments. Thus, a major challenge in engaging the whole of society in achieving ocean sustainability by 2030 is to develop strategies to improve societal connections to the ocean. The concept of ocean literacy reflects public understanding of the ocean, but is also an indication of connections to, and attitudes and behaviours towards, the ocean. Improving and progressing global ocean literacy has potential to catalyse the behaviour changes necessary for achieving a sustainable future. As part of the Future Seas project (https://futureseas2030.org/), this paper aims to synthesise knowledge and perspectives on ocean literacy from a range of disciplines, including but not exclusive to marine biology, socio-ecology, philosophy, technology, psychology, oceanography and human health. Using examples from the literature, we outline the potential for positive change towards a sustainable future based on knowledge that already exists. We focus on four drivers that can influence and improve ocean literacy and societal connections to the ocean: (1) education, (2) cultural connections, (3) technological developments, and (4) knowledge exchange and science-policy interconnections. We explore how each driver plays a role in improving perceptions of the ocean to engender more widespread societal support for effective ocean management and conservation. In doing so, we develop an ocean literacy toolkit, a practical resource for enhancing ocean connections across a broad range of contexts worldwide.</t>
  </si>
  <si>
    <t>[Kelly, Rachel; Alexander, Karen; Corney, Stuart; Cullen-Knox, Coco; Cvitanovic, Christopher; Fullbrook, Liam; Ison, Sierra; Macleod, Catriona; Murunga, Michael; Nash, Kirsty L.; Pecl, Gretta T.] Univ Tasmania, Ctr Marine Socioecol, Hobart, Tas 7005, Australia; [Evans, Karen; Ison, Sierra] CSIRO Oceans &amp; Atmosphere, Hobart, Tas 7001, Australia; [Alexander, Karen; Corney, Stuart; Ling, Scott; Macleod, Catriona; Meyer, Amelie; Murunga, Michael; Nash, Kirsty L.; Oellermann, Michael; Pecl, Gretta T.] Inst Marine &amp; Antarctic Studies, Hobart, Tas 7001, Australia; [Bettiol, Silvana] Univ Tasmania, Coll Hlth &amp; Med, Hobart, Tas 7005, Australia; [Cullen-Knox, Coco] Univ Tasmania, Media Sch, Salamanca Sq, Battery Point, Tas 7004, Australia; [Cvitanovic, Christopher] Australian Natl Univ, Australian Natl Ctr Publ Awareness Sci, Canberra, ACT 0200, Australia; [de Salas, Kristy; Garcia, Carolina] Univ Tasmania, Sch Technol Environm &amp; Design, Hobart, Tas 7005, Australia; [Emad, Gholam Reza] Univ Tasmania Newnham, Australian Maritime Coll, Hobart, Tas 7248, Australia; [Fullbrook, Liam] Univ Tasmania, Sch Social Sci, Hobart, Tas 7005, Australia; [Murray, Linda] Massey Univ, Coll Hlth, Wellington, New Zealand; [Norris, Kimberley; Scott, Jennifer] Univ Tasmania, Sch Psychol Sci, Hobart, Tas 7005, Australia; [Oellermann, Michael] Tech Univ Munich, Aquat Syst Biol Unit, Freising Weihenstephan, Germany; [Stark, Jonathan S.] Australian Antarctic Div, Kingston, Tas 7050, Australia; [Wood, Graham] Univ Tasmania, Sch Humanities, Launceston, Tas 7250, Australia</t>
  </si>
  <si>
    <t>University of Tasmania; Commonwealth Scientific &amp; Industrial Research Organisation (CSIRO); University of Tasmania; University of Tasmania; University of Tasmania; Australian National University; University of Tasmania; University of Tasmania; University of Tasmania; Massey University; University of Tasmania; Technical University of Munich; Australian Antarctic Division; University of Tasmania</t>
  </si>
  <si>
    <t>Kelly, R (corresponding author), Univ Tasmania, Ctr Marine Socioecol, Hobart, Tas 7005, Australia.</t>
  </si>
  <si>
    <t>r.kelly@utas.edu.au</t>
  </si>
  <si>
    <t>Nash, Kirsty L/B-5456-2015; Emad, Gholam Reza/HKM-5586-2023; Norris, Kimberley/J-7260-2014; MacLeod, Catriona K/J-7176-2014; Pecl, Gretta/D-7267-2011; Fullbrook, Liam/JWP-3857-2024; Alexander, Karen/O-7042-2017; Oellermann, Michael/G-7073-2011; bettiol, silvana/J-7606-2014</t>
  </si>
  <si>
    <t>Nash, Kirsty L/0000-0003-0976-3197; Emad, Gholam Reza/0000-0001-9784-5103; Pecl, Gretta/0000-0003-0192-4339; Alexander, Karen/0000-0001-8801-413X; Oellermann, Michael/0000-0001-5392-6737; Meyer, Amelie/0000-0003-0447-795X; de Salas, Kristy/0000-0002-2552-5108; bettiol, silvana/0000-0002-4355-4498; Kelly, Rachel/0000-0002-8364-1836; Murunga, Michael/0000-0002-4163-4224</t>
  </si>
  <si>
    <t>Centre for Marine Socioecology; IMAS; CSIRO; MENZIES; College of Arts, Law and Education; College of Science and Engineering at UTAS; Snowchange from Finland; DVCR Office at UTAS; ARC Centre of Excellence for Climate Extremes [CE170100023]; Australian Research Council</t>
  </si>
  <si>
    <t>Centre for Marine Socioecology; IMAS; CSIRO(Commonwealth Scientific &amp; Industrial Research Organisation (CSIRO)); MENZIES; College of Arts, Law and Education; College of Science and Engineering at UTAS; Snowchange from Finland; DVCR Office at UTAS; ARC Centre of Excellence for Climate Extremes(Australian Research CouncilUniversity of QueenslandMonash UniversityAustralian National UniversityUniversity of SydneyUniversity of Melbourne); Australian Research Council(Australian Research Council)</t>
  </si>
  <si>
    <t>This paper is part of the Future Seas project (futureseas2030.org), hosted by the Centre for Marine Socioecology at the University of Tasmania. This initiative delivers a series of journal articles addressing key challenges for the UN Decade of Ocean Science for Sustainable Development 2021-2030. The general concepts and methods applied in many of these papers were developed in large collaborative workshops involving more participants than listed as co-authors here, who we thank for their collective input. We acknowledge and pay respect to the traditional owners and custodians of sea country all around the world and recognise their collective wisdom and knowledge of our oceans and coasts. Funding for Future Seas was provided by the Centre for Marine Socioecology, IMAS, CSIRO, MENZIES and the College of Arts, Law and Education, and the College of Science and Engineering at UTAS, and Snowchange from Finland. We acknowledge support from a Research Enhancement Program grant from the DVCR Office at UTAS. A.M. acknowledges support from the ARC Centre of Excellence for Climate Extremes (CE170100023). GP was supported by An Australian Research Council Future Fellowship.</t>
  </si>
  <si>
    <t>10.1007/s11160-020-09625-9</t>
  </si>
  <si>
    <t>Bronze, Green Published</t>
  </si>
  <si>
    <t>WOS:000616874100001</t>
  </si>
  <si>
    <t>Barbosa, A; Varsani, A; Morandini, V; Grimaldi, W; Vanstreels, RET; Diaz, JI; Boulinier, T; Dewar, M; González-Acuña, D; Gray, R; McMahon, CR; Miller, G; Power, M; Gamble, A; Wille, M</t>
  </si>
  <si>
    <t>Barbosa, Andres; Varsani, Arvind; Morandini, Virginia; Grimaldi, Wray; Vanstreels, Ralph E. T.; Diaz, Julia, I; Boulinier, Thierry; Dewar, Meagan; Gonzalez-Acuna, Daniel; Gray, Rachael; McMahon, Clive R.; Miller, Gary; Power, Michelle; Gamble, Amandine; Wille, Michelle</t>
  </si>
  <si>
    <t>Risk assessment of SARS-CoV-2 in Antarctic wildlife</t>
  </si>
  <si>
    <t>Antarctica; Coronavirus; COVID-19; Mitigation measures; Reverse zoonoses; Transmission</t>
  </si>
  <si>
    <t>CORONAVIRUS; BETACORONAVIRUS; TRANSMISSION; VIRUSES; HUMIDITY; SURVIVAL; SEQUENCE; TROPISM; ORIGIN; SARS</t>
  </si>
  <si>
    <t>The coronavirus disease 2019 (COVID-19) pandemic is caused by the severe acute respiratory syndrome coronavirus 2 (SARS-CoV-2). This pathogen has spread rapidly across the world, causing high numbers of deaths and significant social and economic impacts. SARS-CoV-2 is a novel coronavirus with a suggested zoonotic origin with the potential for cross-species transmission among animals. Antarctica can be considered the only continent free of SARS-CoV-2. Therefore, concerns have been expressed regarding the potential human introduction of this virus to the continent through the activities of research or tourism to minimise the effects on human health, and the potential for virus transmission to Antarctic wildlife. We assess the reverse-zoonotic transmission risk to Antarctic wildlife by considering the available information on host susceptibility, dynamics of the infection in humans, and contact interactions between humans and Antarctic wildlife. The environmental conditions in Antarctica seem to be favourable for the virus stability. Indoor spaces such as those at research stations, research vessels or tourist cruise ships could allow for more transmission among humans and depending on their movements between different locations the virus could be spread across the continent. Among Antarctic wildlife previous in silico analyses suggested that cetaceans are at greater risk of infection whereas seals and birds appear to be at a low infection risk. However, caution needed until further research is carried out and consequently, the precautionary principle should be applied. Field researchers handling animals are identified as the human group posing the highest risk of transmission to animals while tourists and other personnel pose a significant risk only when in close proximity (&lt; 5 m) to Antarctic fauna. We highlight measures to reduce the risk as well as identify of knowledge gaps related to this issue. (c) 2020 The Authors. Published by Elsevier B.V.</t>
  </si>
  <si>
    <t>[Barbosa, Andres] CSIC, Evolutionary Ecol Dept, Museo Nacl Ciencias Nat, C Jose Gutierrez Abascal 2, Madrid 28006, Spain; [Varsani, Arvind] Arizona State Univ, Sch Life Sci, Ctr Evolut &amp; Med, Biodesign Ctr Fundamental &amp; Appl Microbiom, Tempe, AZ USA; [Varsani, Arvind] Univ Cape Town, Dept Integrat Biomed Sci, Struct Biol Res Unit, Cape Town, South Africa; [Morandini, Virginia] Oregon State Univ, Oregon Cooperat Fish &amp; Wildlife Res Unit, Dept Fisheries &amp; Wildlife, Corvallis, OR 97331 USA; [Grimaldi, Wray] POB 231938, Encinitas, CA USA; [Vanstreels, Ralph E. T.] Inst Res &amp; Rehabil Marine Anim IPRAM, Rodovia, Cariacica, Brazil; [Diaz, Julia, I] Ctr Estudios Parasitol &amp; Vectores CEPAVE UNLP CON, La Plata, Buenos Aires, Argentina; [Boulinier, Thierry] Univ Montpellier, Univ Paul Valery Montpellier 3, Ctr Ecol Fonct &amp; Evolut, EPHE,IRD, Montpellier, France; [Dewar, Meagan] Federat Univ Australia, Sch Sci Psychol &amp; Sport, Ballarat, Vic, Australia; [Gonzalez-Acuna, Daniel] Univ Concepcion, Fac Ciencias Vet, Lab Parasitos &amp; Enfermedades Fauna Silvestre, Chillan, Chile; [Gray, Rachael] Univ Sydney, Fac Sci, Sydney Sch Vet Sci, Sydney, NSW, Australia; [McMahon, Clive R.] Sydney Inst Marine Sci, IMOS Anim Satellite Tagging, Mosman, NSW, Australia; [Miller, Gary] Univ Western Australia, Discipline Microbiol &amp; Immunol, Crawley, WA 6009, Australia; [Power, Michelle] Macquarie Univ, Dept Biol Sci, Macquarie Pk, NSW 2109, Australia; [Gamble, Amandine] Univ Calif Los Angeles, Dept Ecol &amp; Evolut, Los Angeles, CA 90024 USA; [Wille, Michelle] Univ Sydney, Sch Life &amp; Environm Sci, Marie Bashir Inst Infect Dis &amp; Biosecur, Sydney, NSW, Australia; [Wille, Michelle] Univ Sydney, Sch Med Sci, Sydney, NSW, Australia</t>
  </si>
  <si>
    <t>Consejo Superior de Investigaciones Cientificas (CSIC); CSIC - Museo Nacional de Ciencias Naturales (MNCN); Arizona State University; Arizona State University-Tempe; University of Cape Town; Oregon State University; Universite PSL; Ecole Pratique des Hautes Etudes (EPHE); Institut Agro; Montpellier SupAgro; CIRAD; Centre National de la Recherche Scientifique (CNRS); Institut de Recherche pour le Developpement (IRD); Universite Paul-Valery; Universite de Montpellier; Federation University Australia; Universidad de Concepcion; University of Sydney; Sydney Institute of Marine Science; University of Western Australia; Macquarie University; University of California System; University of California Los Angeles; University of Sydney; University of Sydney</t>
  </si>
  <si>
    <t>Barbosa, A (corresponding author), CSIC, Evolutionary Ecol Dept, Museo Nacl Ciencias Nat, C Jose Gutierrez Abascal 2, Madrid 28006, Spain.</t>
  </si>
  <si>
    <t>barbosa@mncn.csic.es</t>
  </si>
  <si>
    <t>McMahon, Clive R/D-5713-2013; Gamble, Amandine/HLP-7835-2023; Gamble, Amandine/Y-8359-2019; Dewar, Meagan/AAI-3969-2021; Varsani, Arvind/JOZ-5299-2023; , Ralph ET Vanstreels/H-8029-2015; Wille, Michelle/F-4819-2013; Morandini, Virginia/E-8986-2016</t>
  </si>
  <si>
    <t>McMahon, Clive R/0000-0001-5241-8917; Gamble, Amandine/0000-0001-5430-9124; Gamble, Amandine/0000-0001-5430-9124; Varsani, Arvind/0000-0003-4111-2415; Wille, Michelle/0000-0002-5629-0196; Dewar, Meagan/0000-0003-0581-2422; BOULINIER, Thierry/0000-0002-5898-7667; Power, Michelle/0000-0003-3160-4301; Morandini, Virginia/0000-0003-0665-5713</t>
  </si>
  <si>
    <t>Spanish Research Agency project [CTM2015-64720]; Defence Advanced Research Projects Agency (DARPA PREEMPT Cooperative Agreement) [D18AC00031]; National Science Foundation (USA) Polar program [1947040, PLR 1543459]; Australia's Integrated Marine Observing System; Consejo Nacional de Investigaciones Cientificas y Tecnicas (CONICET); Universidad Nacional de La Plata UNLP [859]; CNRS; French Polar Institute Project ECOPATH [IPEV 1151]; ZATA; OSU OREME; [INACH T-23-19]; Office of Polar Programs (OPP); Directorate For Geosciences [1947040] Funding Source: National Science Foundation</t>
  </si>
  <si>
    <t>Spanish Research Agency project; Defence Advanced Research Projects Agency (DARPA PREEMPT Cooperative Agreement)(United States Department of DefenseDefense Advanced Research Projects Agency (DARPA)); National Science Foundation (USA) Polar program(National Science Foundation (NSF)); Australia's Integrated Marine Observing System; Consejo Nacional de Investigaciones Cientificas y Tecnicas (CONICET)(Consejo Nacional de Investigaciones Cientificas y Tecnicas (CONICET)); Universidad Nacional de La Plata UNLP(National University of La Plata); CNRS(Centre National de la Recherche Scientifique (CNRS)); French Polar Institute Project ECOPATH; ZATA; OSU OREME; ; Office of Polar Programs (OPP); Directorate For Geosciences(National Science Foundation (NSF)NSF - Directorate for Geosciences (GEO))</t>
  </si>
  <si>
    <t>AB is supported by the Spanish Research Agency project (CTM2015-64720). AG is supported by the Defence Advanced Research Projects Agency (DARPA PREEMPT Cooperative Agreement No. D18AC00031). The content of the information does not necessarily reflect the position or the policy of the US government, and no official endorsement should be inferred. AV is supported by National Science Foundation (USA) Polar program (award #1947040). CRM is supported by Australia's Integrated Marine Observing System. IMOS is enabled by the National Collaborative Research Infrastructure Strategy (NCRIS). It is operated by a consortium of institutions as an unincorporated joint venture, with the University of Tasmania as Lead Agent.; JID is supported by Consejo Nacional de Investigaciones Cientificas y Tecnicas (CONICET) and Universidad Nacional de La Plata UNLP (N#859). VM is supported by National Science Foundation (USA) Polar program(PLR 1543459). TB is supported by CNRS, French Polar Institute Project ECOPATH (IPEV 1151), ZATA and OSU OREME. DGA is supported by INACH T-23-19 project.</t>
  </si>
  <si>
    <t>10.1016/j.scitotenv.2020.143352</t>
  </si>
  <si>
    <t>PI0JJ</t>
  </si>
  <si>
    <t>WOS:000600786700099</t>
  </si>
  <si>
    <t>Vega-García, S; Sánchez-García, L; Prieto-Ballesteros, O; Carrizo, D</t>
  </si>
  <si>
    <t>Vega-Garcia, S.; Sanchez-Garcia, L.; Prieto-Ballesteros, O.; Carrizo, D.</t>
  </si>
  <si>
    <t>Molecular and isotopic biogeochemistry on recently-formed soils on King George Island (Maritime Antarctica) after glacier retreat upon warming climate</t>
  </si>
  <si>
    <t>Lipids biomarkers; Soils; Microbial mats; Organic matter; Maritime Antarctica; Isotopes</t>
  </si>
  <si>
    <t>SOUTH SHETLAND ISLANDS; ORGANIC-MATTER; FILDES PENINSULA; STABLE CARBON; FATTY-ACIDS; ALKANE DISTRIBUTIONS; LACUSTRINE SEDIMENTS; POTTER PENINSULA; LIPID BIOMARKERS; WEST ANTARCTICA</t>
  </si>
  <si>
    <t>Maritime Antarctica is a climate-sensitive region that has experienced a continuous increase of temperature over the last 50 years. This phenomenon accelerates glacier retreat and promotes the exposure of ice-covered surfaces, triggering physico-chemical alteration of the ground and subsequent soil formation. Here, we studied the biogeochemical composition and evolution extent of soil on three recently exposed peninsulas (Fildes, Barton and Potter) on Southwest (SW) King George Island (KGI). Nine soil samples were analyzed for their lipid biomarkers, stable isotope composition, bulk geochemistry and mineralogy. Their biomarkers profiles were compared to those of local fresh biomass of microbial mats (n = 3) and vegetation (1 moss, 1 grass, and 3 lichens) to assess their contribution to the soil organic matter (SOM). The molecular and isotopic distribution of lipids in the soil samples revealed contributions to the SOM dominated by biogenic sources, mostly vegetal (i.e. odd HMW n-alkanes distributions and generally depleted delta C-13 ratios). Microbial sources were also present to a lesser extent (i.e. even LMW n-alkanes and n-alkanoic acids, heptadecane, 1-alkenes, 9-octadecenoic acid, or iso/anteiso 15: 0 and 17:0 alkanoic acids). Additional contribution from petrogenic sources (bedrock erosion-derived hydrocarbons) was also considered although found to be minor. Results from mineralogy (relative abundance of plagioclases and virtual absence of clay minerals) and bulk geochemistry (low chemical weathering indexes) suggested little chemical alteration of the original geology. This together with the low content of total nitrogen and organic carbon, as well as moderate microbial activity in the soils, confirmed little edaphological development on the recently-exposed KGI surfaces. This study provides molecular and isotopic fingerprints of SOM composition in young Antarctic soils, and contributes to the understanding of soil formation and biogeochemistry in this unexplored region which is currently being affected by thermal destabilization. (C) 2020 Elsevier B.V. All rights reserved.</t>
  </si>
  <si>
    <t>[Vega-Garcia, S.; Sanchez-Garcia, L.; Prieto-Ballesteros, O.; Carrizo, D.] Ctr Astrobiol CSIC INTA, Madrid, Spain</t>
  </si>
  <si>
    <t>Consejo Superior de Investigaciones Cientificas (CSIC); CSIC - Centro de Astrobiologia (INTA)</t>
  </si>
  <si>
    <t>Carrizo, D (corresponding author), Ctr Astrobiol CSIC INTA, Madrid, Spain.</t>
  </si>
  <si>
    <t>dcarrizo@cab.inta-csic.es</t>
  </si>
  <si>
    <t>Sanchez-Garcia, Laura/N-1172-2013; Prieto-Ballesteros, Olga/J-8510-2012</t>
  </si>
  <si>
    <t>Sanchez-Garcia, Laura/0000-0002-7444-1242; Prieto-Ballesteros, Olga/0000-0002-2278-1210</t>
  </si>
  <si>
    <t>Instituto Antartico Uruguayo (IAU); Spanish Agencia Estatal de Investigacion (AEI); Fondo Europeo de Desarrollo Regional (FEDER) [RYC-2014-19446, ESP2017-87690-C3-3-R, ESP201789053-C2-1-P, RYC2018-023943-I]; Comunidad de Madrid [PEJD-2018-PRE/TIC8497]; Unidad de Excelencia Maria deMaeztu -Centro de Astrobiologia (INTA-CSIC) [MDM-2017-0737]</t>
  </si>
  <si>
    <t>Instituto Antartico Uruguayo (IAU); Spanish Agencia Estatal de Investigacion (AEI)(Spanish Government); Fondo Europeo de Desarrollo Regional (FEDER)(European Union (EU)Spanish Government); Comunidad de Madrid(Comunidad de Madrid); Unidad de Excelencia Maria deMaeztu -Centro de Astrobiologia (INTA-CSIC)</t>
  </si>
  <si>
    <t>This study was partially funded by the Instituto Antartico Uruguayo (IAU) and by the Spanish Agencia Estatal de Investigacion (AEI) and Fondo Europeo de Desarrollo Regional (FEDER), through the projects RYC-2014-19446 and ESP2017-87690-C3-3-R (D. Carrizo), ESP201789053-C2-1-P (O. Prieto-Ballesteros), RYC2018-023943-I (L. SanchezGarcia), andMDM-2017-0737 Unidad de Excelencia Maria deMaeztu -Centro de Astrobiologia (INTA-CSIC). Sonia Vega acknowledges to the Comunidad de Madrid for a pre-doctoral contract (PEJD-2018-PRE/TIC8497). Eduardo Juri and the crew members from the Artigas Base (BCAA) are acknowledge for their filed assistance.</t>
  </si>
  <si>
    <t>10.1016/j.scitotenv.2020.142662</t>
  </si>
  <si>
    <t>WOS:000600786700068</t>
  </si>
  <si>
    <t>Kim, DU; Khim, JS; Ahn, IY</t>
  </si>
  <si>
    <t>Kim, Dong-U; Khim, Jong Seong; Ahn, In-Young</t>
  </si>
  <si>
    <t>Patterns, drivers and implications of ascidian distributions in a rapidly deglaciating fjord, King George Island, West Antarctic Peninsula</t>
  </si>
  <si>
    <t>Marian Cove; Antarctic fjord; Glacial retreat; Ascidian distribution and succession; Distance to glacier; Ice scouring; Sedimentation</t>
  </si>
  <si>
    <t>We report strong evidence for the utility of ascidian communities as sentinel organisms for monitoring nearshore Antarctic marine ecosystem response to climate-induced warming and glacial melting. Ascidians are one of the most common Antarctic epibenthic megafauna, but information on their distribution and the determinants is still scarce. In this study we investigated spatial patterns of ascidians in Marian Cove (MC), a rapidly deglaciating fjord in the West Antarctic Peninsula, one of the most rapidly warming regions on earth. We also analyzed key drivers structuring the communities and assessed their relevance to glacial retreat and following processes. The first applied ROV survey in MC discovered that ascidians were the most diverse (14 out of 64 taxa) taxa with the greatest abundance (-264 inds?m? 2). Ascidian abundance and diversity greatly varied in space, by distance from glacier and/or depths, explaining -64% of total megafaunal variations. Notably, in deep seabed (50?90 m) they shifted distinctly from early colonization communities near glacier (0.2 km to glacier) with predominance of two opportunistic species, Molgula pedunculata and Cnemidocarpa verrucosa, to mature communities at the most remote site (3.5 km). A set of analyses revealed that such shifts were related mostly to changes in sediment properties that develop in association with glacial retreat and consequent processes. Sediment composition, grain size and sorting collectively explained outward increasing physical stability apparently with decreased influence of glacial retreat, supporting ascidian community maturing at the deep and distant site. BIOENV analysis indicated that ?distance? to glacier is one key factor influencing ascidian community structure in the deep seabed. Overall, the results of the analyses strongly indicated that physical disturbances (mainly sedimentation and ice scouring) accompanying glacial retreat are an important force shaping ascidian assemblages in the cove, and that these forces are altered by the distance from the glacier and water depth. Notably, in this fjord, the period of sea bed deglaciation was roughly proportional to the distance to glacier over the last six decades. This suggested that the ascidian shift identified in this study reflects a long-term successional process associated with glacial retreat in the past in MC, which in turn warrants to project future changes in this glacial fjord and possibly other similar environments.</t>
  </si>
  <si>
    <t>[Kim, Dong-U; Ahn, In-Young] Korea Polar Res Inst KOPRI, Div Ocean Sci, 26 Songdomirae Ro, Incheon 21990, South Korea; [Kim, Dong-U; Khim, Jong Seong] Seoul Natl Univ, Sch Earth &amp; Environm Sci, Seoul 08826, South Korea; [Kim, Dong-U; Khim, Jong Seong] Seoul Natl Univ, Res Inst Oceanog, Seoul 08826, South Korea</t>
  </si>
  <si>
    <t>Korea Polar Research Institute (KOPRI); Seoul National University (SNU); Seoul National University (SNU)</t>
  </si>
  <si>
    <t>Ahn, IY (corresponding author), Korea Polar Res Inst KOPRI, Div Ocean Sci, 26 Songdomirae Ro, Incheon 21990, South Korea.</t>
  </si>
  <si>
    <t>iahn@kopri.re.kr</t>
  </si>
  <si>
    <t>Khim, Jong Seong/0000-0001-7977-0929</t>
  </si>
  <si>
    <t>Korea Polar Research Institute [PE17070, PE18070, PE19070, PE20120]</t>
  </si>
  <si>
    <t>The authors extend special thanks to the divers, Mr. Seoung-Goo Ra and Mr. Kwan-Young Song, for their hard work during assistance in ROV operation and sampling. We also thank the overwintering teams at King Sejong Station for collecting long-term monitoring data and for assisting with field work. We'd like to appreciate two anonymous reviewers for their constructive comments to improve the manuscript. This work was funded by the Korea Polar Research Institute (PE17070, PE18070, PE19070, PE20120).</t>
  </si>
  <si>
    <t>10.1016/j.ecolind.2021.107467</t>
  </si>
  <si>
    <t>RI9BE</t>
  </si>
  <si>
    <t>WOS:000637199600003</t>
  </si>
  <si>
    <t>Zhang, B; Yao, YB; Liu, L; Yang, YJ</t>
  </si>
  <si>
    <t>Zhang, Bao; Yao, Yibin; Liu, Lin; Yang, Yuanjian</t>
  </si>
  <si>
    <t>Interannual ice mass variations over the Antarctic ice sheet from 2003 to 2017 were linked to El Nino-Southern Oscillation</t>
  </si>
  <si>
    <t>Antarctica; Ice Mass Balance; interannual variations; El Nino-Southern Oscillation; GRACE</t>
  </si>
  <si>
    <t>AMUNDSEN SEA EMBAYMENT; SATELLITE GRAVIMETRY; WEST ANTARCTICA; SURFACE; CLIMATE; BALANCE; PRECIPITATION; GRACE; VARIABILITY; GREENLAND</t>
  </si>
  <si>
    <t>Interannual variability in the ice mass balance over the Antarctic Ice Sheet (AIS) is closely related to atmospheric circulation and has large impact on estimating the secular trends of mass change. However, the spatiotemporal patterns of the interannual mass balance over the AIS have not been well characterized and their connection with atmospheric circulation remains unclear. To address this limitation, we applied a statistical method to three sets of mass balance data and extracted the interannual mass change signals over the Antarctic Peninsula (AP), the West Antarctic Ice Sheet (WAIS), the East Antarctic Ice Sheet (EAIS), and the whole AIS from 2003 to 2017. Our results reveal that the interannual mass variations over the AP and the WAIS displayed similar temporal patterns, characterized by an increase in 2003-2008, a decrease in 2009-2013, and an increase again in 2014-2016 (relative to the mean of the interannual mass variations in 2003-2017). The interannual mass variations over the EAIS showed opposite patterns, characterized by a decrease in 2003-2008, an increase in 2009-2013, and a decrease again in 2014-2016. These temporal patterns generated a maximum value and a minimum value; the peak-to-valley mass change was -14 Gt for the AP and -129 Gt for the WAIS while the valley-to-peak mass change was 149 Gt for the EAIS. The entire AIS did not exhibit similar patterns to the WAIS or the EAIS but demonstrated oscillations of about three years. We find that the interannual variation in precipitation is the reason for the interannual variation of the mass balance over the AIS and was highly correlated with El Nifio-Southern Oscillation (ENSO) in 2003-2017. The interannual precipitation was positively correlated with ENSO in the AP (correlation=0.8) and the WAIS (correlation=0.9) but negatively correlated in the EAIS (correlation=-0.8). We also uncover that ENSO largely modulated the atmospheric circulation over the AIS and its surrounding regions. In 2009-2013 when ENSO was in strong negative phase, precipitation decreased in the AP and the WAIS but increased in the EAIS, conversely, in 2014-2016 when ENSO was in strong positive phase, precipitation increased in the AP and the WAIS but decreased in the EAIS. Overall, the opposite behaviors of precipitation in the WAIS and the EAIS under strong ENSO conditions explained the spatiotemporal patterns of interannual ice mass variations over the AIS in 2003-2017. The findings of the anti-correlation between the ENSO and the precipitation in the EAIS and the opposite temporal patterns between the WAIS and the EAIS are particularly novel and adds new insights to cryosphere studies. (C) 2021 Elsevier B.V. All rights reserved.</t>
  </si>
  <si>
    <t>[Zhang, Bao; Yao, Yibin] Wuhan Univ, Sch Geodesy &amp; Geomat, Wuhan 430079, Peoples R China; [Liu, Lin] Chinese Univ Hong Kong, Earth Syst Sci Programme, Hong Kong, Peoples R China; [Yang, Yuanjian] Nanjing Univ Informat Sci &amp; Technol, Sch Atmospher Phys, Nanjing, Peoples R China</t>
  </si>
  <si>
    <t>Wuhan University; Chinese University of Hong Kong; Nanjing University of Information Science &amp; Technology</t>
  </si>
  <si>
    <t>Yao, YB (corresponding author), Wuhan Univ, Sch Geodesy &amp; Geomat, Wuhan 430079, Peoples R China.</t>
  </si>
  <si>
    <t>sggzb@whu.edu.cn; ybyao@whu.edu.cn; liulin@cuhk.edu.hk; yyj1985@nuist.edu.cn</t>
  </si>
  <si>
    <t>Liu, Lin/Q-4237-2018; Yao, Yibin/B-1395-2013; Yang, Yuan-Jian/AAR-2465-2021</t>
  </si>
  <si>
    <t>Liu, Lin/0000-0002-9581-1337; Yang, Yuan-Jian/0000-0003-3486-6286</t>
  </si>
  <si>
    <t>National Natural Science Foundation of China [42074035, 41704004, 41574028]; China Postdoctoral Science Foundation [2019T120687, 2018M630880]; Fundamental Research Funds for the Central Universities [2042020kf0009]</t>
  </si>
  <si>
    <t>National Natural Science Foundation of China(National Natural Science Foundation of China (NSFC)); China Postdoctoral Science Foundation(China Postdoctoral Science Foundation); Fundamental Research Funds for the Central Universities(Fundamental Research Funds for the Central Universities)</t>
  </si>
  <si>
    <t>We thank Dr. Cecile Agosta for providing the MAR SMB data, Dr. Melchior van Wessem for providing the RACMO2.3p2 SMB data, and Prof. Eric Rignot for providing the Antarctica ice discharge data. We also thank ESA Climate Change Initiative Antarctic Ice Sheet Project for providing Antarctic gravimetric mass balance products and the IMBIE group for providing reconciled mass balance data. This work was supported by National Natural Science Foundation of China (42074035; 41704004; 41574028) and China Postdoctoral Science Foundation Grant (2019T120687; 2018M630880) and the Fundamental Research Funds for the Central Universities (2042020kf0009).</t>
  </si>
  <si>
    <t>10.1016/j.epsl.2021.116796</t>
  </si>
  <si>
    <t>WOS:000626527700010</t>
  </si>
  <si>
    <t>Lisé-Pronovost, A; Fletcher, MS; Simon, Q; Jacobs, Z; Gadd, PS; Hestop, D; Herries, AIR; Yokoyama, Y; Team, A</t>
  </si>
  <si>
    <t>Lise-Pronovost, Agathe; Fletcher, Michael-Shawn; Simon, Quentin; Jacobs, Zenobia; Gadd, Patricia S.; Hestop, David; Herries, Andy I. R.; Yokoyama, Yusuke; Team, Aster</t>
  </si>
  <si>
    <t>Chronostratigraphy of a 270-ka sediment record from Lake Selina, Tasmania: Combining radiometric, geomagnetic and climatic dating</t>
  </si>
  <si>
    <t>QUATERNARY GEOCHRONOLOGY</t>
  </si>
  <si>
    <t>Paleomagnetism; Optically stimulated luminescence; Radiocarbon; Authigenic 10Be/9Be ratio; Pleistocene; Lake sediment; Australia</t>
  </si>
  <si>
    <t>MATUYAMA-BRUNHES TRANSITION; MAGNETIZATION LOCK-IN; SOUTHERN-HEMISPHERE; AUSTRALIAN MEGAFAUNA; AUTHIGENIC BE-10/BE-9; NORTHERN AUSTRALIA; WESTERN TASMANIA; COSMOGENIC BE-10; MARINE-SEDIMENTS; FIELD INTENSITY</t>
  </si>
  <si>
    <t>Lake sediment archives covering several glacial cycles are scarce in the Southern Hemisphere and they are challenging to date. Here we present the chronostratigraphy of the oldest continuous lake sediment archive in Tasmania, Australia; a 5.5 m and 270 ka (Marine Isotope Stage 8) sediment core from Lake Selina. We employ radiometric dating (radiocarbon and optically stimulated luminescence) and relative dating (geomagnetic and climate comparisons). Bayesian modeling of the radiometric ages reaches back to 80 ka (1.7 m) and relative dating using a dynamic programing algorithm allows dating of the full sequence. Elemental data, magnetic properties and beryllium isotopes from Lake Selina reveal a close fit to Antarctic ice core climate proxies. Weaker correlation during the Last Glacial Period (MIS 2-4) is attributed to additional local factors impacting Lake Selina proxies at a time of climate changes and human arrival into Tasmania. Over that period, full vector paleomagnetic records and authigenic Be-10/Be-9 ratios are combined to identify the Laschamp geomagnetic excursion for the first time in Australia and constrain the chronology. The multi-method approach provides two preferred age models, indiscernible within their uncertainties, which allows the use of a geomagnetic dipole-independent (full archive) or a climate-independent (111 ka to present) age model.</t>
  </si>
  <si>
    <t>[Lise-Pronovost, Agathe] Univ Melbourne, Sch Earth Sci, Carlton, Vic 3053, Australia; [Lise-Pronovost, Agathe; Herries, Andy I. R.] La Trobe Univ, Australian Archaeomagnetism Lab, Dept Archaeol &amp; Hist, Palaeosci Labs, Melbourne Campus, Bundoora, Vic 3086, Australia; [Fletcher, Michael-Shawn] Univ Melbourne, Sch Geog, Carlton, Vic 3053, Australia; [Simon, Quentin; Team, Aster] Aix Marseille Univ, Coll France, CNRS, CEREGE UM34,IRD,INRAE, F-13545 Aix En Provence, France; [Jacobs, Zenobia] Univ Wollongong, Australian Res Council Ctr Excellence Australian, Wollongong, NSW 2522, Australia; [Jacobs, Zenobia] Univ Wollongong, Sch Earth Atmospher &amp; Life Sci, Wollongong, NSW 2522, Australia; [Gadd, Patricia S.] Australian Nucl Sci &amp; Technol Org ANSTO, New Illawarra Rd, Lucas Heights 2234, Australia; [Hestop, David] Australian Natl Univ, Res Sch Earth Sci, Acton, ACT 2601, Australia; [Yokoyama, Yusuke] Univ Tokyo, Grad Sch Sci, Dept Earth &amp; Planetary Sci, Chiba 2778564, Japan</t>
  </si>
  <si>
    <t>University of Melbourne; La Trobe University; University of Melbourne; Universite PSL; College de France; Aix-Marseille Universite; Centre National de la Recherche Scientifique (CNRS); Institut de Recherche pour le Developpement (IRD); INRAE; University of Wollongong; University of Wollongong; Australian Nuclear Science &amp; Technology Organisation; Australian National University; University of Tokyo</t>
  </si>
  <si>
    <t>Lisé-Pronovost, A (corresponding author), Univ Melbourne, Sch Earth Sci, Carlton, Vic 3053, Australia.</t>
  </si>
  <si>
    <t>agathe.lise@unimelb.edu.au</t>
  </si>
  <si>
    <t>Jacobs, Zenobia/B-2721-2012; Fletcher, Michael-Shawn/AFR-2451-2022; Simon, Quentin/D-9956-2017</t>
  </si>
  <si>
    <t>Fletcher, Michael-Shawn/0000-0002-1854-5629; Herries, Andy/0000-0002-2905-2002; Simon, Quentin/0000-0001-8247-0150; Lise-Pronovost, Agathe/0000-0002-7977-0512; Gadd, Patricia/0000-0001-6725-1603</t>
  </si>
  <si>
    <t>National Collaborative Research Infrastructure Strategy (NCRIS); Australian Research Council [IN140100050, IN170100062, DP190100874]; La Trobe University DVCR Fellowship; University of Melbourne McKenzie Fellowship; INSU/CNRS; ANR through the EQUIPEX ASTER-CEREGE action; IRD; Australian Research Council [IN140100050, IN170100062] Funding Source: Australian Research Council; Grants-in-Aid for Scientific Research [20H00193] Funding Source: KAKEN</t>
  </si>
  <si>
    <t>National Collaborative Research Infrastructure Strategy (NCRIS)(Australian GovernmentDepartment of Industry, Innovation and Science); Australian Research Council(Australian Research Council); La Trobe University DVCR Fellowship; University of Melbourne McKenzie Fellowship; INSU/CNRS(Centre National de la Recherche Scientifique (CNRS)); ANR through the EQUIPEX ASTER-CEREGE action(Agence Nationale de la Recherche (ANR)); IRD; Australian Research Council(Australian Research Council); Grants-in-Aid for Scientific Research(Ministry of Education, Culture, Sports, Science and Technology, Japan (MEXT)Japan Society for the Promotion of ScienceGrants-in-Aid for Scientific Research (KAKENHI))</t>
  </si>
  <si>
    <t>Thanks to the TAS1402 drilling team (Kristen K. Beck, Alexa Benson, Angelica Ramirez, William Rapuc, Anthony Romano) and the data science support team (Milan Korbel, Shashwat Pathak, Lachlan Simpson) . This research was supported by use of the Nectar Research Cloud; a collaborative Australian research platform supported by the National Collaborative Research Infrastructure Strategy (NCRIS) . We thank Maarten Blaauw for support with rbacon and Xiang Zhao and Andrew Roberts for assistance at the Paleomagnetism Laboratory at the Australian National University. This project was funded by the Australian Research Council Discovery Indigenous IN140100050 to M.-S. Fletcher and IN170100062 to M.-S. Fletcher and A. Lise-Pronovost. A. Lise-Pronovost was supported by a La Trobe University DVCR Fellowship and a University of Melbourne McKenzie Fellowship. D. Heslop was supported by the Australian Research Council (DP190100874) . The ASTER AMS national facility (CEREGE, Aix en Provence) is supported by INSU/CNRS, ANR through the EQUIPEX ASTER-CEREGE action, and IRD.</t>
  </si>
  <si>
    <t>1871-1014</t>
  </si>
  <si>
    <t>1878-0350</t>
  </si>
  <si>
    <t>QUAT GEOCHRONOL</t>
  </si>
  <si>
    <t>Quat. Geochronol.</t>
  </si>
  <si>
    <t>10.1016/j.quageo.2021.101152</t>
  </si>
  <si>
    <t>QR2GG</t>
  </si>
  <si>
    <t>WOS:000625032400002</t>
  </si>
  <si>
    <t>Browning, TJ; Achterberg, EP; Engel, A; Mawji, E</t>
  </si>
  <si>
    <t>Browning, Thomas J.; Achterberg, Eric P.; Engel, Anja; Mawji, Edward</t>
  </si>
  <si>
    <t>Manganese co-limitation of phytoplankton growth and major nutrient drawdown in the Southern Ocean</t>
  </si>
  <si>
    <t>DISSOLVED IRON; DRAKE PASSAGE; ENRICHMENT EXPERIMENTS; ATLANTIC SECTOR; TRACE-METALS; WEDDELL SEA; DEPOSITION; FLUXES; OXIDES; MODEL</t>
  </si>
  <si>
    <t>Residual macronutrients in the surface Southern Ocean result from restricted biological utilization, caused by low wintertime irradiance, cold temperatures, and insufficient micronutrients. Variability in utilization alters oceanic CO2 sequestration at glacial-interglacial timescales. The role for insufficient iron has been examined in detail, but manganese also has an essential function in photosynthesis and dissolved concentrations in the Southern Ocean can be strongly depleted. However, clear evidence for or against manganese limitation in this system is lacking. Here we present results from ten experiments distributed across Drake Passage. We found manganese (co-)limited phytoplankton growth and macronutrient consumption in central Drake Passage, whilst iron limitation was widespread nearer the South American and Antarctic continental shelves. Spatial patterns were reconciled with the different rates and timescales for removal of each element from seawater. Our results suggest an important role for manganese in modelling Southern Ocean productivity and understanding major nutrient drawdown in glacial periods. Southern Ocean productivity is a crucial component of the carbon cycle, but phytoplankton there are thought to be limited by iron. Here the authors conduct trace metal incubation experiments across the Drake Passage, finding that manganese can play an unexpected role in restricting phytoplankton growth.</t>
  </si>
  <si>
    <t>[Browning, Thomas J.; Achterberg, Eric P.; Engel, Anja] GEOMAR Helmholtz Ctr Ocean Res, Marine Biogeochem Div, Kiel, Germany; [Mawji, Edward] Natl Oceanog Ctr Southampton, Southampton, Hants, England</t>
  </si>
  <si>
    <t>Helmholtz Association; GEOMAR Helmholtz Center for Ocean Research Kiel; NERC National Oceanography Centre; University of Southampton</t>
  </si>
  <si>
    <t>Browning, TJ (corresponding author), GEOMAR Helmholtz Ctr Ocean Res, Marine Biogeochem Div, Kiel, Germany.</t>
  </si>
  <si>
    <t>tbrowning@geomar.de</t>
  </si>
  <si>
    <t>Engel, Andreas/E-3100-2014; Achterberg, Eric P/C-5820-2009; Browning, Thomas J/B-8451-2019</t>
  </si>
  <si>
    <t>Browning, Thomas J/0000-0002-2864-6087; Mawji, Edward/0000-0002-9860-1351</t>
  </si>
  <si>
    <t>Projekt DEAL; NERC [noc010009] Funding Source: UKRI</t>
  </si>
  <si>
    <t>Projekt DEAL; NERC(UK Research &amp; Innovation (UKRI)Natural Environment Research Council (NERC))</t>
  </si>
  <si>
    <t>Open Access funding enabled and organized by Projekt DEAL.</t>
  </si>
  <si>
    <t>FEB 9</t>
  </si>
  <si>
    <t>10.1038/s41467-021-21122-6</t>
  </si>
  <si>
    <t>QK2RR</t>
  </si>
  <si>
    <t>WOS:000620230000009</t>
  </si>
  <si>
    <t>Fuhr, M; Laukert, G; Yu, Y; Nürnberg, D; Frank, M</t>
  </si>
  <si>
    <t>Fuhr, Michael; Laukert, Georgi; Yu, Yang; Nuernberg, Dirk; Frank, Martin</t>
  </si>
  <si>
    <t>Tracing Water Mass Mixing From the Equatorial to the North Pacific Ocean With Dissolved Neodymium Isotopes and Concentrations</t>
  </si>
  <si>
    <t>North Pacific Gyre; neodymium isotopes; water mass mixing; North Pacific Intermediate Water; water mass tracing</t>
  </si>
  <si>
    <t>RARE-EARTH-ELEMENT; ND ISOTOPE; INTERMEDIATE WATER; TROPICAL PACIFIC; SURFACE WATERS; OKHOTSK SEA; CIRCULATION; DISTRIBUTIONS; VARIABILITY; GULF</t>
  </si>
  <si>
    <t>The sluggish water mass transport in the deeper North Pacific Ocean complicates the assessment of formation, spreading and mixing of surface, intermediate and deep-water masses based on standard hydrographic parameters alone. Geochemical tracers sensitive to water mass provenance and mixing allow to better characterize the origin and fate of the prevailing water masses. Here, we present dissolved neodymium (Nd) isotope compositions (epsilon(Nd)) and concentrations ([Nd]) obtained along a longitudinal transect at similar to 180 degrees E from similar to 7 degrees S to similar to 50 degrees N. The strongest contrast in Nd isotope signatures is observed in equatorial regions between surface waters (epsilon(Nd) similar to 0 at 4.5 degrees N) and Lower Circumpolar Deep Water (LCDW) prevailing at 4500 m depth (epsilon(Nd) = -6.7 at 7.2 degrees N). The Nd isotope compositions of equatorial surface and subsurface waters are strongly influenced by regional inputs from the volcanic rocks surrounding the Pacific, which facilitates the identification of the source regions of these waters and seasonal changes in their advection along the equator. Highly radiogenic weathering inputs from Papua-New-Guinea control the epsilon(Nd) signature of the equatorial surface waters and strongly alter the epsilon(Nd) signal of Antarctic Intermediate Water (AAIW) by sea water-particle interactions leading to an epsilon(Nd) shift from -5.3 to -1.7 and an increase in [Nd] from 8.5 to 11.0 pmol/kg between 7 degrees S and 15 degrees N. Further north in the open North Pacific, mixing calculations based on epsilon(Nd), [Nd] and salinity suggest that this modification of the AAIW composition has a strong impact on intermediate water epsilon(Nd) signatures of the entire region allowing for improved identification of the formation regions and pathways of North Pacific Intermediate Water (NPIW). The deep-water Nd isotope signatures indicate a southern Pacific origin and subsequent changes along its trajectory resulting from a combination of water mass mixing, vertical processes and Nd release from seafloor sediments, which precludes Nd isotopes as quantitative tracers of deep-water mass mixing. Moreover, comparison with previously reported data indicates that the Nd isotope signatures and concentrations below 100 m depth essentially remained stable over the pest decades, which suggests constant impacts of water mass advection and mixing as well as of non-conservative vertical exchange and bottom release.</t>
  </si>
  <si>
    <t>[Fuhr, Michael; Laukert, Georgi; Yu, Yang; Nuernberg, Dirk; Frank, Martin] GEOMAR Helmholtz Ctr Ocean Res Kiel, Kiel, Germany</t>
  </si>
  <si>
    <t>Helmholtz Association; GEOMAR Helmholtz Center for Ocean Research Kiel</t>
  </si>
  <si>
    <t>Fuhr, M (corresponding author), GEOMAR Helmholtz Ctr Ocean Res Kiel, Kiel, Germany.</t>
  </si>
  <si>
    <t>m.drove@gmail.com</t>
  </si>
  <si>
    <t>Fuhr, Michael/JED-9116-2023; Fuhr, Michael/JFA-0632-2023</t>
  </si>
  <si>
    <t>Fuhr, Michael/0000-0002-5169-6744; Frank, Martin/0000-0002-8606-4421; Laukert, Georgi/0000-0002-8209-763X; Yu, Yang/0000-0002-1790-807X</t>
  </si>
  <si>
    <t>German Federal Ministry of Education and Research (BMBF) [SO264 SONNE-EMPEROR (03G0264A)]</t>
  </si>
  <si>
    <t>German Federal Ministry of Education and Research (BMBF)(Federal Ministry of Education &amp; Research (BMBF))</t>
  </si>
  <si>
    <t>The RV SONNE cruise SO264 to the North Pacific was funded by the German Federal Ministry of Education and Research (BMBF) [Project SO264 SONNE-EMPEROR (03G0264A), granted to DN].</t>
  </si>
  <si>
    <t>10.3389/fmars.2020.603761</t>
  </si>
  <si>
    <t>QH6FD</t>
  </si>
  <si>
    <t>WOS:000618369100001</t>
  </si>
  <si>
    <t>Fernández, DA; Palazzesi, L; González Estebenet, MS; Telleria, M; Barreda, VD</t>
  </si>
  <si>
    <t>Fernandez, Damian A.; Palazzesi, Luis; Gonzalez Estebenet, M. Sol; Cristina Telleria, M.; Barreda, Viviana D.</t>
  </si>
  <si>
    <t>Impact of mid Eocene greenhouse warming on America's southernmost floras</t>
  </si>
  <si>
    <t>RIO-TURBIO FORMATION; PLANT DIVERSITY; RAREFACTION; EXTRAPOLATION; PALEOCENE; ARGENTINA; PATAGONIA; OCEAN</t>
  </si>
  <si>
    <t>A major climate shift took place about 40Myr ago-the Middle Eocene Climatic Optimum or MECO-triggered by a significant rise of atmospheric CO2 concentrations. The biotic response to this MECO is well documented in the marine realm, but poorly explored in adjacent landmasses. Here, we quantify the response of the floras from America's southernmost latitudes based on the analysis of terrestrially derived spores and pollen grains from the mid-late Eocene (similar to 46-34Myr) of southern Patagonia. Robust nonparametric estimators indicate that floras in southern Patagonia were in average similar to 40% more diverse during the MECO than pre-MECO and post-MECO intervals. The high atmospheric CO2 and increasing temperatures may have favored the combination of neotropical migrants with Gondwanan species, explaining in part the high diversity that we observed during the MECO. Our reconstructed biota reflects a greenhouse world and offers a climatic and ecological deep time scenario of an ice-free sub-Antarctic realm.</t>
  </si>
  <si>
    <t>[Fernandez, Damian A.] CADIC, Lab Geomorfol &amp; Cuaternario, Ushuaia, Argentina; [Fernandez, Damian A.] Univ Nacl Tierra Fuego, Inst Ciencias Polares Ambiente &amp; Recursos Nat, Ushuaia, Argentina; [Fernandez, Damian A.; Palazzesi, Luis; Gonzalez Estebenet, M. Sol; Cristina Telleria, M.; Barreda, Viviana D.] Consejo Nacl Invest Cient &amp; Tecn CONICET, Buenos Aires, DF, Argentina; [Palazzesi, Luis; Barreda, Viviana D.] Museo Argentino Ciencias Nat Bernardino Rivadavia, Secc Paleopalinol, Buenos Aires, DF, Argentina; [Gonzalez Estebenet, M. Sol] Univ Nacl Sur, Inst Geol Sur INGEOSUR, Dept Geol, Bahia Blanca, Buenos Aires, Argentina; [Cristina Telleria, M.] Museo La Plata, Lab Sistemat &amp; Biol Evolut, La Plata, Argentina</t>
  </si>
  <si>
    <t>Consejo Nacional de Investigaciones Cientificas y Tecnicas (CONICET); Museo Argentino de Ciencias Naturales Bernardino Rivadavia (MACN); National University of the South; National University of La Plata; Museo La Plata</t>
  </si>
  <si>
    <t>Palazzesi, L (corresponding author), Consejo Nacl Invest Cient &amp; Tecn CONICET, Buenos Aires, DF, Argentina.;Palazzesi, L (corresponding author), Museo Argentino Ciencias Nat Bernardino Rivadavia, Secc Paleopalinol, Buenos Aires, DF, Argentina.</t>
  </si>
  <si>
    <t>lpalazzesi@macn.gov.ar</t>
  </si>
  <si>
    <t>Fernandez, Damian Andres/0000-0001-6065-3837; Palazzesi, Luis/0000-0001-8026-4679</t>
  </si>
  <si>
    <t>Consejo Nacional de Investigaciones Cientificas y Tecnicas [PIP 2014-0259]; Agencia Nacional de Investigaciones Cientificas y Tecnicas [PICT 2017-0671]</t>
  </si>
  <si>
    <t>Consejo Nacional de Investigaciones Cientificas y Tecnicas(Consejo Nacional de Investigaciones Cientificas y Tecnicas (CONICET)); Agencia Nacional de Investigaciones Cientificas y Tecnicas</t>
  </si>
  <si>
    <t>We thank O. Cardenas and S. Mirabelli for assistance with palynological processing; A. Gonzalez for assistance with drawing; V. Guler for assistance with stratigraphy; M.S. Candel for assistance with dinocyst taxonomy; A. Yanez and J.N. Viera Barreto for assistance with phytogeography. One anonymous reviewer, Carina Hoorn, and Alina I. Iakovleva improved enormously our first version of the manuscript. This work was partially supported by Consejo Nacional de Investigaciones Cientificas y Tecnicas (PIP 2014-0259) and Agencia Nacional de Investigaciones Cientificas y Tecnicas (PICT 2017-0671).</t>
  </si>
  <si>
    <t>10.1038/s42003-021-01701-5</t>
  </si>
  <si>
    <t>QK1YD</t>
  </si>
  <si>
    <t>WOS:000620177600001</t>
  </si>
  <si>
    <t>Rosevear, MG; Gayen, B; Galton-Fenzi, BK</t>
  </si>
  <si>
    <t>Rosevear, Madelaine Gamble; Gayen, Bishakhdatta; Galton-Fenzi, Benjamin Keith</t>
  </si>
  <si>
    <t>The role of double-diffusive convection in basal melting of Antarctic ice shelves</t>
  </si>
  <si>
    <t>ice-ocean interactions; double-diffusive convection; basal melting of Antarctic ice shelves; large-eddy simulation; thermohaline staircases</t>
  </si>
  <si>
    <t>STABLE SALINITY GRADIENT; BOUNDARY-LAYER; UPPER OCEAN; TURBULENT; ABLATION; STRATIFICATION; INTERFACE; DYNAMICS; SURFACE; BENEATH</t>
  </si>
  <si>
    <t>The Antarctic Ice Sheet loses about half its mass through ocean-driven melting of its fringing ice shelves. However, the ocean processes governing ice shelf melting are not well understood, contributing to uncertainty in projections of Antarctica's contribution to global sea level. We use high-resolution large-eddy simulation to examine ocean-driven melt, in a geophysical-scale model of the turbulent ice shelf-ocean boundary layer, focusing on the ocean conditions observed beneath the Ross Ice Shelf. We quantify the role of double-diffusive convection in determining ice shelf melt rates and oceanic mixed layer properties in relatively warm and low-velocity cavity environments. We demonstrate that double-diffusive convection is the first-order process controlling the melt rate and mixed layer evolution at these flow conditions, even more important than vertical shear due to a mean flow, and is responsible for the step-like temperature and salinity structure, or thermohaline staircase, observed beneath the ice. A robust feature of the multiday simulations is a growing saline diffusive sublayer that drives a time-dependent melt rate. This melt rate is lower than current ice-ocean parameterizations, which consider only shear-controlled turbulent melting, would predict. Our main finding is that double-diffusive convection is an important process beneath ice shelves, yet is currently neglected in ocean-climate models.</t>
  </si>
  <si>
    <t>[Rosevear, Madelaine Gamble] Univ Tasmania, Inst Marine &amp; Antarctic Studies, Hobart, Tas 7004, Australia; [Gayen, Bishakhdatta] Univ Melbourne, Dept Mech Engn, Melbourne, Vic 3010, Australia; [Gayen, Bishakhdatta] Indian Inst Sci, Ctr Atmospher &amp; Ocean Sci, Bengaluru 560012, India; [Galton-Fenzi, Benjamin Keith] Australian Antarctic Div, Kingston, Tas 7050, Australia; [Galton-Fenzi, Benjamin Keith] Univ Tasmania, Australian Antarctic Program Partnership, Hobart, Tas 7004, Australia</t>
  </si>
  <si>
    <t>University of Tasmania; University of Melbourne; Melbourne Bioinformatics; Indian Institute of Science (IISC) - Bangalore; Australian Antarctic Division; University of Tasmania</t>
  </si>
  <si>
    <t>Rosevear, MG (corresponding author), Univ Tasmania, Inst Marine &amp; Antarctic Studies, Hobart, Tas 7004, Australia.</t>
  </si>
  <si>
    <t>madi.rosevear@uwa.edu.au</t>
  </si>
  <si>
    <t>Gayen, Bishakhdatta/D-9679-2011</t>
  </si>
  <si>
    <t>Gayen, Bishakhdatta/0000-0001-6543-2590; Galton-Fenzi, Benjamin Keith/0000-0003-1404-4103</t>
  </si>
  <si>
    <t>Australian Research Council's Special Research Initiative for Antarctic Gateway Partnership [SR140300001]; Australian Research Council Future Fellowship [FT180100037]; Australian Antarctic Program Partnership; Commonwealth of Australia; Australian Research Council [FT180100037] Funding Source: Australian Research Council</t>
  </si>
  <si>
    <t>Australian Research Council's Special Research Initiative for Antarctic Gateway Partnership(Australian Research Council); Australian Research Council Future Fellowship(Australian Research Council); Australian Antarctic Program Partnership; Commonwealth of Australia(Australian Government); Australian Research Council(Australian Research Council)</t>
  </si>
  <si>
    <t>We thank Dr. Felicity McCormack and two anonymous reviewers for insightful comments on the manuscript. This research was supported under the Australian Research Council's Special Research Initiative for Antarctic Gateway Partnership (Project ID SR140300001), and B.G. is supported by Australian Research Council Future Fellowship. Grant FT180100037. B.K.G.-F. is supported by the Australian Antarctic Program Partnership. Numerical simulations were conducted on the Australian National Computational Infrastructure, the Australian National University, which is supported by the Commonwealth of Australia.</t>
  </si>
  <si>
    <t>e2007541118</t>
  </si>
  <si>
    <t>10.1073/pnas.2007541118</t>
  </si>
  <si>
    <t>QG1MR</t>
  </si>
  <si>
    <t>WOS:000617355300012</t>
  </si>
  <si>
    <t>Hawes, I; Howard-Williams, C; Gilbert, N; Joy, K</t>
  </si>
  <si>
    <t>Hawes, Ian; Howard-Williams, Clive; Gilbert, Neil; Joy, Kurt</t>
  </si>
  <si>
    <t>Towards an Environmental Classification of Lentic Aquatic Ecosystems in the McMurdo Dry Valleys, Antarctica</t>
  </si>
  <si>
    <t>Antarctica; Lakes; Ponds; Classification; Management</t>
  </si>
  <si>
    <t>The McMurdo Dry Valleys are the largest single ice-free area in Antarctica, and of considerable scientific and conservation value as an extreme polar desert. This is recognised through the McMurdo Dry Valleys Antarctic Specially Managed Area (ASMA), where management's goals focus on protection of its unique features, while facilitating science access. Using a mix of remote sensing and existing cartography, we have identified over 6000 lakes and ponds in the ASMA. This study develops a classification of those aquatic ecosystems to provide a framework for management. It uses a limited top-down, hierarchical classification to define 13 class separations based on physical attributes that could largely be ascribed from existing databases or remotely sensed information. The first hierarchical level was based on landscape position, separating coastal kettle holes (reflecting recent glacial history), from other topographic water bodies. The second level was based on endorheic vs exorheic drainage, the third on mid-summer ice condition (no-ice cap; ice capped; frozen to base) and the fourth on source of inflow (glacial or non-glacial). Kettles were sub-classed by mid-summer ice only. Classes were tested against a set of field observations and an expert workshop validation process considered management implications for the ASMA. This study shows how the classification assists our understanding of Dry Valley landscapes and addresses management issues faced by researchers, environmental managers and policy makers. The approach to classification, rather than the detailed classes that may be specific to the Dry Valleys, has potential for wider use in other polar landscapes.</t>
  </si>
  <si>
    <t>[Hawes, Ian] Univ Waikato, Coastal Marine Field Stn, 58 Cross Rd, Tauranga 3110, New Zealand; [Howard-Williams, Clive] Natl Inst Water &amp; Atmospher Res Lt, Box 8602, Christchurch, New Zealand; [Gilbert, Neil] Constantia Consulting Ltd, 310 Papanui Rd, Christchurch 8052, New Zealand; [Joy, Kurt] Univ Waikato, Dept Biol Sci, Hamilton, New Zealand; [Joy, Kurt] Orbica Ltd, 128 Litchfield St, Christchurch 8011, New Zealand</t>
  </si>
  <si>
    <t>University of Waikato; University of Waikato</t>
  </si>
  <si>
    <t>Hawes, I (corresponding author), Univ Waikato, Coastal Marine Field Stn, 58 Cross Rd, Tauranga 3110, New Zealand.</t>
  </si>
  <si>
    <t>Ian.Hawes@waikato.ac.nz</t>
  </si>
  <si>
    <t>Gilbert, Neil/AAD-7842-2022</t>
  </si>
  <si>
    <t>Gilbert, Neil/0000-0003-2055-4249; Hawes, Ian/0000-0003-2471-6903</t>
  </si>
  <si>
    <t>New Zealand Ministry of Business Innovation and Employment grant [UOWX1401]; University of Waikato's DRYVER project; Polar Geospatial Center under NSF [1246292]; Office of Polar Programs (OPP); Directorate For Geosciences [1246292] Funding Source: National Science Foundation</t>
  </si>
  <si>
    <t>New Zealand Ministry of Business Innovation and Employment grant(New Zealand Ministry of Business, Innovation and Employment (MBIE)); University of Waikato's DRYVER project; Polar Geospatial Center under NSF; Office of Polar Programs (OPP); Directorate For Geosciences(National Science Foundation (NSF)NSF - Directorate for Geosciences (GEO))</t>
  </si>
  <si>
    <t>This study was funded by New Zealand Ministry of Business Innovation and Employment grant (UOWX1401) that supported the University of Waikato's DRYVER project (led by Prof. Craig Cary), within which this study was based. The data used in the 100 Ponds data set were accumulated over several years with support of field colleagues too numerous to detail. We thank them all, along with the logistics support of the Antarctica New Zealand and the US Antarctic programme. The authors thank our colleagues in the DryVER Programme and the US-LTER project for many discussions on this topic, and particularly thanks are due to Dr. Ton Snelder (The Water People) for his advice and review on classification systems. We thank Dr. Susie Woods (Cawthron Institute) for coordination of the sequencing for 16S and 18S rRNA amplicons. We acknowledge our collaborator Prof. Craig Cary for access to very high-resolution imagery provided by the Polar Geospatial Center under NSF Grant 1246292 that was used to derive some of the water body attributes presented here. We also thank Planet Explorer Team for free access to high-resolution 3- and 4-band imagery of the ASMA. The 2018 Policy Workshop to evaluate the system included as attendees Rebecca Roper-Gee (Antarctica New Zealand), Ceisha Poirot (Policy, Environment and Safety Team Antarctica New Zealand), Jenny Webster-Brown (Director Waterways Centre for Freshwater Management, New Zealand) and Anne Jungblut (Natural History Museum, London). We are grateful to Michael Gooseff (Principal Investigator, McMurdo Dry Valleys US-LTER programme), Dr. Peter Doran (Louisiana State) and Dr. Polly Penhale (National Science Foundation) for further discussions on the validity of the classification. Finally we wish to thank the editors of Environmental Management and two anonymous reviewers who provided feedback that allowed us to improve greatly the paper.</t>
  </si>
  <si>
    <t>10.1007/s00267-021-01438-1</t>
  </si>
  <si>
    <t>QW2KQ</t>
  </si>
  <si>
    <t>WOS:000616449400001</t>
  </si>
  <si>
    <t>Feng, JJ; He, CY; Jiang, SH; Zhang, T; Yu, LY</t>
  </si>
  <si>
    <t>Feng, Jian-Ju; He, Chen-Yang; Jiang, Shu-Hua; Zhang, Tao; Yu, Li-Yan</t>
  </si>
  <si>
    <t>Saccharomycomorpha psychra n. g., n. sp., a Novel Member of Glissmonadida (Cercozoa) Isolated from Arctic and Antarctica</t>
  </si>
  <si>
    <t>JOURNAL OF EUKARYOTIC MICROBIOLOGY</t>
  </si>
  <si>
    <t>18S rRNA gene; morphology; phylogeny; polar region</t>
  </si>
  <si>
    <t>A novel genus and species within the order Glissmonadida (Cercozoa, Rhizaria), Saccharomycomorpha psychra n. g., n. sp., is described from lichen in the Ny-angstrom lesund region (High Arctic) and moss in the Fildes peninsula of King George Island (Maritime Antarctica). Cells were spherical and did not appear to present flagella in organic-rich Potato Dextrose Agar medium where they were able to feed osmotrophically. Molecular phylogenetic analyses based on 18S rRNA gene sequence demonstrated that Saccharomycomorpha psychra belong to clade T within the order Glissmonadida (Cercozoa, Rhizaria). All three investigated strains could grow at 4 degrees C and had an optimum growth temperature of 12 degrees C, 20 degrees C, and 20 degrees C, while a maximum growth temperature of 20 degrees C, 20 degrees C, and 25 degrees C, respectively. In conclusion, we established the phenotypic identity of clade T, which until now was exclusively detected by environmental sequences, and erect a new family Saccharomycomorphidae for clade T. Nomenclatural, morphological and ecological aspects of this novel species are discussed.</t>
  </si>
  <si>
    <t>[Feng, Jian-Ju; He, Chen-Yang; Zhang, Tao; Yu, Li-Yan] Chinese Acad Med Sci &amp; Peking Union Med Coll, Inst Med Biotechnol, China Pharmaceut Culture Collect, Beijing 100050, Peoples R China; [Jiang, Shu-Hua] Chinese Acad Sci, Inst Microbiol, State Key Lab Mycol, Beijing 100101, Peoples R China</t>
  </si>
  <si>
    <t>Chinese Academy of Medical Sciences - Peking Union Medical College; Peking Union Medical College; Chinese Academy of Sciences; Institute of Microbiology, CAS</t>
  </si>
  <si>
    <t>Zhang, T; Yu, LY (corresponding author), Chinese Acad Med Sci &amp; Peking Union Med Coll, Inst Med Biotechnol, China Pharmaceut Culture Collect, Beijing 100050, Peoples R China.</t>
  </si>
  <si>
    <t>zhangt@cpcc.ac.cn; yly@cpcc.ac.cn</t>
  </si>
  <si>
    <t>yu, liyan/GYD-2950-2022</t>
  </si>
  <si>
    <t>yu, liyan/0000-0002-8861-9806</t>
  </si>
  <si>
    <t>National Natural Science Foundation of China (NSFC) [31670025]; Projects of the Chinese Arctic and Antarctic Administration, State Oceanic Administration; National Infrastructure of Microbial Resources [NIMR-2018-3]; CAMS Innovation Fund for Medical Sciences [2016-I2M-2-002]</t>
  </si>
  <si>
    <t>National Natural Science Foundation of China (NSFC)(National Natural Science Foundation of China (NSFC)); Projects of the Chinese Arctic and Antarctic Administration, State Oceanic Administration; National Infrastructure of Microbial Resources; CAMS Innovation Fund for Medical Sciences</t>
  </si>
  <si>
    <t>This research was supported by National Natural Science Foundation of China (NSFC) (Grant no. 31670025); Projects of the Chinese Arctic and Antarctic Administration, State Oceanic Administration; National Infrastructure of Microbial Resources (Grant no. NIMR-2018-3); CAMS Innovation Fund for Medical Sciences (Grant no. 2016-I2M-2-002). We are grateful to Xixia Li, Li Wang, and Xueke Tan for taking TEM images at the Center for Biological Imaging (CBI), Institute of Biophysics, Chinese Academy of Sciences.</t>
  </si>
  <si>
    <t>1066-5234</t>
  </si>
  <si>
    <t>1550-7408</t>
  </si>
  <si>
    <t>J EUKARYOT MICROBIOL</t>
  </si>
  <si>
    <t>J. Eukaryot. Microbiol.</t>
  </si>
  <si>
    <t>e12840</t>
  </si>
  <si>
    <t>10.1111/jeu.12840</t>
  </si>
  <si>
    <t>SB2LU</t>
  </si>
  <si>
    <t>WOS:000616162400001</t>
  </si>
  <si>
    <t>Weldrick, CK; Makabe, R; Mizobata, K; Moteki, M; Odate, T; Takao, S; Trebilco, R; Swadling, KM</t>
  </si>
  <si>
    <t>Weldrick, Christine K.; Makabe, Ryosuke; Mizobata, Kohei; Moteki, Masato; Odate, Tsuneo; Takao, Shintaro; Trebilco, Rowan; Swadling, Kerrie M.</t>
  </si>
  <si>
    <t>The use of swimmers from sediment traps to measure summer community structure of Southern Ocean pteropods</t>
  </si>
  <si>
    <t>Swimmers; Sediment traps; Southern ocean; Population dynamics; Thecosomes; Gymnosomes</t>
  </si>
  <si>
    <t>TERRA-NOVA BAY; LIMACINA-HELICINA; ROSS SEA; VERTICAL-DISTRIBUTION; SEASONAL SUCCESSION; MCMURDO SOUND; LIFE-CYCLE; FOOD-WEB; PART II; ZOOPLANKTON</t>
  </si>
  <si>
    <t>In the Southern Ocean, pteropods play an important role in biogeochemical cycling, and sediment traps are a valuable tool for investigating this role through the collection of passively sinking matter from productive surface waters to deep sea layers. Observations of 'swimmers' (e.g. organisms that actively swim into traps) can also prove valuable for studying zooplankton community structure. In this study, we used two separate sediment trap studies during the 2016-2017 summer to study pteropod population structure over time scales of 24 h and 28 days. In both studies, highest densities were measured for veliger-stage Limacina helicina antarctica (0.09-0.3 mm) relative to all species and age classes. Increases in shell diameters of veligers in all traps over time enabled the calculation of an intraseasonal potential growth rate of 0.0068 mm d(-1). Swimmer flux rates ranged from 121 to 2674 ind. m(-2) d(-1) at 53 m depth, and the 24-h vertical flux study measured 960 ind. m(-2) d(-1) at 57 m depth and 6692 m(-2) d(-1) at 90 m depth. Among a suite of environmental and biological covariates tested, fluorescence and sinking particulate organic and inorganic carbon (POC and PIC) possessed the most predictive power to explain abundances of near-surface pteropod age class and species composition. Gymnosome abundances were largely influenced by increasing adult L. helicina antarctica counts. Changes to pteropod population and community dynamics in response to climate change will have cascading effects throughout Antarctic epipelagic food webs, and these results provide a regional snapshot of patterns in structure and sedimentation from an under-surveyed region of the Southern Ocean.</t>
  </si>
  <si>
    <t>[Weldrick, Christine K.; Swadling, Kerrie M.] Univ Tasmania, Inst Marine &amp; Antarctic Studies, Private Bag 129, Hobart, Tas 7001, Australia; [Weldrick, Christine K.; Swadling, Kerrie M.] Univ Tasmania, Australian Antarctic Partnership Program, Private Bag 80, Hobart, Tas 7001, Australia; [Makabe, Ryosuke; Moteki, Masato; Odate, Tsuneo] Natl Inst Polar Res, 10-3 Midori Cho, Tachikawa, Tokyo 1908518, Japan; [Makabe, Ryosuke; Odate, Tsuneo] Grad Univ Adv Studies SOKENDAI, Dept Polar Sci, 10-3 Midori Cho, Tachikawa, Tokyo 1908518, Japan; [Mizobata, Kohei; Moteki, Masato] Tokyo Univ Marine Sci &amp; Technol, Dept Ocean Sci, Minato Ku, 4-5-7 Konan, Tokyo 1088477, Japan; [Takao, Shintaro] Natl Inst Environm Studies, 16-2 Onogawa, Tsukuba, Ibaraki 3050053, Japan; [Trebilco, Rowan] CSIRO Oceans &amp; Atmosphere, Hobart, Tas, Australia</t>
  </si>
  <si>
    <t>University of Tasmania; University of Tasmania; Research Organization of Information &amp; Systems (ROIS); National Institute of Polar Research (NIPR) - Japan; Graduate University for Advanced Studies - Japan; Tokyo University of Marine Science &amp; Technology; National Institute for Environmental Studies - Japan; Commonwealth Scientific &amp; Industrial Research Organisation (CSIRO)</t>
  </si>
  <si>
    <t>Weldrick, CK (corresponding author), Univ Tasmania, Inst Marine &amp; Antarctic Studies, Private Bag 129, Hobart, Tas 7001, Australia.;Weldrick, CK (corresponding author), Univ Tasmania, Australian Antarctic Partnership Program, Private Bag 80, Hobart, Tas 7001, Australia.</t>
  </si>
  <si>
    <t>christine.weldrick@utas.edu.au</t>
  </si>
  <si>
    <t>Weldrick, Christine/N-2617-2017; Trebilco, Rowan/I-5311-2012; Takao, Shintaro/M-8269-2019; Mizobata, Kohei/D-6369-2012</t>
  </si>
  <si>
    <t>Weldrick, Christine/0000-0003-1099-438X; Trebilco, Rowan/0000-0001-9712-8016; Takao, Shintaro/0000-0002-0118-6447; Swadling, Kerrie/0000-0002-7620-841X; Mizobata, Kohei/0000-0001-7531-2349</t>
  </si>
  <si>
    <t>Japanese Antarctic Research Expedition (JARE) under the Ministry of Education, Culture, Sports, Science and Technology (MEXT) [24255001]; Research Project Funds of National Institute of Polar Research [KP-308]; Australian Antarctic Science [4331]; Holsworth Wildlife Research Endowment through the Ecological Society of Australia [109804]; Equity Trustees Charitable Foundation; National Institute of Polar Research; RJL Hawke Postdoctoral Fellowship; Grants-in-Aid for Scientific Research [20H04313] Funding Source: KAKEN</t>
  </si>
  <si>
    <t>Japanese Antarctic Research Expedition (JARE) under the Ministry of Education, Culture, Sports, Science and Technology (MEXT); Research Project Funds of National Institute of Polar Research; Australian Antarctic Science; Holsworth Wildlife Research Endowment through the Ecological Society of Australia; Equity Trustees Charitable Foundation; National Institute of Polar Research(National Institute of Polar Research (NIPR) - Japan); RJL Hawke Postdoctoral Fellowship; Grants-in-Aid for Scientific Research(Ministry of Education, Culture, Sports, Science and Technology, Japan (MEXT)Japan Society for the Promotion of ScienceGrants-in-Aid for Scientific Research (KAKENHI))</t>
  </si>
  <si>
    <t>Research cruises were funded for Physical and chemical observations by the Japanese Antarctic Research Expedition (JARE) under the Ministry of Education, Culture, Sports, Science and Technology (MEXT) through a Grant-in-Aid for Scientific Research (Grant No. 24255001), as well as Research Project Funds of National Institute of Polar Research (Grant No. KP-308). This work was supported by Australian Antarctic Science Grant No. 4331 and the Holsworth Wildlife Research Endowment (Grant No. 109804) through the Ecological Society of Australia and the Equity Trustees Charitable Foundation. CW was supported, in part, by an internship from the National Institute of Polar Research. RT was supported by the RJL Hawke Postdoctoral Fellowship.</t>
  </si>
  <si>
    <t>10.1007/s00300-021-02809-4</t>
  </si>
  <si>
    <t>WOS:000616466500001</t>
  </si>
  <si>
    <t>Cade, DE; Seakamela, SM; Findlay, KP; Fukunaga, J; Kahane-Rapport, SR; Warren, JD; Calambokidis, J; Fahlbusch, JA; Friedlaender, AS; Hazen, EL; Kotze, D; McCue, S; Meÿer, M; Oestreich, WK; Oudejans, MG; Wilke, C; Goldbogen, JA</t>
  </si>
  <si>
    <t>Cade, David E.; Seakamela, S. Mduduzi; Findlay, Ken P.; Fukunaga, Julie; Kahane-Rapport, Shirel R.; Warren, Joseph D.; Calambokidis, John; Fahlbusch, James A.; Friedlaender, Ari S.; Hazen, Elliott L.; Kotze, Deon; McCue, Steven; Meyer, Michael; Oestreich, William K.; Oudejans, Machiel G.; Wilke, Christopher; Goldbogen, Jeremy A.</t>
  </si>
  <si>
    <t>Predator-scale spatial analysis of intra-patch prey distribution reveals the energetic drivers of rorqual whale super-group formation</t>
  </si>
  <si>
    <t>FUNCTIONAL ECOLOGY</t>
  </si>
  <si>
    <t>blue whales and humpback whales; fisheries acoustics; foraging ecology; gulp-sized cell; lognormal prey distribution; patchiness; raptorial filter-feeding; whale scale</t>
  </si>
  <si>
    <t>FORAGING BEHAVIOR; ANTARCTIC KRILL; EUPHAUSIA-SUPERBA; SPECIES-ABUNDANCE; ST-LAWRENCE; ECOLOGY; LAYERS; LIMITS</t>
  </si>
  <si>
    <t>Animals are distributed relative to the resources they rely upon, often scaling in abundance relative to available resources. Yet, in heterogeneously distributed environments, describing resource availability at relevant spatial scales remains a challenge in ecology, inhibiting understanding of predator distribution and foraging decisions. We investigated the foraging behaviour of two species of rorqual whales within spatially limited and numerically extraordinary super-aggregations in two oceans. We additionally described the lognormal distribution of prey data at species-specific spatial scales that matched the predator's unique lunge-feeding strategy. Here we show that both humpback whales off South Africa's west coast and blue whales off the US west coast perform more lunges per unit time within these aggregations than when foraging individually, and that the biomass within gulp-sized parcels was on average higher and more tightly distributed within super-group-associated prey patches, facilitating greater energy intake per feeding event as well as increased feeding rates. Prey analysis at predator-specific spatial scales revealed a stronger association of super-groups with patches containing relatively high geometric mean biomass and low geometric standard deviations than with arithmetic mean biomass, suggesting that the foraging decisions of rorqual whales may be more influenced by the distribution of high-biomass portions of a patch than total biomass. The hierarchical distribution of prey in spatially restricted, temporally transient, super-group-associated patches demonstrated high biomass and less variable distributions that facilitated what are likely near-minimum intervals between feeding events. Combining increased biomass with increased foraging rates implied that overall intake rates of whales foraging within super-groups were approximately double those of whales foraging in other environments. Locating large, high-quality prey patches via the detection of aggregation hotspots may be an important aspect of rorqual whale foraging, one that may have been suppressed when population sizes were anthropogenically reduced in the 20th century to critical lows. A free Plain Language Summary can be found within the Supporting Information of this article.</t>
  </si>
  <si>
    <t>[Cade, David E.; Fukunaga, Julie; Kahane-Rapport, Shirel R.; Fahlbusch, James A.; Oestreich, William K.; Goldbogen, Jeremy A.] Stanford Univ, Hopkins Marine Stn, Pacific Grove, CA 93950 USA; [Cade, David E.; Friedlaender, Ari S.] Univ Calif Santa Cruz, Inst Marine Sci, Santa Cruz, CA 95064 USA; [Seakamela, S. Mduduzi; Kotze, Deon; McCue, Steven; Meyer, Michael] Victoria &amp; Alfred Waterfront, Branch Oceans &amp; Coasts, Dept Environm Forestry &amp; Fisheries, Cape Town, South Africa; [Findlay, Ken P.] Cape Peninsula Univ Technol, Oceans Econ, Cape Town, South Africa; [Findlay, Ken P.] Univ Pretoria, Dept Zool &amp; Entomol, MRI Whale Unit, Hatfield, South Africa; [Warren, Joseph D.] SUNY Stony Brook, Sch Marine &amp; Atmospher Sci, Southampton, NY USA; [Calambokidis, John; Fahlbusch, James A.] Cascadia Res Collect, Olympia, WA USA; [Hazen, Elliott L.] NOAA, Environm Res Div, Southwest Fisheries Sci Ctr, Natl Marine Fisheries Serv, Monterey, CA USA; [Oudejans, Machiel G.] Kelp Marine Res, Hoorn, Netherlands; [Wilke, Christopher] Dept Environm Forestry &amp; Fisheries, Branch Fisheries Management, Cape Town, South Africa</t>
  </si>
  <si>
    <t>Stanford University; University of California System; University of California Santa Cruz; Cape Peninsula University of Technology; University of Pretoria; State University of New York (SUNY) System; State University of New York (SUNY) Stony Brook; National Oceanic Atmospheric Admin (NOAA) - USA</t>
  </si>
  <si>
    <t>Cade, DE (corresponding author), Stanford Univ, Hopkins Marine Stn, Pacific Grove, CA 93950 USA.;Cade, DE (corresponding author), Univ Calif Santa Cruz, Inst Marine Sci, Santa Cruz, CA 95064 USA.</t>
  </si>
  <si>
    <t>davecade@stanford.edu</t>
  </si>
  <si>
    <t>Seakamela, S Mduduzi/HGA-6807-2022; Hazen, Elliott/G-4149-2014; Findlay, Ken/A-5766-2019</t>
  </si>
  <si>
    <t>Hazen, Elliott/0000-0002-0412-7178; Oudejans, machiel G/0000-0003-4212-6712; Cade, David/0000-0003-3641-1242; Warren, Joseph/0000-0001-6920-1554; Fahlbusch, James/0000-0001-9275-013X; Goldbogen, Jeremy/0000-0002-4170-7294; Kahane-Rapport, Shirel/0000-0002-5208-1100; Findlay, Ken/0000-0001-7154-8805; Friedlaender, Ari/0000-0002-2822-233X</t>
  </si>
  <si>
    <t>Office of Naval Research [N000141612477]; Stanford University; South African Department of the Environment, Forestry and Fisheries; National Science Foundation [1656691]; U.S. Department of Defense (DOD) [N000141612477] Funding Source: U.S. Department of Defense (DOD); Direct For Biological Sciences; Division Of Integrative Organismal Systems [1656691] Funding Source: National Science Foundation</t>
  </si>
  <si>
    <t>Office of Naval Research(Office of Naval Research); Stanford University(Stanford University); South African Department of the Environment, Forestry and Fisheries; National Science Foundation(National Science Foundation (NSF)); U.S. Department of Defense (DOD)(United States Department of Defense); Direct For Biological Sciences; Division Of Integrative Organismal Systems(National Science Foundation (NSF)NSF - Directorate for Biological Sciences (BIO)NSF - Division of Integrative Organismal Systems (IOS))</t>
  </si>
  <si>
    <t>Office of Naval Research, Grant/Award Number: N000141612477; Stanford University; South African Department of the Environment, Forestry and Fisheries; National Science Foundation, Grant/Award Number: 1656691</t>
  </si>
  <si>
    <t>0269-8463</t>
  </si>
  <si>
    <t>1365-2435</t>
  </si>
  <si>
    <t>FUNCT ECOL</t>
  </si>
  <si>
    <t>Funct. Ecol.</t>
  </si>
  <si>
    <t>10.1111/1365-2435.13763</t>
  </si>
  <si>
    <t>RI5VT</t>
  </si>
  <si>
    <t>Green Submitted, Bronze, Green Published</t>
  </si>
  <si>
    <t>WOS:000616410600001</t>
  </si>
  <si>
    <t>Kim, T; Lee, JCY; Kang, DH; Duprey, NN; Leung, KS; Archana, A; Baker, DM</t>
  </si>
  <si>
    <t>Kim, Taihun; Lee, Jetty C. Y.; Kang, Do-Hyung; Duprey, Nicolas N.; Leung, Kin Sum; Archana, Anand; Baker, David M.</t>
  </si>
  <si>
    <t>Modification of fatty acid profile and biosynthetic pathway in symbiotic corals under eutrophication</t>
  </si>
  <si>
    <t>Biosynthetic pathway; Coral; Eutrophication; Fatty acid; Water quality</t>
  </si>
  <si>
    <t>WATER-QUALITY GRADIENTS; GREAT-BARRIER-REEF; SKELETAL GROWTH; SCLERACTINIAN CORALS; HOSTED SYMBIODINIUM; NUTRIENT ENRICHMENT; NITROGEN FOOTPRINT; MARINE ECOSYSTEMS; LIPID-COMPOSITION; ANTARCTIC KRILL</t>
  </si>
  <si>
    <t>Symbiotic corals receive energy not only by ingesting food (e.g. plankton, inorganic/organic matter, i.e. heterotrophy), but also by endosymbiosis, which supplies photosynthates (dissolved inorganic carbon, i.e. autotrophy). These two sources of energy have distinct fatty acid (FA) profiles, which can be used to differentiate corals by their primary feeding mode. FA profiles have been applied as biomarkers to evaluate the quality of nutrition in the midst of environmental change. However, species-specific responses of coral FA profiles and biosynthetic pathway under cultural eutrophication are still unknown. We collected two coral species (Acropora samoensis, Platygyra carnosa) from sites with different levels of eutrophication to test for variations in FA profiles. Gas Chromatography-Mass Spectrometry (GC-MS) was performed to identify FA profiles and quantify their concentration. Our main findings are threefold: 1) chronic eutrophication inhibits corals' ability to synthesize essential FA; 2) PUFA:SFA ratio and certain FA biomarkers or their pathway can be successfully utilized to determine the relative degree of autotrophy and heterotrophy in corals; 3) under eutrophication, different FA profiles of coral host tissue are attributed to different feeding strategies. Thus, our research provides significant new insights into the roles of FA as a risk assessment tool in coral reef ecosystems under the pressure of eutrophication. (C) 2021 Elsevier B.V. All rights reserved.</t>
  </si>
  <si>
    <t>[Kim, Taihun; Lee, Jetty C. Y.; Leung, Kin Sum; Archana, Anand; Baker, David M.] Univ Hong Kong, Sch Biol Sci, Kadoorie Biol Sci Bldg,Pokfulam Rd, Hong Kong, Peoples R China; [Kim, Taihun; Archana, Anand; Baker, David M.] Univ Hong Kong, Swire Inst Marine Sci, Cape Aguilar Rd,Shek O, Hong Kong, Peoples R China; [Kang, Do-Hyung] Korea Inst Ocean Sci &amp; Technol, Jeju Marine Res Ctr, 2670 Iljudong Ro, Gujwa Eup, Jeju, South Korea; [Duprey, Nicolas N.] Max Planck Inst Chem, Otto Hahn Inst, Hahn Meitner Weg 1, D-55128 Mainz, Germany</t>
  </si>
  <si>
    <t>University of Hong Kong; University of Hong Kong; Korea Institute of Ocean Science &amp; Technology (KIOST); Max Planck Society</t>
  </si>
  <si>
    <t>Baker, DM (corresponding author), Univ Hong Kong, Sch Biol Sci, Kadoorie Biol Sci Bldg,Pokfulam Rd, Hong Kong, Peoples R China.</t>
  </si>
  <si>
    <t>dmbaker@hku.hk</t>
  </si>
  <si>
    <t>Baker, David/B-2512-2010; Lee, Jetty Chung-Yung/E-1475-2011</t>
  </si>
  <si>
    <t>Baker, David/0000-0002-0308-4954; Lee, Jetty Chung-Yung/0000-0002-8175-7069; Duprey, Nicolas/0000-0002-1109-0772</t>
  </si>
  <si>
    <t>Research Grants Council Hong Kong [17303615]</t>
  </si>
  <si>
    <t>Research Grants Council Hong Kong(Hong Kong Research Grants Council)</t>
  </si>
  <si>
    <t>We are most grateful for the technical support of HKU and SWIMS staff. This studywas financially supported by the Research Grants Council Hong Kong (GRF#17303615).</t>
  </si>
  <si>
    <t>10.1016/j.scitotenv.2021.145336</t>
  </si>
  <si>
    <t>QV3SV</t>
  </si>
  <si>
    <t>WOS:000627895900093</t>
  </si>
  <si>
    <t>Hashihama, F; Saito, H; Kodama, T; Yasui-Tamura, S; Kanda, J; Tanita, I; Ogawa, H; Woodward, EMS; Boyd, PW; Furuya, K</t>
  </si>
  <si>
    <t>Hashihama, Fuminori; Saito, Hiroaki; Kodama, Taketoshi; Yasui-Tamura, Saori; Kanda, Jota; Tanita, Iwao; Ogawa, Hiroshi; Woodward, E. Malcolm S.; Boyd, Philip W.; Furuya, Ken</t>
  </si>
  <si>
    <t>Cross-basin differences in the nutrient assimilation characteristics of induced phytoplankton blooms in the subtropical Pacific waters</t>
  </si>
  <si>
    <t>AMINO-ACID-UPTAKE; NORTH PACIFIC; NITROGEN-FIXATION; NITRATE CONCENTRATION; EQUATORIAL PACIFIC; MESOSCALE EDDIES; ORGANIC-MATTER; SURFACE WATERS; N-2 FIXATION; OCEAN</t>
  </si>
  <si>
    <t>To better understand the nutrient assimilation characteristics of subtropical phytoplankton, deep-water addition incubation experiments were carried out on surface waters collected at seven stations across the subtropical North and South Pacific Ocean. These deep-water additions induced phytoplankton blooms with nutrient drawdown at all stations. The drawdown ratios of dissolved inorganic nitrogen (DIN) to phosphate (PO4) varied from 14.1 to 30.7 at the PO4-replete stations in the central North Pacific (CNP) and eastern South Pacific (ESP). These ratios were similar to the range represented by the canonical Redfield ratio (16) through to typical particulate N : P ratios in the surface subtropical ocean (28). In contrast, lower DIN : PO4 drawdown ratios (7.7-13.3) were observed in induced blooms at the PO4-depleted stations in the western North Pacific (WNP). The DIN : PO4 drawdown ratios in the PO4-replete ESP were associated with eukaryote-dominated blooms, while those in the PO4-depleted WNP were associated with eukaryotic and cyanobacterial blooms. The surplus PO4 assimilation, relative to DIN, by phytoplankton in the WNP was not expected based on their typical cellular N : P ratio and was likely due to the high PO4 uptake capability as induced by low-PO4-adapted phytoplankton. The low- and high-P* (= PO4-DIN/16) regimes geographically corresponded to the low and high DIN : PO4 drawdown ratios in the WNP and the CNP or ESP, respectively. The basin-wide P* distribution in the oligotrophic Pacific surface waters showed a clear regional trend from low in the WNP (&lt; 50 nM) to high in the ESP (&gt; 100 nM). These results suggest that the subtropical phytoplankton blooms as observed in our experiments could be an important factor controlling P* as well as the commonly recognized dinitrogen fixation and denitrification characteristics.</t>
  </si>
  <si>
    <t>[Hashihama, Fuminori; Yasui-Tamura, Saori; Kanda, Jota] Tokyo Univ Marine Sci &amp; Technol, Dept Ocean Sci, Tokyo 1088477, Japan; [Hashihama, Fuminori; Boyd, Philip W.] Univ Tasmania, Inst Marine &amp; Antarctic Studies, Hobart, Tas 7004, Australia; [Saito, Hiroaki; Ogawa, Hiroshi] Univ Tokyo, Atmosphere &amp; Ocean Res Inst, Chiba 2778564, Japan; [Kodama, Taketoshi; Tanita, Iwao; Furuya, Ken] Univ Tokyo, Grad Sch Agr &amp; Life Sci, Dept Aquat Biosci, Tokyo 1138657, Japan; [Kodama, Taketoshi] Japan Fisheries Res &amp; Educ Agcy, Fisheries Resources Inst, Yokohama, Kanagawa 2368648, Japan; [Tanita, Iwao] Japan Fisheries Res &amp; Educ Agcy, Fisheries Technol Inst, Ishigaki, Okinawa 9070451, Japan; [Woodward, E. Malcolm S.] Plymouth Marine Lab, Prospect Pl, Plymouth PL1 3DH, Devon, England; [Furuya, Ken] Soka Univ, Grad Sch Sci &amp; Engn, Tokyo 1928577, Japan</t>
  </si>
  <si>
    <t>Tokyo University of Marine Science &amp; Technology; University of Tasmania; University of Tokyo; University of Tokyo; Japan Fisheries Research &amp; Education Agency (FRA); Japan Fisheries Research &amp; Education Agency (FRA); Plymouth Marine Laboratory; Soka University</t>
  </si>
  <si>
    <t>Hashihama, F (corresponding author), Tokyo Univ Marine Sci &amp; Technol, Dept Ocean Sci, Tokyo 1088477, Japan.;Hashihama, F (corresponding author), Univ Tasmania, Inst Marine &amp; Antarctic Studies, Hobart, Tas 7004, Australia.</t>
  </si>
  <si>
    <t>f-hashi@kaiyodai.ac.jp</t>
  </si>
  <si>
    <t>SAITO, HIROAKI/J-6948-2017; Hashihama, Fuminori/O-1924-2014; Kanda, Jota/O-1881-2014; Boyd, Philip W/J-7624-2014; Tanita, Iwao/AAL-9846-2021; Woodward, Ernest M S/D-5755-2016; Kodama, Taketoshi/D-4305-2018</t>
  </si>
  <si>
    <t>SAITO, HIROAKI/0000-0002-5502-9076; Hashihama, Fuminori/0000-0003-3835-7681; Kanda, Jota/0000-0002-5099-6278; Tanita, Iwao/0000-0001-5382-7624; Kodama, Taketoshi/0000-0001-8031-7881; furuya, ken/0000-0002-3507-5489</t>
  </si>
  <si>
    <t>JSPS/MEXT KAKENHI [18067007, 22710006, 24710004, 24121001, 24121003, 24121005, 15H02802, 17H01852]; New Zealand international visiting scientist grant; NERC [NE/R015953/1, pml010002, pml010009] Funding Source: UKRI; Grants-in-Aid for Scientific Research [15H02802, 22710006, 17H01852, 24710004] Funding Source: KAKEN</t>
  </si>
  <si>
    <t>JSPS/MEXT KAKENHI(Ministry of Education, Culture, Sports, Science and Technology, Japan (MEXT)Japan Society for the Promotion of ScienceGrants-in-Aid for Scientific Research (KAKENHI)); New Zealand international visiting scientist grant;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</si>
  <si>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has been supported by JSPS/MEXT KAKENHI (grant nos. 18067007, 22710006, 24710004, 24121001, 24121003, 24121005, 15H02802, and 17H01852) and a New Zealand international visiting scientist grant.</t>
  </si>
  <si>
    <t>FEB 8</t>
  </si>
  <si>
    <t>10.5194/bg-18-897-2021</t>
  </si>
  <si>
    <t>QH9VG</t>
  </si>
  <si>
    <t>WOS:000618623000001</t>
  </si>
  <si>
    <t>Donat-Magnin, M; Jourdain, NC; Kittel, C; Agosta, C; Amory, C; Gallée, H; Krinner, G; Chekki, M</t>
  </si>
  <si>
    <t>Donat-Magnin, Marion; Jourdain, Nicolas C.; Kittel, Christoph; Agosta, Cecile; Amory, Charles; Gallee, Hubert; Krinner, Gerhard; Chekki, Mondher</t>
  </si>
  <si>
    <t>Future surface mass balance and surface melt in the Amundsen sector of the West Antarctic Ice Sheet</t>
  </si>
  <si>
    <t>REGIONAL CLIMATE; CMIP5 MODELS; PINE ISLAND; PRECIPITATION; GREENLAND; TRENDS; TEMPERATURE; PROJECTIONS; RESOLUTION; MELTWATER</t>
  </si>
  <si>
    <t>We present projections of West Antarctic surface mass balance (SMB) and surface melt to 2080-2100 under the RCP8.5 scenario and based on a regional model at 10 km resolution. Our projections are built by adding a CMIP5 (Coupled Model Intercomparison Project Phase 5) multi-model-mean seasonal climate-change anomaly to the present-day model boundary conditions. Using an anomaly has the advantage to reduce CMIP5 model biases, and a perfect-model test reveals that our approach captures most characteristics of future changes despite a 16 %-17 % underestimation of projected SMB and melt rates. SMB over the grounded ice sheet in the sector between Getz and Abbot increases from 336 Gt yr(-1) in 1989-2009 to 455 Gt yr(-1) in 2080-2100, which would reduce the global sea level changing rate by 0.33 mm yr(-1). Snowfall indeed increases by 7.4 % degrees C-1 to 8.9 % degrees C-1 of near-surface warming due to increasing saturation water vapour pressure in warmer conditions, reduced sea-ice concentrations, and more marine air intrusion. Ice-shelf surface melt rates increase by an order of magnitude in the 21st century mostly due to higher downward radiation from increased humidity and to reduced albedo in the presence of melting. There is a net production of surface liquid water over eastern ice shelves (Abbot, Cosgrove, and Pine Island) but not over western ice shelves (Thwaites, Crosson, Dotson, and Getz). This is explained by the evolution of the melt-to-snowfall ratio: below a threshold of 0.60 to 0.85 in our simulations, firn air is not entirely depleted by melt water, while entire depletion and net production of surface liquid water occur for higher ratios. This suggests that western ice shelves might remain unaffected by hydrofracturing for more than a century under RCP8.5, while eastern ice shelves have a high potential for hydrofracturing before the end of this century.</t>
  </si>
  <si>
    <t>[Donat-Magnin, Marion; Jourdain, Nicolas C.; Amory, Charles; Gallee, Hubert; Krinner, Gerhard; Chekki, Mondher] Univ Grenoble Alpes, Inst Geosci Environm IGE, CNRS, IRD,G INP, Grenoble, France; [Kittel, Christoph; Amory, Charles] Univ Liege, Geog Dept, SPHERES Res Unit, B-4000 Liege, Belgium; [Agosta, Cecile] UVSQ Univ Paris Saclay, Lab Sci Climat &amp; Environm, LSCE IPSL, CEA,CNRS, F-91198 Gif Sur Yvette, France</t>
  </si>
  <si>
    <t>Centre National de la Recherche Scientifique (CNRS); Institut de Recherche pour le Developpement (IRD); Communaute Universite Grenoble Alpes; Universite Grenoble Alpes (UGA); University of Liege; Universite Paris Saclay; CEA; Centre National de la Recherche Scientifique (CNRS)</t>
  </si>
  <si>
    <t>Jourdain, NC (corresponding author), Univ Grenoble Alpes, Inst Geosci Environm IGE, CNRS, IRD,G INP, Grenoble, France.</t>
  </si>
  <si>
    <t>nicolas.jourdain@univ-grenoble-alpes.fr</t>
  </si>
  <si>
    <t>Krinner, Gerhard/A-6450-2011; Agosta, Cécile/HLQ-5577-2023; Krinner, Gerhard/AAB-8837-2022; Agosta, Cecile/B-9625-2013; Jourdain, Nicolas/B-6899-2015</t>
  </si>
  <si>
    <t>Krinner, Gerhard/0000-0002-2959-5920; Agosta, Cecile/0000-0003-4091-1653; Amory, Charles/0000-0002-5906-4303; Donat-Magnin, Marion/0000-0002-8153-1000; Jourdain, Nicolas/0000-0002-1372-2235; CHEKKI, Mondher/0000-0003-0676-8910; Kittel, Christoph/0000-0001-6586-9784</t>
  </si>
  <si>
    <t>French National Research Agency (ANR) [ANR-15-CE01-000501]; European Union's Horizon 2020 research and innovation programme (PROTECT) [869304]</t>
  </si>
  <si>
    <t>French National Research Agency (ANR)(Agence Nationale de la Recherche (ANR)Norwegian Agency for Development Cooperation - NORAD); European Union's Horizon 2020 research and innovation programme (PROTECT)</t>
  </si>
  <si>
    <t>This research has been supported by the French National Research Agency (ANR) (grant no. ANR-15-CE01-000501) and by the European Union's Horizon 2020 research and innovation programme (PROTECT (grant agreement no. 869304)).</t>
  </si>
  <si>
    <t>10.5194/tc-15-571-2021</t>
  </si>
  <si>
    <t>QH9VT</t>
  </si>
  <si>
    <t>WOS:000618624400002</t>
  </si>
  <si>
    <t>Bozkurt, D; Bromwich, DH; Carrasco, J; Rondanelli, R</t>
  </si>
  <si>
    <t>Bozkurt, Deniz; Bromwich, David H.; Carrasco, Jorge; Rondanelli, Roberto</t>
  </si>
  <si>
    <t>Temperature and precipitation projections for the Antarctic Peninsula over the next two decades: contrasting global and regional climate model simulations</t>
  </si>
  <si>
    <t>CLIMATE DYNAMICS</t>
  </si>
  <si>
    <t>Model evaluation; Antarctica; Dynamical downscaling; Climate change; Added value; Temperature extremes; Larsen Ice Shelf</t>
  </si>
  <si>
    <t>This study presents near future (2020-2044) temperature and precipitation changes over the Antarctic Peninsula under the high-emission scenario (RCP8.5). We make use of historical and projected simulations from 19 global climate models (GCMs) participating in Coupled Model Intercomparison Project phase 5 (CMIP5). We compare and contrast GCMs projections with two groups of regional climate model simulations (RCMs): (1) high resolution (15-km) simulations performed with Polar-WRF model forced with bias-corrected NCAR-CESM1 (NC-CORR) over the Antarctic Peninsula, (2) medium resolution (50-km) simulations of KNMI-RACMO21P forced with EC-EARTH (EC) obtained from the CORDEX-Antarctica. A further comparison of historical simulations (1981-2005) with respect to ERA5 reanalysis is also included for circulation patterns and near-surface temperature climatology. In general, both RCM boundary conditions represent well the main circulation patterns of the historical period. Nonetheless, there are important differences in projections such as a notable deepening and weakening of the Amundsen Sea Low in EC and NC-CORR, respectively. Mean annual near-surface temperatures are projected to increase by about 0.5-1.5 degrees C across the entire peninsula. Temperature increase is more substantial in autumn and winter (similar to 2 degrees C). Following opposite circulation pattern changes, both EC and NC-CORR exhibit different warming rates, indicating a possible continuation of natural decadal variability. Although generally showing similar temperature changes, RCM projections show less warming and a smaller increase in melt days in the Larsen Ice Shelf compared to their respective driving fields. Regarding precipitation, there is a broad agreement among the simulations, indicating an increase in mean annual precipitation (similar to 5 to 10%). However, RCMs show some notable differences over the Larsen Ice Shelf where total precipitation decreases (for RACMO) and shows a small increase in rain frequency. We conclude that it seems still difficult to get consistent projections from GCMs for the Antarctic Peninsula as depicted in both RCM boundary conditions. In addition, dominant and common changes from the boundary conditions are largely evident in the RCM simulations. We argue that added value of RCM projections is driven by processes shaped by finer local details and different physics schemes that are introduced by RCMs, particularly over the Larsen Ice Shelf.</t>
  </si>
  <si>
    <t>[Bozkurt, Deniz] Univ Valparaiso, Dept Meteorol, Valparaiso, Chile; [Bozkurt, Deniz; Rondanelli, Roberto] Ctr Climate &amp; Resilience Res CR 2, Santiago, Chile; [Bozkurt, Deniz] Univ Valparaiso, Ctr Estudios Atmosfer &amp; Astroestadist, Valparaiso, Chile; [Bozkurt, Deniz] Univ Valparaiso, Ctr Invest &amp; Gest Recursos Nat, Valparaiso, Chile; [Bromwich, David H.] Ohio State Univ, Byrd Polar &amp; Climate Res Ctr, Polar Meteorol Grp, Columbus, OH 43210 USA; [Carrasco, Jorge] Univ Magallanes, Ctr Invest GAIA Antartica, Punta Arenas, Chile; [Rondanelli, Roberto] Univ Chile, Dept Geophys, Santiago, Chile</t>
  </si>
  <si>
    <t>Universidad de Valparaiso; Universidad de Valparaiso; Universidad de Valparaiso; University System of Ohio; Ohio State University; Universidad de Magallanes; Universidad de Chile</t>
  </si>
  <si>
    <t>Bozkurt, D (corresponding author), Univ Valparaiso, Dept Meteorol, Valparaiso, Chile.;Bozkurt, D (corresponding author), Ctr Climate &amp; Resilience Res CR 2, Santiago, Chile.;Bozkurt, D (corresponding author), Univ Valparaiso, Ctr Estudios Atmosfer &amp; Astroestadist, Valparaiso, Chile.;Bozkurt, D (corresponding author), Univ Valparaiso, Ctr Invest &amp; Gest Recursos Nat, Valparaiso, Chile.</t>
  </si>
  <si>
    <t>deniz.bozkurt@uv.cl</t>
  </si>
  <si>
    <t>Rondanelli, Roberto/A-4717-2012; Bozkurt, Deniz/C-9797-2013; Bozkurt, Deniz/AAC-4563-2021; Carrasco, Jorge/ACG-6766-2022; Carrasco, Jorge/AAC-4799-2021</t>
  </si>
  <si>
    <t>Rondanelli, Roberto/0000-0002-7440-7810; Bozkurt, Deniz/0000-0003-1021-8241; Carrasco, Jorge/0000-0003-2154-5483; Carrasco, Jorge/0000-0003-2154-5483</t>
  </si>
  <si>
    <t>ANID-PIA-Anillo INACH [ACT192057]; NSF [1823135]; Chilean Ministry of Environment; Amazon Web Services (AWS) [PS_R_FY2019_Q1_CR2, PS_R_ FY2019_Q2_CR2]; supercomputing infrastructure of the NLHPC (ECM-02:Powered@NLHPC); [ANID-FONDAP-15110009]; [ANID-CONICYT-PAI-77190080]; [ANID-FONDECYT-11200101]; [ANID-FONDECYT-1191932]; [AFB 170001]; Directorate For Geosciences; Office of Polar Programs (OPP) [1823135] Funding Source: National Science Foundation</t>
  </si>
  <si>
    <t>ANID-PIA-Anillo INACH; NSF(National Science Foundation (NSF)); Chilean Ministry of Environment; Amazon Web Services (AWS); supercomputing infrastructure of the NLHPC (ECM-02:Powered@NLHPC); ; ; ; ; ; Directorate For Geosciences; Office of Polar Programs (OPP)(National Science Foundation (NSF)NSF - Directorate for Geosciences (GEO))</t>
  </si>
  <si>
    <t>This work was funded by ANID-FONDAP-15110009. Deniz Bozkurt acknowledges support from ANID-CONICYT-PAI-77190080, ANID-PIA-Anillo INACH ACT192057 and ANID-FONDECYT-11200101. Contribution number 1597 of Byrd Polar and Climate Research Center. David Bromwich was supported by NSF Grant 1823135. Jorge Carrasco acknowledges support from ANID-FONDECYT-1191932. Polar-WRF simulations were performed within a project entitled Simulaciones climaticas regionales para el continente Antartico y territorio insular Chileno funded by Chilean Ministry of Environment. This research was partially supported by the Basal Grant AFB 170001 and the supercomputing infrastructure of the NLHPC (ECM-02:Powered@NLHPC).We acknowledge the World Climate Research Programme,Working Group on Regional Climate, and the Working Group on Coupled Modelling, former coordinating body of CORDEX and responsible panel for CMIP5. We thank the NCAR for providing CESM data in WRF intermediate data format. We also thank the KNMI for producing and making available RACMO model output. The authors appreciate the support of Amazon Web Services (AWS) for the grants PS_R_FY2019_Q1_CR2 and PS_R_ FY2019_Q2_CR2 allowing us to execute the Polar-WRF simulations on the AWS cloud infrastructure. We appreciate the support from Juan Carlos Maureira at Center for Mathematical Modeling, University of Chile for execution of model simulations. We are thankful to Francisca Munoz, Nancy Valdebenito and Mirko Del Hoyo at CR2 for post-processing of Polar-WRF simulations.</t>
  </si>
  <si>
    <t>0930-7575</t>
  </si>
  <si>
    <t>1432-0894</t>
  </si>
  <si>
    <t>CLIM DYNAM</t>
  </si>
  <si>
    <t>Clim. Dyn.</t>
  </si>
  <si>
    <t>11-12</t>
  </si>
  <si>
    <t>10.1007/s00382-021-05667-2</t>
  </si>
  <si>
    <t>SO3BR</t>
  </si>
  <si>
    <t>WOS:000616059400004</t>
  </si>
  <si>
    <t>Cottrell, RS; Metian, M; Froehlich, HE; Blanchard, JL; Jacobsen, NS; McIntyre, PB; Nash, KL; Williams, DR; Bouwman, L; Gephart, JA; Kuempel, CD; Moran, DD; Troell, M; Halpern, BS</t>
  </si>
  <si>
    <t>Cottrell, Richard S.; Metian, Marc; Froehlich, Halley E.; Blanchard, Julia L.; Sand Jacobsen, Nis; McIntyre, Peter B.; Nash, Kirsty L.; Williams, David R.; Bouwman, Lex; Gephart, Jessica A.; Kuempel, Caitlin D.; Moran, Daniel D.; Troell, Max; Halpern, Benjamin S.</t>
  </si>
  <si>
    <t>Time to rethink trophic levels in aquaculture policy</t>
  </si>
  <si>
    <t>REVIEWS IN AQUACULTURE</t>
  </si>
  <si>
    <t>aquaculture; feed; policy; seafood; trophic level</t>
  </si>
  <si>
    <t>FISH-MEAL; SEAFOOD PRODUCTION; TRADE-OFFS; FOOD; FISHERIES; FUTURE; FEED; PERSPECTIVES; INGREDIENTS; CONSUMPTION</t>
  </si>
  <si>
    <t>Aquaculture policy often promotes production of low-trophic level species for sustainable industry growth. Yet, the application of the trophic level concept to aquaculture is complex, and its value for assessing sustainability is further complicated by continual reformulation of feeds. The majority of fed farmed fish and invertebrate species are produced using human-made compound feeds that can differ markedly from the diet of the same species in the wild and continue to change in composition. Using data on aquaculture feeds, we show that technical advances have substantially decreased the mean effective trophic level of farmed species, such as salmon (mean TL = 3.48 to 2.42) and tilapia (2.32 to 2.06), from 1995 to 2015. As farmed species diverge in effective trophic level from their wild counterparts, they are coalescing at a similar effective trophic level due to standardisation of feeds. This pattern blurs the interpretation of trophic level in aquaculture because it can no longer be viewed as a trait of the farmed species, but rather is a dynamic feature of the production system. Guidance based on wild trophic position or historical resource use is therefore misleading. Effective aquaculture policy needs to avoid overly simplistic sustainability indicators such as trophic level. Instead, employing empirically derived metrics based on the specific farmed properties of species groups, management techniques and advances in feed formulation will be crucial for achieving truly sustainable options for farmed seafood.</t>
  </si>
  <si>
    <t>[Cottrell, Richard S.; Kuempel, Caitlin D.; Halpern, Benjamin S.] Univ Calif Santa Barbara, Natl Ctr Ecol Anal &amp; Synth, Santa Barbara, CA 93106 USA; [Cottrell, Richard S.; Blanchard, Julia L.; Nash, Kirsty L.] Univ Tasmania, Ctr Marine Socioecol, Hobart, Tas, Australia; [Metian, Marc] IAEA, Environm Labs, Monaco, Monaco; [Froehlich, Halley E.] Univ Calif Santa Barbara, Ecol Evolut &amp; Marine Biol, Santa Barbara, CA 93106 USA; [Froehlich, Halley E.] Univ Calif Santa Barbara, Environm Studies, Santa Barbara, CA 93106 USA; [Blanchard, Julia L.] Univ Tasmania, Inst Marine &amp; Antarctic Studies, Hobart, Tas, Australia; [Sand Jacobsen, Nis] Tech Univ Denmark, Natl Inst Aquat Resources, Lyngby, Denmark; [McIntyre, Peter B.] Cornell Univ, Dept Nat Resources, Fernow Hall, Ithaca, NY 14853 USA; [Nash, Kirsty L.; Williams, David R.] Univ Leeds, Sustainabil Res Inst, Sch Earth &amp; Environm, Leeds, W Yorkshire, England; [Williams, David R.; Halpern, Benjamin S.] Univ Calif Santa Barbara, Bren Sch Environm Sci &amp; Management, Santa Barbara, CA 93106 USA; [Bouwman, Lex] Univ Utrecht, Fac Geosci, Dept Earth Sci, Utrecht, Netherlands; [Bouwman, Lex] PBL Netherlands Environm Assessment Agcy, The Hague, Netherlands; [Bouwman, Lex] Ocean Univ China, Key Lab Marine Chem Theory &amp; Technol, Minist Educ, Qingdao, Peoples R China; [Gephart, Jessica A.] Amer Univ, Dept Environm Sci, Washington, DC 20016 USA; [Kuempel, Caitlin D.] Univ Queensland, Australian Res Council Ctr Excellence Coral Reef, St Lucia, Qld, Australia; [Kuempel, Caitlin D.] Univ Queensland, Sch Biol Sci, St Lucia, Qld, Australia; [Moran, Daniel D.] Norwegian Univ Sci &amp; Technol, Dept Energy &amp; Proc Technol, Program Ind Ecol, Trondheim, Norway; [Troell, Max] Royal Swedish Acad Sci, Beijer Inst Ecol Econ, Stockholm, Sweden; [Troell, Max] Stockholm Univ, Stockholm Resilience Ctr, Stockholm, Sweden</t>
  </si>
  <si>
    <t>National Center for Ecological Analysis &amp; Synthesis; University of California System; University of California Santa Barbara; University of Tasmania; University of California System; University of California Santa Barbara; University of California System; University of California Santa Barbara; University of Tasmania; Technical University of Denmark; Cornell University; University of Leeds; University of California System; University of California Santa Barbara; Utrecht University; Ocean University of China; American University; University of Queensland; University of Queensland; Norwegian University of Science &amp; Technology (NTNU); Royal Swedish Academy of Sciences; Beijer Institute of Ecological Economics; Stockholm University</t>
  </si>
  <si>
    <t>Cottrell, RS (corresponding author), Univ Calif Santa Barbara, Natl Ctr Ecol Anal &amp; Synth, Santa Barbara, CA 93106 USA.</t>
  </si>
  <si>
    <t>cottrell@nceas.ucsb.edu</t>
  </si>
  <si>
    <t>Blanchard, Julia L/E-4919-2010; Gephart, Jessica/HCH-3165-2022; Kuempel, Caitlin D./AAV-8807-2020; Troell, Max/I-1724-2019; Williams, David/HKN-3732-2023; Nash, Kirsty L/B-5456-2015; Bouwman, Lex/F-1444-2015</t>
  </si>
  <si>
    <t>Kuempel, Caitlin D./0000-0003-1609-9706; Troell, Max/0000-0002-7509-8140; Nash, Kirsty L/0000-0003-0976-3197; McIntyre, Peter/0000-0003-1809-7552; Jacobsen, Nis Sand/0000-0001-8754-4518; Bouwman, Lex/0000-0002-2045-1859; Blanchard, Julia/0000-0003-0532-4824; Cottrell, Richard/0000-0002-6499-7503; Froehlich, Halley/0000-0001-7322-1523; Metian, Marc/0000-0003-1485-5029</t>
  </si>
  <si>
    <t>Zegar Family Foundation; NCEAS, University of California, Santa Barbara; Government of the Principality of Monaco; University of California, Santa Barbara; Formas Project Seawin [2016-00227]; Cornell Atkinson Center for Sustainability; Packard Fellowship; Norwegian Research Council; Swedish Research Council [2016-00227] Funding Source: Swedish Research Council; Formas [2016-00227] Funding Source: Formas</t>
  </si>
  <si>
    <t>Zegar Family Foundation; NCEAS, University of California, Santa Barbara; Government of the Principality of Monaco; University of California, Santa Barbara(University of California System); Formas Project Seawin(Swedish Research Council Formas); Cornell Atkinson Center for Sustainability; Packard Fellowship(The David &amp; Lucile Packard Foundation); Norwegian Research Council(Research Council of Norway); Swedish Research Council; Formas</t>
  </si>
  <si>
    <t>This work is a product of the Food System Impacts and Sustainability Working Group at the National Center for Ecological Analysis and Synthesis (NCEAS), University of California Santa Barbara and was in part supported by a grant from the Zegar Family Foundation. RSC acknowledges funding from NCEAS, University of California, Santa Barbara. On behalf of M.M., the IAEA is grateful to the Government of the Principality of Monaco for the support provided to its Environment Laboratories. HEF recognises support from the University of California, Santa Barbara. MT acknowledges support from Formas Project Seawin (2016-00227). PBM recognises support from the Cornell Atkinson Center for Sustainability and the Packard Fellowship. DM recognises support from the Norwegian Research Council.</t>
  </si>
  <si>
    <t>1753-5123</t>
  </si>
  <si>
    <t>1753-5131</t>
  </si>
  <si>
    <t>REV AQUACULT</t>
  </si>
  <si>
    <t>Rev. Aquac.</t>
  </si>
  <si>
    <t>10.1111/raq.12535</t>
  </si>
  <si>
    <t>SL0IQ</t>
  </si>
  <si>
    <t>Green Submitted, Bronze, Green Published, Green Accepted</t>
  </si>
  <si>
    <t>WOS:000616050100001</t>
  </si>
  <si>
    <t>Grzesiak, J; Woltynska, A; Zdanowski, MK; Górniak, D; Swiatecki, A; Olech, MA; Aleksandrzak-Piekarczyk, T</t>
  </si>
  <si>
    <t>Grzesiak, Jakub; Woltynska, Aleksandra; Zdanowski, Marek K.; Gorniak, Dorota; swiatecki, Aleksander; Olech, Maria A.; Aleksandrzak-Piekarczyk, Tamara</t>
  </si>
  <si>
    <t>Metabolic fingerprinting of the Antarctic cyanolichen Leptogium puberulum-associated bacterial community (Western Shore of Admiralty Bay, King George Island, Maritime Antarctica)</t>
  </si>
  <si>
    <t>EcoPlates; Microbiome; Symbiosis; Metabolism; Bacteria; Lichens</t>
  </si>
  <si>
    <t>Lichens are presently regarded as stable biotopes, small ecosystems providing a safe haven for the development of a diverse and numerous microbiome. In this study, we conducted a functional diversity assessment of the microbial community residing on the surface and within the thalli of Leptogium puberulum, a eurytopic cyanolichen endemic to Antarctica, employing the widely used Biolog EcoPlates which test the catabolism of 31 carbon compounds in a colorimetric respiration assay. Lichen thalli occupying moraine ridges of differing age within a proglacial chronosequence, as well as those growing in sites of contrasting nutrient concentrations, were procured from the diverse landscape of the western shore of Admiralty Bay in Maritime Antarctica. The L. puberulum bacterial community catabolized photobiont- (glucose-containing carbohydrates) and mycobiont-specific carbon compounds (d-Mannitol). The bacteria also had the ability to process degradation products of lichen thalli components (d-cellobiose and N-acetyl-d-glucosamine). Lichen thalli growth site characteristics had an impact on metabolic diversity and respiration intensity of the bacterial communities. While high nutrient contents in lichen specimens from young proglacial locations and in those from nitrogen enriched sites stimulated bacterial catabolic activity, in old proglacial locations and in nutrient-lacking sites, a metabolic activity restriction was apparent, presumably due to lichen-specific microbial control mechanisms.</t>
  </si>
  <si>
    <t>[Grzesiak, Jakub; Woltynska, Aleksandra; Zdanowski, Marek K.; Aleksandrzak-Piekarczyk, Tamara] Polish Acad Sci, Inst Biochem &amp; Biophys, Pawinskiego 5A, PL-02106 Warsaw, Poland; [Gorniak, Dorota; swiatecki, Aleksander] Univ Warmia &amp; Mazury, Dept Microbiol &amp; Mycol, Oczapowskiego 1a, PL-10719 Olsztyn, Poland; [Olech, Maria A.] Jagiellonian Univ, Inst Bot, Gronostajowa 3, PL-30387 Krakow, Poland</t>
  </si>
  <si>
    <t>Polish Academy of Sciences; Institute of Biochemistry &amp; Biophysics - Polish Academy of Sciences; University of Warmia &amp; Mazury; Jagiellonian University</t>
  </si>
  <si>
    <t>Grzesiak, J (corresponding author), Polish Acad Sci, Inst Biochem &amp; Biophys, Pawinskiego 5A, PL-02106 Warsaw, Poland.</t>
  </si>
  <si>
    <t>jgrzesiak@ibb.waw.pl</t>
  </si>
  <si>
    <t>Woltynska, Aleksandra/HZK-8199-2023; Aleksandrzak-Piekarczyk, Tamara/E-3332-2012; Gorniak, Dorota/X-8468-2018</t>
  </si>
  <si>
    <t>Woltynska, Aleksandra/0000-0002-7872-6288; Aleksandrzak-Piekarczyk, Tamara/0000-0002-4725-760X; Grzesiak, Jakub/0000-0001-5972-2356; Gorniak, Dorota/0000-0001-6567-1057</t>
  </si>
  <si>
    <t>National Science Center, Poland [2017/25/B/NZ8/01915]</t>
  </si>
  <si>
    <t>This research was funded by the National Science Center, Poland (Grant 2017/25/B/NZ8/01915). Samples and data were obtained due to the scientific facility of the Polish Antarctic Station ARCTOWSKI.</t>
  </si>
  <si>
    <t>10.1007/s00248-021-01701-2</t>
  </si>
  <si>
    <t>UU7FF</t>
  </si>
  <si>
    <t>WOS:000616020200002</t>
  </si>
  <si>
    <t>Cefarelli, AO; Ferrario, ME; Vernet, M; Campana, GL; Lundholm, N</t>
  </si>
  <si>
    <t>Cefarelli, Adrian O.; Ferrario, Martha E.; Vernet, Maria; Campana, Gabriela L.; Lundholm, Nina</t>
  </si>
  <si>
    <t>Transfer of the Antarctic diatom Nitzschia barbieri (Bacillariophyta) to the genus Fragilariopsis and emended descriptions of F. barbieri comb. nov. and F. peragallii</t>
  </si>
  <si>
    <t>Diatom; Fragilariopsis; Fragilariopsis barbieri; Fragilariopsis peragallii; Nitzschia; Antarctica; Sea ice</t>
  </si>
  <si>
    <t>PSEUDO-NITZSCHIA; SEA-ICE; MORPHOLOGY; PHYLOGENY; TAXONOMY</t>
  </si>
  <si>
    <t>Fragilariopsis is a marine diatom genus that has a critical ecological role in Antarctic waters due to its high abundance and ubiquity in plankton and sea ice. Several species of Fragilariopsis are used extensively in paleoceanography due to their good preservation in marine sediments. Detailed morphological studies on Fragilariopsis species from Antarctic water and ice samples were thus performed. Nevertheless, some species of this genus still remain poorly studied. Based on close morphological similarity between the valve structure of the Antarctic diatom Nitzschia barbieri and the genus Fragilariopsis, we propose transferring N. barbieri to Fragilariopsis as Fragilariopsis barbieri comb. nov. The description of the two rarely reported species, F. barbieri and F. peragallii, were emended. The girdle structure and the formation of doublets in F. barbieri and F. peragallii are described and illustrated for the first time. The analyses were carried out by light and electron microscopy and complete the morphological description of the fourteen known extant taxa of Fragilariopsis from Antarctica. Relative abundance of Fragilariopsis species from sea ice is also presented.</t>
  </si>
  <si>
    <t>[Cefarelli, Adrian O.] Univ Nacl Patagonia San Juan Bosco UNPSJB, Inst Desarrollo Costero, Ruta Prov 1,Km 4, RA-9005 Comodoro Rivadavia, Argentina; [Cefarelli, Adrian O.] UNPSJB, CONICET, Consejo Nacl Invest Cient &amp; Tecn, Ctr Invest &amp; Transferencia Golfo San Jorge, Ruta Prov 1,Km 4, RA-9005 Comodoro Rivadavia, Argentina; [Ferrario, Martha E.] Univ Nacl La Plata, Fac Ciencias Nat &amp; Museo, Div Ficol, Paseo Bosque S-N, RA-1900 La Plata, Argentina; [Ferrario, Martha E.] Consejo Nacl Invest Cient &amp; Tecn, Godoy Cruz 2290,C1425FQB, Buenos Aires, DF, Argentina; [Vernet, Maria] Univ Calif San Diego, Scripps Inst Oceanog, Integrat Oceanog Div, La Jolla, CA 92093 USA; [Campana, Gabriela L.] Inst Antartico Argentino, Direcc Nacl Antartico, Dept Biol Costera, 25 Mayo 1143, RA-1650 San Martin, Argentina; [Campana, Gabriela L.] Univ Nacl Lujan, Dept Ciencias Basicas, Ruta 5 &amp; Av Constituc, RA-6700 Lujan, Buenos Aires, Argentina; [Lundholm, Nina] Univ Copenhagen, Nat Hist Museum Denmark, Oster Farimagsgade 5, DK-1353 Copenhagen K, Denmark</t>
  </si>
  <si>
    <t>Universidad Nacional de la Patagonia San Juan Bosco; Consejo Nacional de Investigaciones Cientificas y Tecnicas (CONICET); National University of La Plata; Museo La Plata; Consejo Nacional de Investigaciones Cientificas y Tecnicas (CONICET); University of California System; University of California San Diego; Scripps Institution of Oceanography; Instituto Antartico Argentino; Universidad Nacional de Lujan; University of Copenhagen</t>
  </si>
  <si>
    <t>Cefarelli, AO (corresponding author), Univ Nacl Patagonia San Juan Bosco UNPSJB, Inst Desarrollo Costero, Ruta Prov 1,Km 4, RA-9005 Comodoro Rivadavia, Argentina.;Cefarelli, AO (corresponding author), UNPSJB, CONICET, Consejo Nacl Invest Cient &amp; Tecn, Ctr Invest &amp; Transferencia Golfo San Jorge, Ruta Prov 1,Km 4, RA-9005 Comodoro Rivadavia, Argentina.</t>
  </si>
  <si>
    <t>cefarelliadrian@gmail.com</t>
  </si>
  <si>
    <t>Lundholm, Nina/A-4856-2013</t>
  </si>
  <si>
    <t>Lundholm, Nina/0000-0002-2035-1997</t>
  </si>
  <si>
    <t>Project Fjord ecosystem structure and function on the West Antarctic Peninsula-Hotspots of productivity and biodiversity? (expedition) [LMG 15-10]; Project Effects of global change on marine benthic algal communities at Potter Cove (South Shetland, Antarctica) (expedition) [CAV 2016/17]; Project Benthic primary producers in the coastal Antarctic ecosystem: consequences of climate change (expedition) [CAV 2016/17]</t>
  </si>
  <si>
    <t>Project Fjord ecosystem structure and function on the West Antarctic Peninsula-Hotspots of productivity and biodiversity? (expedition); Project Effects of global change on marine benthic algal communities at Potter Cove (South Shetland, Antarctica) (expedition); Project Benthic primary producers in the coastal Antarctic ecosystem: consequences of climate change (expedition)</t>
  </si>
  <si>
    <t>This study was carried out within the frame of different projects: Project Cooperation Program between France and ARGentina for the study of the AUstral Atlantic Ocean (expedition ARGAU I); Project Free-drifting Icebergs as Proliferating Dispersion Sites of Iron Enrichment, Organic Carbon Production and Export in the Southern Ocean (expedition Iceberg II); Project Fjord ecosystem structure and function on the West Antarctic Peninsula-Hotspots of productivity and biodiversity? (expedition LMG 15-10); Project Effects of global change on marine benthic algal communities at Potter Cove (South Shetland, Antarctica) (expedition CAV 2016/17); and Project Benthic primary producers in the coastal Antarctic ecosystem: consequences of climate change (expedition CAV 2016/17).</t>
  </si>
  <si>
    <t>10.1007/s00300-021-02803-w</t>
  </si>
  <si>
    <t>QH5GC</t>
  </si>
  <si>
    <t>WOS:000615877800001</t>
  </si>
  <si>
    <t>Anderson, HJ; Pedro, JB; Bostock, HC; Chase, Z; Noble, TL</t>
  </si>
  <si>
    <t>Anderson, H. J.; Pedro, J. B.; Bostock, H. C.; Chase, Z.; Noble, T. L.</t>
  </si>
  <si>
    <t>Compiled Southern Ocean sea surface temperatures correlate with Antarctic Isotope Maxima</t>
  </si>
  <si>
    <t>Millennial-scale climate variability; Sea surface temperature stack; Southern ocean; Marine isotope stage 3; Antarctic isotope maxima</t>
  </si>
  <si>
    <t>The magnitude and spatial variability of millennial-scale changes in Southern Ocean temperature during Marine Isotope Stage 3 (MIS-3) are poorly constrained. Here we present a compilation of 14 previously published high-resolution sea surface temperature records from 30 degrees S to 70 degrees S. At each site we re-calibrate radiocarbon dates and synchronise records with the Antarctic Ice Core Chronology 2012 and then determine the presence, amplitude and duration of millennial-scale warming that correspond to Antarctic Isotope Maximum (AIM) events. Individual sediment cores recorded warming during an average of 7 out of 10 AIM events. These warming events were then used as tie-points to refine the age models at each site before combining records into Southern Ocean and basin-wide averaged temperature anomaly records or stacks. The resulting stacks of Southern Ocean, Atlantic and Indo-Pacific Ocean basin temperature anomalies show a signal consistent with AIM events during MIS-3. Stacked amplitudes of warming are also positively correlated with the amplitude of temperature increases in the EPICA Dome C ice core (n = 10, r(2) = 0.65, p = 0.001). Additionally, rates of warming in the Southern Ocean are consistent across all warming events. These findings are consistent with the thermal seesaw hypothesis, where a reduction in Atlantic Meridional Overturning Circulation causes decreased cross-equatorial heat transport in the Atlantic resulting in heat accumulation in the south. Our results solidify the link between northern high latitude climate variability, Antarctic temperature and Southern Ocean surface temperature variability during MIS-3. This compilation of records with updated age models tied to the same ice core provides the first basin-scale synthesis of the sea surface temperature changes in the Southern Ocean during the rapid climate changes of MIS-3. Crown Copyright (C) 2021 Published by Elsevier Ltd. All rights reserved.</t>
  </si>
  <si>
    <t>[Anderson, H. J.; Chase, Z.; Noble, T. L.] Univ Tasmania, Inst Marine &amp; Antarctic Studies, Hobart, Tas, Australia; [Pedro, J. B.] Australian Antarctic Div, Kingston, Tas, Australia; [Pedro, J. B.] Univ Tasmania, Inst Marine &amp; Antarctic Studies, Australian Antarctic Program Partnership, Hobart, Tas, Australia; [Bostock, H. C.] Univ Queensland, Sch Earth &amp; Environm Sci, Brisbane, Qld, Australia; [Bostock, H. C.] Natl Inst Water &amp; Atmospher Res NIWA, Wellington, New Zealand</t>
  </si>
  <si>
    <t>University of Tasmania; Australian Antarctic Division; University of Tasmania; University of Queensland; National Institute of Water &amp; Atmospheric Research (NIWA) - New Zealand</t>
  </si>
  <si>
    <t>Anderson, HJ (corresponding author), Univ Tasmania, Inst Marine &amp; Antarctic Studies, Hobart, Tas, Australia.</t>
  </si>
  <si>
    <t>harris.anderson@utas.edu.au</t>
  </si>
  <si>
    <t>Bostock, Helen/A-6834-2013; Chase, Zanna/E-9232-2013</t>
  </si>
  <si>
    <t>Bostock, Helen/0000-0002-8903-8958; Noble, Taryn/0000-0002-5708-751X; Chase, Zanna/0000-0001-5060-779X</t>
  </si>
  <si>
    <t>Australian Government through the Australian Research Council's Discovery Projects funding scheme [DP180102357]; Calsberg ChronoClimate project; Science and Industry Endowment Fund; Australian Research Council Special Research Initiative for Antarctic Gateway Partnership [SR140300001]; Australian Government as part of the Antarctic Science Collaboration Initiative program; INQUA PALCOMM</t>
  </si>
  <si>
    <t>Australian Government through the Australian Research Council's Discovery Projects funding scheme; Calsberg ChronoClimate project; Science and Industry Endowment Fund; Australian Research Council Special Research Initiative for Antarctic Gateway Partnership(Australian Research Council); Australian Government as part of the Antarctic Science Collaboration Initiative program(Australian Government); INQUA PALCOMM</t>
  </si>
  <si>
    <t>This research was supported by the Australian Government through the Australian Research Council's Discovery Projects funding scheme to ZC and HCB (project DP180102357). JBP acknowledges support from the Calsberg ChronoClimate project. TLN acknowledges support from the Science and Industry Endowment Fund and the Australian Research Council Special Research Initiative for Antarctic Gateway Partnership(Project ID SR140300001). 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This paper is a contribution to the Southern Hemisphere Assessment of PaleoEnvironments (SHAPE) program to understand past climate over the last 50 ka, supported by INQUA PALCOMM. The authors thank Dr. Rebecca Totten Minzoni and an anonymous reviewer for their advice, which greatly strengthened our manuscript.</t>
  </si>
  <si>
    <t>10.1016/j.quascirev.2021.106821</t>
  </si>
  <si>
    <t>QL0NZ</t>
  </si>
  <si>
    <t>WOS:000620778300011</t>
  </si>
  <si>
    <t>Cao, Y; Yu, XW; Ju, F; Zhan, HC; Jiang, B; Kang, H; Xie, ZQ</t>
  </si>
  <si>
    <t>Cao, Yue; Yu, Xiawei; Ju, Feng; Zhan, Haicong; Jiang, Bei; Kang, Hui; Xie, Zhouqing</t>
  </si>
  <si>
    <t>Airborne bacterial community diversity, source and function along the Antarctic Coast</t>
  </si>
  <si>
    <t>Bacteria; Bioaerosols; Composition; Diversity; Antarctic coast</t>
  </si>
  <si>
    <t>SP NOV.; GEN. NOV.; MARINE AEROSOLS; CARBON ANALYSIS; AIR; ATMOSPHERE; TRANSPORT; CLIMATE; CULTURE; SYSTEM</t>
  </si>
  <si>
    <t>Antarctica is an isolated and relatively simple ecosystem dominated by microorganisms, providing a rare opportunity to study the spread of airborne microbes and to predict future global climate change. However, little is known about on the diversity and potential sources of microorganisms in the marine atmosphere along the Antarctica coast. Here we explored the airborne bacterial community (i.e., bacteriome) diversity, sources and functional potential along the Antarctic coast based on 16S rRNA gene amplicon sequencing of 25 bioaerosol samples collected during the 33rd Xuelong Antarctic scientific expedition. The results showed that bacterial communities in the Antarctic bioaerosols i) were predominated by Proteobacteria (91.3%) including Sphingomonas, ii) showed relative low alpha-diversity but high spatiotemporal variabilities; and iii) were potentially immigrated with terrestrial, marine and Antarctic polar bacteria through long-range transport and sea-air exchange pathways. Moreover, canonical correspondence analysis of bacteriome composition showed that wind speed, temperature, and organic carbon had a significant effect on the bacterial community (P &lt; 0.05), although bacterial richness (Richness index) and diversity (Simpson index and Shannon index) showed no statistically significant differences between rainy, cloudy and snowy weather conditions (Adjust P &gt; 0.05, ANOVA, Tukey HSD test). iv) The functional profiles predicted by Tax4fun2 suggest high representation of function genes related to fatty acid biosynthesis and metabolism, amino acid metabolism, nucleotide metabolism, and carbohydrate metabolism, which is conducive to the formation of microlayers on the surface of the ocean and the survival and growth of bacteria. (C) 2020 Elsevier B.V. All rights reserved.</t>
  </si>
  <si>
    <t>[Cao, Yue; Xie, Zhouqing] Univ Sci &amp; Technol China, Sch Life Sci, Hefei 230026, Anhui, Peoples R China; [Yu, Xiawei; Zhan, Haicong; Jiang, Bei; Kang, Hui; Xie, Zhouqing] Univ Sci &amp; Technol China, Anhui Key Lab Polar Environm &amp; Global Change, Hefei 230026, Anhui, Peoples R China; [Yu, Xiawei; Zhan, Haicong; Jiang, Bei; Kang, Hui; Xie, Zhouqing] Univ Sci &amp; Technol China, Dept Environm Sci &amp; Engn, Hefei 230026, Anhui, Peoples R China; [Xie, Zhouqing] Chinese Acad Sci, Ctr Excellence Urban Atmospher Environm, Inst Urban Environm, Xiamen 361021, Fujian, Peoples R China; [Ju, Feng] Westlake Univ, Sch Engn, Hangzhou 310024, Peoples R China; [Ju, Feng] Westlake Univ, Sch Engn, Key Lab Coastal Environm &amp; Resource Res Zhejiang, Hangzhou 310024, Peoples R China</t>
  </si>
  <si>
    <t>Chinese Academy of Sciences; University of Science &amp; Technology of China, CAS; Chinese Academy of Sciences; University of Science &amp; Technology of China, CAS; Chinese Academy of Sciences; University of Science &amp; Technology of China, CAS; Chinese Academy of Sciences; Institute of Urban Environment, CAS; Westlake University; Westlake University</t>
  </si>
  <si>
    <t>Xie, ZQ (corresponding author), Univ Sci &amp; Technol China, Sch Life Sci, Hefei 230026, Anhui, Peoples R China.</t>
  </si>
  <si>
    <t>JU, Feng/I-8437-2016; Jiang, Bei/JDC-9899-2023</t>
  </si>
  <si>
    <t>JU, Feng/0000-0003-4137-5928; Jiang, Bei/0000-0001-5223-6742</t>
  </si>
  <si>
    <t>National Natural Science Foundation of China [41676173, 41930532]</t>
  </si>
  <si>
    <t>This research was supported by grants from the National Natural Science Foundation of China (Project Nos. 41676173, 41930532). The filed work was supported by China Arctic and Antarctic Administration.</t>
  </si>
  <si>
    <t>10.1016/j.scitotenv.2020.142700</t>
  </si>
  <si>
    <t>QE5FL</t>
  </si>
  <si>
    <t>WOS:000616232300007</t>
  </si>
  <si>
    <t>Di Giglio, S; Agüera, A; Pernet, P; M'Zoudi, S; Angulo-Preckler, C; Avila, C; Dubois, P</t>
  </si>
  <si>
    <t>Di Giglio, S.; Aguera, A.; Pernet, Ph; M'Zoudi, S.; Angulo-Preckler, C.; Avila, C.; Dubois, Ph</t>
  </si>
  <si>
    <t>Effects of ocean acidification on acid-base physiology, skeleton properties, and metal contamination in two echinoderms from vent sites in Deception Island, Antarctica</t>
  </si>
  <si>
    <t>West Antarctic peninsula (WAP); Echinoderms; Calcification; Marine benthic invertebrates; Mechanical properties; Metals contamination; Ocean acidification</t>
  </si>
  <si>
    <t>SOUTH SHETLAND ISLANDS; PORT FOSTER; SEA-URCHIN; STERECHINUS NEUMAYERI; POPULATION-STRUCTURE; ASTERIAS-RUBENS; TRACE-ELEMENTS; CLIMATE-CHANGE; CARBONIC-ACID; SOFT-BOTTOMS</t>
  </si>
  <si>
    <t>Antarctic surface waters are expected to be the first to experience severe ocean acidification (OA) with carbonate undersaturation and large decreases in pH forecasted before the end of this century. Due to the long stability in environmental conditions and the relatively low daily and seasonal variations to which they are exposed, Antarctic marine organisms, especially those with a supposedly poor machinery to eliminate CO2 and protons and with a heavily calcified skeleton like echinoderms, are hypothesized as highly vulnerable to these environmental shifts. The opportunities offered by the natural pH gradient generated by vent activities in Deception Island caldera, Western Antarctic Peninsula, were used to investigate for the first time the acid-base physiologies, the impact and sea urchin Sterechinus neumayeri. The two species were sampled in four stations within the caldera, two at pH (total scale) 8.0-8.1 and two at reduced pH 7.8. Measured variables were pH, alkalinity, and dissolved inorganic carbon of the coelomic fluid; characteristic fracture force, stress and Young's modulus using Weibull statistics and Cd, Cu, Fe, Pb and Zn concentrations in the integument, gonads and digestive system. Recorded acid-base characteristics of both studied species fit in the general picture deduced from temperate and tropical sea stars and sea urchins but conditions and possibly confounding factors, principally food availability and quality, in the studied stations prevented definitive conclusions. Reduced seawater pH 7.8 and metals had almost no impact on the skeleton mechanical properties of the two investigated species despite very high Cd concentrations in O. validus integument. Reduced pH was correlated to increased contamination by most metals but this relation was weak. Translocation and caging experiments taking into account food parameters are proposed to better understand future processes linked to ocean acidification and metal contamination in Antarctic echinoderms. (C) 2020 Elsevier B.V. All rights reserved.</t>
  </si>
  <si>
    <t>[Di Giglio, S.; Aguera, A.; Pernet, Ph; M'Zoudi, S.; Dubois, Ph] Univ Libre Bruxelles, Lab Biol Marine, CP 160-15,Ave FD Roosevelt 50, B-1050 Brussels, Belgium; [Aguera, A.] Inst Marine Res Norway, Austevoll Res Stn, Sauganeset 16, N-5392 Storebo, Norway; [Angulo-Preckler, C.] UiT Arctic Univ Norway, Norwegian Coll Fishery Sci, Fac Biosci Fisheries &amp; Econ, Tromso, Norway; [Avila, C.] Univ Barcelona, Fac Biol, Dept Evolutionary Biol Ecol &amp; Environm Sci, Av Diagonal 643, Barcelona 08028, Catalonia, Spain; [Avila, C.] Univ Barcelona, Biodivers Res Inst IRBio, Av Diagonal 643, Barcelona 08028, Catalonia, Spain</t>
  </si>
  <si>
    <t>Universite Libre de Bruxelles; Institute of Marine Research - Norway; UiT The Arctic University of Tromso; University of Barcelona; University of Barcelona</t>
  </si>
  <si>
    <t>Di Giglio, S (corresponding author), Univ Libre Bruxelles, Lab Biol Marine, CP 160-15,Ave FD Roosevelt 50, B-1050 Brussels, Belgium.</t>
  </si>
  <si>
    <t>digiglio.sarah@gmail.com</t>
  </si>
  <si>
    <t>Agüera, Antonio/O-5498-2017; Angulo_Preckler, Carlos/A-6456-2011; Avila, Conxita/B-9466-2008</t>
  </si>
  <si>
    <t>Agüera, Antonio/0000-0003-0076-1849; Angulo_Preckler, Carlos/0000-0001-9028-274X; Avila, Conxita/0000-0002-5489-8376</t>
  </si>
  <si>
    <t>FRIA grant; University of Barcelona through the BLUEBIO Project [CTM2016-78901/ANT]; FNRS [10219.16]; rECTO project [BR/154/A1/RECTO]</t>
  </si>
  <si>
    <t>FRIA grant(Fonds de la Recherche Scientifique - FNRS); University of Barcelona through the BLUEBIO Project; FNRS(Fonds de la Recherche Scientifique - FNRS); rECTO project</t>
  </si>
  <si>
    <t>SD. was a holder of a FRIA grant. PD. is a Research Director of the National Fund for Scientific Research (FRS-FNRS; Belgium). This project has been feasible thanks to a collaboration with the University of Barcelona through the BLUEBIO Project (CTM2016-78901/ANT) to CA, the Spanish Station: Base Antartica Gabriel de Castilla and the Spanish Polar Committee. We would like to thank Prof. I. Eeckhaut, P. Flammang, and Mr. N. Puozzo for providing access to the SEM. The access to the IRMS for DIC measurements was provided by Prof. F. Dehairs and Dr. D. Verstraeten. We thank Blanca Figuerola for the measurements of seawater parameters at several stations of Deception Island. We thank two anonymous reviewers for their constructive comments. The study was supported by FNRS grant n 10219.16 SOFTECHL This is contribution no. 012 to the rECTO project (contract no. BR/154/A1/RECTO). This is an AntECO (SCAR) contribution.</t>
  </si>
  <si>
    <t>10.1016/j.scitotenv.2020.142669</t>
  </si>
  <si>
    <t>WOS:000616232300055</t>
  </si>
  <si>
    <t>Alekseev, I; Abakumov, E</t>
  </si>
  <si>
    <t>Alekseev, Ivan; Abakumov, Evgeny</t>
  </si>
  <si>
    <t>Polycyclic Aromatic Hydrocarbons, Mercury and Arsenic Content in Soils of Larsemann Hills, Pravda Coast and Fulmar Island, Eastern Antarctica (Jan, 10.1007/s00128-020-03063-w, 2021)</t>
  </si>
  <si>
    <t>BULLETIN OF ENVIRONMENTAL CONTAMINATION AND TOXICOLOGY</t>
  </si>
  <si>
    <t>The original version of the article unfortunately contained a mistake in Fig. 2, where numbers on the plot were not decoded.</t>
  </si>
  <si>
    <t>[Alekseev, Ivan; Abakumov, Evgeny] St Petersburg State Univ, Dept Appl Ecol, St Petersburg, Russia; [Alekseev, Ivan] Arctic &amp; Antarctic Res Inst, St Petersburg, Russia</t>
  </si>
  <si>
    <t>Alekseev, I (corresponding author), St Petersburg State Univ, Dept Appl Ecol, St Petersburg, Russia.;Alekseev, I (corresponding author), Arctic &amp; Antarctic Res Inst, St Petersburg, Russia.</t>
  </si>
  <si>
    <t>alekseevivan95@gmail.com</t>
  </si>
  <si>
    <t>Abakumov, e_abakumov@mail.ru/ADJ-1297-2022; Alekseev, Ivan/H-5338-2016; Abakumov, Evgeny/AAO-8580-2020</t>
  </si>
  <si>
    <t>Abakumov, e_abakumov@mail.ru/0000-0002-5248-9018; Alekseev, Ivan/0000-0002-0512-3849; Abakumov, Evgeny/0000-0002-5248-9018</t>
  </si>
  <si>
    <t>0007-4861</t>
  </si>
  <si>
    <t>1432-0800</t>
  </si>
  <si>
    <t>B ENVIRON CONTAM TOX</t>
  </si>
  <si>
    <t>Bull. Environ. Contam. Toxicol.</t>
  </si>
  <si>
    <t>10.1007/s00128-021-03128-4</t>
  </si>
  <si>
    <t>RD3PA</t>
  </si>
  <si>
    <t>WOS:000615549200003</t>
  </si>
  <si>
    <t>de Vos, M; Barnes, M; Biddle, LC; Swart, S; Ramjukadh, CL; Vichi, M</t>
  </si>
  <si>
    <t>de Vos, Marc; Barnes, Michael; Biddle, Louise C.; Swart, Sebastiaan; Ramjukadh, Carla-Louise; Vichi, Marcello</t>
  </si>
  <si>
    <t>Evaluating numerical and free-drift forecasts of sea ice drift during a Southern Ocean research expedition: An operational perspective</t>
  </si>
  <si>
    <t>JOURNAL OF OPERATIONAL OCEANOGRAPHY</t>
  </si>
  <si>
    <t>Antarctic sea ice is prevalently seen as a major player in the climate system, but it is also an important factor in polar maritime safety. Remote sensing and forecasting of Southern Ocean sea ice at time scales suitable for navigation and research planning remain challenging. In this study, numerical sea ice drift forecasts are assessed from the perspective of informing shipping operations. A series of tests is performed to ascertain whether an operational global ocean and sea ice model and a simple free-drift model can provide accurate drift estimates over short lead times. Both approaches are evaluated against ice drift measurements from buoys deployed during two research cruises in the Southern Ocean marginal ice zone during winter and spring. The numerical forecast model was able to forecast sea ice trajectories over 24 h with an average position error of 16.6 km during winter and 9.2 km during spring. The simpler free-drift model, using empirically optimised wind scaling, returned an average position error of 15.9 and 9.3 km during winter and spring respectively. Model skill for both the dynamical and free-drift models is lower in winter than in spring. Free-drift model skill appears linked with sea ice consolidation, which may assist in determining when and where this approach is fit for purpose. Lingering uncertainties regarding the rheological representation of sea ice in the dynamical model and the quality of the wind and ocean forcing remain, potentially affecting model skill over tactical navigation time frames.</t>
  </si>
  <si>
    <t>[de Vos, Marc; Barnes, Michael; Ramjukadh, Carla-Louise] South African Weather Serv, Marine Res Unit, Cape Town, South Africa; [de Vos, Marc; Swart, Sebastiaan; Vichi, Marcello] Univ Cape Town, Dept Oceanog, Rondebosch, South Africa; [de Vos, Marc; Swart, Sebastiaan; Vichi, Marcello] Univ Cape Town, Marine Res Inst, Rondebosch, South Africa; [Biddle, Louise C.; Swart, Sebastiaan] Univ Gothenburg, Dept Marine Sci, Gothenburg, Sweden</t>
  </si>
  <si>
    <t>South African Weather Service (SAWS); University of Cape Town; University of Cape Town; University of Gothenburg</t>
  </si>
  <si>
    <t>de Vos, M (corresponding author), South African Weather Serv, Marine Res Unit, Cape Town, South Africa.;de Vos, M (corresponding author), Univ Cape Town, Dept Oceanog, Rondebosch, South Africa.;de Vos, M (corresponding author), Univ Cape Town, Marine Res Inst, Rondebosch, South Africa.</t>
  </si>
  <si>
    <t>marc.devos@weathersa.co.za</t>
  </si>
  <si>
    <t>Vichi, Marcello/GLR-9823-2022; Swart, Sebastiaan/U-5498-2017</t>
  </si>
  <si>
    <t>Vichi, Marcello/0000-0002-0686-9634; Swart, Sebastiaan/0000-0002-2251-8826; De Vos, Marc/0000-0001-8996-5500; Ramjukadh, Carla-Louise/0000-0003-4261-9701; Barnes, Michael/0000-0001-8056-8875; Biddle, Louise/0000-0002-4785-1959</t>
  </si>
  <si>
    <t>Wallenberg Academy Fellowship [WAF 2015.0186]; Swedish Research Council [VR 2019-04400]; STINT-NRF Mobility Grant; South African National Antarctic Program (NRF grant) [118745]; Swedish Research Council [2019-04400] Funding Source: Swedish Research Council</t>
  </si>
  <si>
    <t>Wallenberg Academy Fellowship; Swedish Research Council(Swedish Research Council); STINT-NRF Mobility Grant; South African National Antarctic Program (NRF grant); Swedish Research Council(Swedish Research Council)</t>
  </si>
  <si>
    <t>Sebastiaan Swart and Louise Biddle were supported by a Wallenberg Academy Fellowship (WAF 2015.0186), Swedish Research Council grant (VR 2019-04400) and a STINT-NRF Mobility Grant. Marcello Vichi was supported by the South African National Antarctic Program (NRF grant 118745).</t>
  </si>
  <si>
    <t>1755-876X</t>
  </si>
  <si>
    <t>1755-8778</t>
  </si>
  <si>
    <t>J OPER OCEANOGR</t>
  </si>
  <si>
    <t>J. Oper. Oceanogr.</t>
  </si>
  <si>
    <t>SEP 2</t>
  </si>
  <si>
    <t>10.1080/1755876X.2021.1883293</t>
  </si>
  <si>
    <t>4F4ZL</t>
  </si>
  <si>
    <t>WOS:000616193200001</t>
  </si>
  <si>
    <t>Torok, VA; Hodgson, KR; Jolley, J; Turnbull, A</t>
  </si>
  <si>
    <t>Torok, Valeria A.; Hodgson, Kate R.; Jolley, Jessica; Turnbull, Alison</t>
  </si>
  <si>
    <t>Investigation of F-RNA Bacteriophage as a Tool in Re-Opening Australian Oyster Growing Areas Following Sewage Spills</t>
  </si>
  <si>
    <t>FOOD AND ENVIRONMENTAL VIROLOGY</t>
  </si>
  <si>
    <t>Shellfish management; Food safety; Foodborne viruses; Norovirus; Hepatitis A virus; Escherichia coli bacteriophage MS2</t>
  </si>
  <si>
    <t>Oysters contaminated with human enteric viruses from sewage are implicated in foodborne outbreaks globally. Bacteriophages have been identified as potential indicators for these viruses, but have not been used in shellfish management outside of the USA. This study aimed to determine the background levels of F-RNA phage in five Australian oyster growing areas with a history of sewage spills and closures, over an 18-month period. In addition, oysters from five growing areas impacted by adverse sewage events were investigated for F-RNA phage, Escherichia coli, norovirus (NoV) and hepatitis A virus (HAV). F-RNA phage &lt;= 60 pfu/100 gm shellfish flesh were found to represent a conservative background level in the surveyed areas. Following two of the five sewage spills, elevated phage levels were observed in most sample sites less than 4 days post spill. By 7 days, most sites from all events had phage &lt; 30 pfu/100 gm. NoV was detected in day 1 and day 6 samples from one event when all phage were &lt;= 30 pfu/100 gm. NoV was also detected in a day 3 sample from another event with &lt; 30 phage pfu/100 gm, however, multiple replicate samples had elevated phage levels. The results of this study add evidence on the potential use of F-RNA phage as a tool in early re-opening of oyster harvest areas post sewage spills. However, it also highlights the need to better understand situations where phage testing may be ineffectual, and the importance of sampling at multiple sites and over multiple time points, to effectively capture evidence of contamination.</t>
  </si>
  <si>
    <t>[Torok, Valeria A.; Hodgson, Kate R.; Jolley, Jessica; Turnbull, Alison] South Australian Res &amp; Dev Inst, Food Sci, Waite Campus, Urrbrae, SA, Australia; [Turnbull, Alison] Univ Tasmania, Inst Marine &amp; Antarctic Studies, Private Bag 129, Hobart, Tas, Australia</t>
  </si>
  <si>
    <t>South Australian Research &amp; Development Institute (SARDI); University of Tasmania</t>
  </si>
  <si>
    <t>Torok, VA (corresponding author), South Australian Res &amp; Dev Inst, Food Sci, Waite Campus, Urrbrae, SA, Australia.</t>
  </si>
  <si>
    <t>valeria.torok@sa.gov.au</t>
  </si>
  <si>
    <t>Torok, Valeria/0000-0001-6250-3496</t>
  </si>
  <si>
    <t>Fisheries Research and Development Corporation on behalf of the Australian Government [FRDC 2015/037]; TasWater; Central Coast Council; Port Macquarie-Hastings Council; Shoalhaven Council; New South Wales Food Authority</t>
  </si>
  <si>
    <t>Fisheries Research and Development Corporation on behalf of the Australian Government(Fisheries R&amp;D Corp); TasWater; Central Coast Council; Port Macquarie-Hastings Council; Shoalhaven Council; New South Wales Food Authority</t>
  </si>
  <si>
    <t>We acknowledge that this project (FRDC 2015/037) was supported by funding from the Fisheries Research and Development Corporation on behalf of the Australian Government. We also acknowledge the financial support of TasWater, Central Coast Council, Port Macquarie-Hastings Council, Shoalhaven Council and New South Wales Food Authority. We would like to acknowledge and thank the steering committee members for their contributions and input into the project: Anthony Zammit and Phil Baker, New South Wales Food Authority; Maree Smith, Port Macquarie-Hastings Council; Wayne Hutchinson, Oysters Australia; Joanna Waugh and Stephen Shinners, Central Coast Council; Andrew McVey, Shoalhaven City Council; David Holmes, TasWater: Kate Wilson, Tasmanian Shellfish Quality Assurance Program; Justin Goc, Barilla Bay Oysters; and Brandon Armstrong, Armstrong Oysters. We also acknowledge contributions from New South Wales Shellfish Program, Oysters Australia and Tasmanian Shellfish Quality Assurance Program and the NSW and Tasmanian oyster growers and samplers for their assistance in collecting and transporting oyster samples, in particular Brandon Armstrong, Wayne Moxham, Anthony Munn, Justin Goc, Josh Poke, James Calvert, Peter Kosmeyer and Tony Byrne. We acknowledge the technical assistance of Linda Friedrich and Navreet Malhi, SARDI Food Sciences. We also acknowledge Phil Baker, NSW Food Authority, and Ruari Colquhoun, University of Tasmania, for generation of maps.</t>
  </si>
  <si>
    <t>1867-0334</t>
  </si>
  <si>
    <t>1867-0342</t>
  </si>
  <si>
    <t>FOOD ENVIRON VIROL</t>
  </si>
  <si>
    <t>Food Environ. Virol.</t>
  </si>
  <si>
    <t>10.1007/s12560-021-09462-4</t>
  </si>
  <si>
    <t>Environmental Sciences; Food Science &amp; Technology; Microbiology; Virology</t>
  </si>
  <si>
    <t>Environmental Sciences &amp; Ecology; Food Science &amp; Technology; Microbiology; Virology</t>
  </si>
  <si>
    <t>SB0XE</t>
  </si>
  <si>
    <t>WOS:000615544300001</t>
  </si>
  <si>
    <t>Yu, ZC; Wang, TQ; Luo, YN; Zheng, XT; He, W; Chen, LB; Peng, CL</t>
  </si>
  <si>
    <t>Yu, Zheng-Chao; Wang, Ting-qin; Luo, Yan-Na; Zheng, Xiao-Ting; He, Wei; Chen, Liang-Biao; Peng, Chang-Lian</t>
  </si>
  <si>
    <t>Overexpression of the V-ATPase c subunit gene from Antarctic notothenioid fishes enhances freezing tolerance in transgenic Arabidopsis plants</t>
  </si>
  <si>
    <t>PLANT PHYSIOLOGY AND BIOCHEMISTRY</t>
  </si>
  <si>
    <t>VHA-c gene; Freezing tolerance; Arabidopsis; ATP content; Overexpressing</t>
  </si>
  <si>
    <t>Theoretical and experimental studies have demonstrated that temperature is an important environmental factor that affects the regional distribution of plants. However, how to modify the distribution pattern of plants in different regions is a focus of current research. Obtain the information of cold tolerance genes from cold tolerance species, cloning genes with real cold tolerance effects is one of the most important ways to find the genes related to cold tolerance. In this study, we investigated whether transferring the VHA-c gene from Antarctic notothenioid fishes into Arabidopsis enhances freezing tolerance of Arabidopsis. The physiological response and molecular changes of VHA-c overexpressing pedigree and wildtype Arabidopsis were studied at -20 degrees C. The results showed that the malondialdehyde (MDA) and membrane leakage rates of WT plants were significantly higher than those of VHA-c8 and VHA-c11 plants, but the soluble sugar, soluble protein, proline and ATP contents of WT plants were significantly lower than those of VHA-c8 and VHA-c11 plants under 20.C freezing treatment. The survival rate, VHA-c gene expression level and VHA-c protein contents of WT plants were significantly lower than those of VHA-c8 and VHA-c11 plants under 20.C freezing treatment. Correlation analysis showed that ATP content was significantly negatively correlated with MDA and membrane leakage rate, and positively correlated with soluble sugar, soluble protein and proline content under 20 degrees C freezing treatment. These results demonstrated that overexpression of the VHA-c gene provided strong freezing tolerance to Arabidopsis by increasing the synthesis of ATP and improved the adaptability of plants in low temperature environment.Y</t>
  </si>
  <si>
    <t>[Yu, Zheng-Chao; Luo, Yan-Na; Zheng, Xiao-Ting; He, Wei; Peng, Chang-Lian] South China Normal Univ, Sch Life Sci, Guangzhou Key Lab Subtrop Biodivers &amp; Biomonitori, Guangdong Prov Key Lab Biotechnol Plant Dev, Guangzhou 510631, Peoples R China; [Wang, Ting-qin] Guangdong Ocean Univ, Coll Coastal Agr Sci, Zhanjiang 524088, Peoples R China; [Chen, Liang-Biao] Shanghai Ocean Univ, Coll Fisheries &amp; Life Sci, Internal Joint Res Ctr Marine Biosci, Minist Sci &amp; Technol, Shanghai 201306, Peoples R China</t>
  </si>
  <si>
    <t>South China Normal University; Guangdong Ocean University; Shanghai Ocean University</t>
  </si>
  <si>
    <t>Peng, CL (corresponding author), South China Normal Univ, Sch Life Sci, Guangzhou Key Lab Subtrop Biodivers &amp; Biomonitori, Guangdong Prov Key Lab Biotechnol Plant Dev, Guangzhou 510631, Peoples R China.;Chen, LB (corresponding author), Shanghai Ocean Univ, Coll Fisheries &amp; Life Sci, Internal Joint Res Ctr Marine Biosci, Minist Sci &amp; Technol, Shanghai 201306, Peoples R China.</t>
  </si>
  <si>
    <t>lbchen@shou.edu.cn; pengchl@scib.ac.cn</t>
  </si>
  <si>
    <t>Zheng, Xiao-Ting/GQZ-0794-2022</t>
  </si>
  <si>
    <t>Zheng, Xiao-Ting/0000-0001-6890-1137</t>
  </si>
  <si>
    <t>National Natural Science Foundation of China [31870374]; National Special Project for Genetic Improving of Agricultural Species [2009ZX08009003B]</t>
  </si>
  <si>
    <t>National Natural Science Foundation of China(National Natural Science Foundation of China (NSFC)); National Special Project for Genetic Improving of Agricultural Species</t>
  </si>
  <si>
    <t>This work was funded by the National Natural Science Foundation of China (31870374). The study was also supported by the National Special Project for Genetic Improving of Agricultural Species (2009ZX08009003B).</t>
  </si>
  <si>
    <t>ELSEVIER FRANCE-EDITIONS SCIENTIFIQUES MEDICALES ELSEVIER</t>
  </si>
  <si>
    <t>ISSY-LES-MOULINEAUX</t>
  </si>
  <si>
    <t>65 RUE CAMILLE DESMOULINS, CS50083, 92442 ISSY-LES-MOULINEAUX, FRANCE</t>
  </si>
  <si>
    <t>0981-9428</t>
  </si>
  <si>
    <t>1873-2690</t>
  </si>
  <si>
    <t>PLANT PHYSIOL BIOCH</t>
  </si>
  <si>
    <t>Plant Physiol. Biochem.</t>
  </si>
  <si>
    <t>10.1016/j.plaphy.2021.01.038</t>
  </si>
  <si>
    <t>RJ9UP</t>
  </si>
  <si>
    <t>WOS:000637952900033</t>
  </si>
  <si>
    <t>Bezus, B; Ruscasso, F; Garmendia, G; Vero, S; Cavello, I; Cavalitto, S</t>
  </si>
  <si>
    <t>Bezus, Brenda; Ruscasso, Florencia; Garmendia, Gabriela; Vero, Silvana; Cavello, Ivana; Cavalitto, Sebastian</t>
  </si>
  <si>
    <t>Revalorization of chicken feather waste into a high antioxidant activity feather protein hydrolysate using a novel psychrotolerant bacterium</t>
  </si>
  <si>
    <t>Antarctic bacterium; Antioxidant activity; Feather protein hydrolysate</t>
  </si>
  <si>
    <t>KERATINOLYTIC BACTERIUM; IN-VITRO; ENZYME; SIZE; L.</t>
  </si>
  <si>
    <t>In this study, we assessed the capacity of Pedobacter sp. 3.14.7 -a novel Antarctic keratinolytic bacterium- of producing a feather protein hydrolysate (FPH) with high antioxidant activity. This strain was able to degrade raw feather into protein hydrolysate under optimal conditions of 30 g l(-1) of feather concentration, pH 6.0, and 20 degrees C. Maximum enzymatic activity was detected after a 192-h cultivation period (125.67 +/- 3.06 U ml(-1)). Quenching of the ABTS radical (2,20-azino-bis-(3-ethylbenzothiazoline)-6-sulfonic acid) by the hydrolysate reached a value of approximately 95%, with a 50% Inhibitory Concentration (IC50) value of 0.57 +/- 0.01 g l(-1). An interesting reducing power of the FPH towards Fe+3 was also detected (2.19 Abs700 units in the presence of 2.03 g l(-1) protein). The hydrolysate also displayed a moderate nitric oxide-scavenging activity, with an IC50 of 0.53 +/- 0.01 g l(-1). This FPH's free amino acid content is high (almost 5 g l(-1)). Results indicate that this hydrolysate may be useful as supplementary protein and antioxidant in animal feed formulations.</t>
  </si>
  <si>
    <t>[Bezus, Brenda; Ruscasso, Florencia; Cavello, Ivana; Cavalitto, Sebastian] CONICET La Plata UNLP, Res &amp; Dev Ctr Ind Fermentat CINDEFI, Calle 47 Y 115,B1900ASH, La Plata, Argentina; [Garmendia, Gabriela; Vero, Silvana] Univ Republica, Fac Quim, Dept Biociencias, Catedra Microbiol, Montevideo 11800, Uruguay</t>
  </si>
  <si>
    <t>Consejo Nacional de Investigaciones Cientificas y Tecnicas (CONICET); National University of La Plata; Universidad de la Republica, Uruguay</t>
  </si>
  <si>
    <t>Cavalitto, S (corresponding author), Consejo Nacl Invest Cient &amp; Tecn, B1900ASH, La Plata, Buenos Aires, Argentina.</t>
  </si>
  <si>
    <t>bbezus@biotec.quimica.unlp.edu.ar; florenciaruscasso@quimica.unlp.edu.ar; garmendia@fq.edu.uy; svero@fq.edu.uy; icavello@biotec.quimica.unlp.edu.ar; cavalitto@quimica.unlp.edu.ar</t>
  </si>
  <si>
    <t>National Scientific and Technological Research Council; National Agency for the Promotion of Science and Technology (ANPCyT) [PICT 2015-3699, PICT 2018-3194]</t>
  </si>
  <si>
    <t>National Scientific and Technological Research Council; National Agency for the Promotion of Science and Technology (ANPCyT)(ANPCyT)</t>
  </si>
  <si>
    <t>This work was supported by the National Scientific and Technological Research Council and the National Agency for the Promotion of Science and Technology (ANPCyT, grant numbers PICT 2015-3699 and PICT 2018-3194).</t>
  </si>
  <si>
    <t>10.1016/j.bcab.2021.101925</t>
  </si>
  <si>
    <t>RH5PC</t>
  </si>
  <si>
    <t>WOS:000636269400003</t>
  </si>
  <si>
    <t>Armbrecht, L; Hallegraeff, G; Bolch, CJS; Woodward, C; Cooper, A</t>
  </si>
  <si>
    <t>Armbrecht, L.; Hallegraeff, G.; Bolch, C. J. S.; Woodward, C.; Cooper, A.</t>
  </si>
  <si>
    <t>Hybridisation capture allows DNA damage analysis of ancient marine eukaryotes</t>
  </si>
  <si>
    <t>Marine sedimentary ancient DNA (sedaDNA) is increasingly used to study past ocean ecosystems, however, studies have been severely limited by the very low amounts of DNA preserved in the subseafloor, and the lack of bioinformatic tools to authenticate sedaDNA in metagenomic data. We applied a hybridisation capture 'baits' technique to target marine eukaryote sedaDNA (specifically, phyto- and zooplankton, 'Planktonbaits1'; and harmful algal bloom taxa, 'HABbaits1'), which resulted in up to 4- and 9-fold increases, respectively, in the relative abundance of eukaryotes compared to shotgun sequencing. We further used the bioinformatic tool 'HOPS' to authenticate the sedaDNA component, establishing a new proxy to assess sedaDNA authenticity, % eukaryote sedaDNA damage, that is positively correlated with subseafloor depth. We used this proxy to report the first-ever DNA damage profiles from a marine phytoplankton species, the ubiquitous coccolithophore Emiliania huxleyi. Our approach opens new avenues for the detailed investigation of long-term change and evolution of marine eukaryotes over geological timescales.</t>
  </si>
  <si>
    <t>[Armbrecht, L.] Univ Adelaide, Fac Sci, Australian Ctr Ancient DNA, Sch Biol Sci, Adelaide, SA, Australia; [Hallegraeff, G.] Univ Tasmania, Inst Marine &amp; Antarctic Studies, Hobart, Tas, Australia; [Bolch, C. J. S.] Univ Tasmania, Inst Marine &amp; Antarctic Studies, Launceston, Tas, Australia; [Woodward, C.] Australian Nucl Sci &amp; Technol Org, Lucas Heights, NSW, Australia; [Cooper, A.] South Australian Museum, Adelaide, SA, Australia</t>
  </si>
  <si>
    <t>University of Adelaide; University of Tasmania; University of Tasmania; Australian Nuclear Science &amp; Technology Organisation; South Australian Museum</t>
  </si>
  <si>
    <t>Armbrecht, L (corresponding author), Univ Adelaide, Fac Sci, Australian Ctr Ancient DNA, Sch Biol Sci, Adelaide, SA, Australia.</t>
  </si>
  <si>
    <t>linda.armbrecht@adelaide.edu.au</t>
  </si>
  <si>
    <t>Armbrecht, Linda/GZB-0547-2022; Hallegraeff, Gustaaf/C-8351-2013; Bolch, Christopher/J-7619-2014</t>
  </si>
  <si>
    <t>Cooper, Alan/0000-0002-7738-7851; Hallegraeff, Gustaaf/0000-0001-8464-7343; Bolch, Christopher/0000-0001-9047-2391</t>
  </si>
  <si>
    <t>Australian Research Council (ARC) [DP170102261]; ARC Laureate Fellowship [FL140100260]; Australian Research Council [FL140100260] Funding Source: Australian Research Council</t>
  </si>
  <si>
    <t>Australian Research Council (ARC)(Australian Research Council); ARC Laureate Fellowship(Australian Research Council); Australian Research Council(Australian Research Council)</t>
  </si>
  <si>
    <t>We are grateful to Brian Brunelle from Arbor Biosciences, USA, for his expert assistance with designing Planktonbaits1 and HABbaits1. We thank Oscar Estrada-Santamaria, Steve Richards, Holly Heiniger, Nicole Moore and Steve Johnson for their help and advice during extractions, library preparations, and hybridisation capture. We are grateful to Raphael Eisenhofer, Vilma Perez, Yassine Souilmi, Yichen Liu, and Ron Hubler for their help with on bioinformatic analyses. We thank the Marine National Facility, the crew of RV Investigator voyage IN2018_T02 and the scientific team for their support during field work (2018 MNF Grant H0025318), and Prof. Andrew McMinn for assistance with collection of the cores. This study was funded through the 2017 Australian Research Council (ARC) Discovery Project DP170102261. AC was funded by ARC Laureate Fellowship FL140100260.</t>
  </si>
  <si>
    <t>FEB 5</t>
  </si>
  <si>
    <t>10.1038/s41598-021-82578-6</t>
  </si>
  <si>
    <t>QG4BZ</t>
  </si>
  <si>
    <t>Green Published, gold, Green Submitted, Green Accepted</t>
  </si>
  <si>
    <t>WOS:000617534100002</t>
  </si>
  <si>
    <t>Mdibi, L; Van Zyl, R; Kosch, M; Ward, J</t>
  </si>
  <si>
    <t>Mdibi, Lusanda; Van Zyl, Robert; Kosch, Michael; Ward, Jonathan</t>
  </si>
  <si>
    <t>A land-based HF transmitter for ionospheric propagation studies using SuperDARN radars</t>
  </si>
  <si>
    <t>JOURNAL OF ENGINEERING DESIGN AND TECHNOLOGY</t>
  </si>
  <si>
    <t>Space weather; SuperDARN; SANAE IV; HF beacon; Travelling ionospheric disturbances; Atmospheric gravity waves</t>
  </si>
  <si>
    <t>Purpose The purpose of this paper is to design, build and test a low power high frequency (HF) transmitter that can be received by the Super Dual Auroral Radar Network (SuperDARN) radar installed at SANAE IV, the 4th South African National Antarctic Expedition Station. It is proposed that it may be possible to do propagation studies using the radar and the fixed frequency, ground-based HF transmitter beacon. Interpretation of the measurements can be used to study the ionosphere, especially Travelling Ionospheric Disturbances, which are signatures of atmospheric gravity waves. Design/methodology/approach In the absence of the actual deployment of the HF transmitter beacon in Antarctica, extensive simulations have been done to evaluate the expected performance of the transmitter in relation to the SuperDARN. A field trial has been executed between Hermanus (34.4241 degrees S, 19.2247 degrees E) and Pretoria (34.0558 degrees S, 18.4589 degrees E) in South Africa. In future, the beacon will be placed at the South Pole with its antenna radiating towards SANAE IV. Findings The HF transmitter conforms to the power and frequency stability requirements both during propagation tests conducted between Hermanus and Pretoria, as well as when the device was exposed to temperatures that ranged from +40 degrees C to -45 degrees C in a thermal chamber. Propagation in Antarctica is expected to differ from the field tests conducted due to the differences in density and dynamics of the polar ionosphere, compared to the mid-latitude ionosphere. Originality/value Space weather research, including forecasting atmospheric gravity waves and determining the expected electron density profile of the ionosphere, is of great scientific interest. The data received from the HF beacon can be used to study and characterize the ionosphere of the region between the South Pole and SANAE IV. Parameters of the ionosphere, such as electron density, geomagnetic storm effects, ionospheric motions and sky wave propagation paths will be better understood from analysing the signal received from this transmitter after it has been reflected and refracted by the ionosphere.</t>
  </si>
  <si>
    <t>[Mdibi, Lusanda; Van Zyl, Robert] Cape Peninsula Univ Technol, Dept Elect Elect &amp; Comp Engn, Cape Town, South Africa; [Kosch, Michael; Ward, Jonathan] South African Natl Space Agcy, Space Sci Directorate, Hermanus, South Africa</t>
  </si>
  <si>
    <t>Cape Peninsula University of Technology</t>
  </si>
  <si>
    <t>Van Zyl, R (corresponding author), Cape Peninsula Univ Technol, Dept Elect Elect &amp; Comp Engn, Cape Town, South Africa.</t>
  </si>
  <si>
    <t>mdibi.lusanda@gmail.com; vanzylrr@gmail.com; mkosch@sansa.org.za; jward@sansa.org.za</t>
  </si>
  <si>
    <t>Funding from the National Research Foundation towards this research is acknowledged.</t>
  </si>
  <si>
    <t>EMERALD GROUP PUBLISHING LTD</t>
  </si>
  <si>
    <t>BINGLEY</t>
  </si>
  <si>
    <t>HOWARD HOUSE, WAGON LANE, BINGLEY BD16 1WA, W YORKSHIRE, ENGLAND</t>
  </si>
  <si>
    <t>1726-0531</t>
  </si>
  <si>
    <t>J ENG DES TECHNOL</t>
  </si>
  <si>
    <t>J. Eng. Des. Technol.</t>
  </si>
  <si>
    <t>NOV 15</t>
  </si>
  <si>
    <t>10.1108/JEDT-02-2020-0057</t>
  </si>
  <si>
    <t>Engineering, Multidisciplinary</t>
  </si>
  <si>
    <t>Engineering</t>
  </si>
  <si>
    <t>WZ8BI</t>
  </si>
  <si>
    <t>WOS:000616658800001</t>
  </si>
  <si>
    <t>Baeza, M; Zúñiga, S; Peragallo, V; Barahona, S; Alcaino, J; Cifuentes, V</t>
  </si>
  <si>
    <t>Baeza, Marcelo; Zuniga, Sergio; Peragallo, Vicente; Barahona, Salvador; Alcaino, Jennifer; Cifuentes, Victor</t>
  </si>
  <si>
    <t>Identification of Stress-Related Genes and a Comparative Analysis of the Amino Acid Compositions of Translated Coding Sequences Based on Draft Genome Sequences of Antarctic Yeasts</t>
  </si>
  <si>
    <t>cold-adapted yeasts; Antarctic yeasts; draft genomes; cold adaptation; stress genes</t>
  </si>
  <si>
    <t>DEPENDENT RNA HELICASE; COLD ADAPTATION; WEB SERVER; PHYSICOCHEMICAL FEATURES; SACCHAROMYCES-CEREVISIAE; BACILLUS-SUBTILIS; INSIGHTS; TEMPERATURE; PROTEINS; ENZYMES</t>
  </si>
  <si>
    <t>Microorganisms inhabiting cold environments have evolved strategies to tolerate and thrive in those extreme conditions, mainly the low temperature that slow down reaction rates. Among described molecular and metabolic adaptations to enable functioning in the cold, there is the synthesis of cold-active proteins/enzymes. In bacterial cold-active proteins, reduced proline content and highly flexible and larger catalytic active sites than mesophylls counterparts have been described. However, beyond the low temperature, microorganisms' physiological requirements may differ according to their growth velocities, influencing their global protein compositions. This hypothesis was tested in this work using eight cold-adapted yeasts isolated from Antarctica, for which their growth parameters were measured and their draft genomes determined and bioinformatically analyzed. The optimal temperature for yeasts' growth ranged from 10 to 22 degrees C, and yeasts having similar or same optimal temperature for growth displayed significative different growth rates. The sizes of the draft genomes ranged from 10.7 (Tetracladium sp.) to 30.7 Mb (Leucosporidium creatinivorum), and the GC contents from 37 (Candida sake) to 60% (L. creatinivorum). Putative genes related to various kinds of stress were identified and were especially numerous for oxidative and cold stress responses. The putative proteins were classified according to predicted cellular function and subcellular localization. The amino acid composition was compared among yeasts considering their optimal temperature for growth and growth rates. In several groups of predicted proteins, correlations were observed between their contents of flexible amino acids and both the yeasts' optimal temperatures for growth and their growth rates. In general, the contents of flexible amino acids were higher in yeasts growing more rapidly as their optimal temperature for growth was lower. The contents of flexible amino acids became lower among yeasts with higher optimal temperatures for growth as their growth rates increased.</t>
  </si>
  <si>
    <t>[Baeza, Marcelo; Zuniga, Sergio; Peragallo, Vicente; Alcaino, Jennifer; Cifuentes, Victor] Univ Chile, Fac Ciencias, Dept Ciencias Ecol, Santiago, Chile; [Barahona, Salvador] Univ Chile, Ctr Biotecnol, Fac Ciencias, Santiago, Chile</t>
  </si>
  <si>
    <t>Baeza, M (corresponding author), Univ Chile, Fac Ciencias, Dept Ciencias Ecol, Santiago, Chile.</t>
  </si>
  <si>
    <t>mabeza@uchile.cl</t>
  </si>
  <si>
    <t>Alcaino, Jennifer/H-4576-2012</t>
  </si>
  <si>
    <t>Baeza, Marcelo/0000-0001-8853-395X</t>
  </si>
  <si>
    <t>Agencia Nacional de Investigacion y Desarrollo [Fondecyt 1180233]</t>
  </si>
  <si>
    <t>Agencia Nacional de Investigacion y Desarrollo</t>
  </si>
  <si>
    <t>This research was funded by Agencia Nacional de Investigacion y Desarrollo, grant number Fondecyt 1180233.</t>
  </si>
  <si>
    <t>10.3389/fmicb.2021.623171</t>
  </si>
  <si>
    <t>QJ1WR</t>
  </si>
  <si>
    <t>WOS:000619481800001</t>
  </si>
  <si>
    <t>Sigman, DM; Fripiat, F; Studer, AS; Kemeny, PC; Martínez-García, A; Hain, MP; Ai, XY; Wang, XC; Ren, HJ; Haug, GH</t>
  </si>
  <si>
    <t>Sigman, Daniel M.; Fripiat, Francois; Studer, Anja S.; Kemeny, Preston C.; Martinez-Garcia, Alfredo; Hain, Mathis P.; Ai, Xuyuan; Wang, Xingchen; Ren, Haojia; Haug, Gerald H.</t>
  </si>
  <si>
    <t>The Southern Ocean during the ice ages: A review of the Antarctic surface isolation hypothesis, with comparison to the North Pacific</t>
  </si>
  <si>
    <t>Paleoclimatology; Paleoceanography; Pleistocene; Ice ages; Stable isotopes; Nitrogen; Atmospheric CO2; Southern Ocean; North Pacific; Ocean circulation; Biological pump</t>
  </si>
  <si>
    <t>The Southern Ocean is widely recognized as a potential cause of the lower atmospheric concentration of CO2 during ice ages, but the mechanism is debated. Focusing on the Southern Ocean surface, we review biogeochemical paleoproxy data and carbon cycle concepts that together favor the view that both the Antarctic and Subantarctic Zones (AZ and SAZ) of the Southern Ocean played roles in lowering ice age CO2 levels. In the SAZ, the data indicate dust-driven iron fertilization of phytoplankton growth during peak ice age conditions. In the ice age AZ, the area-normalized exchange of water between the surface and subsurface appears to have been reduced, a state that we summarize as isolation of the AZ surface. Under most scenarios, this change would have stemmed the leak of biologically stored CO2 that occurs in the AZ today. SAZ iron fertilization during the last ice age fits with our understanding of ocean processes as gleaned from modern field studies and experiments; indeed, this hypothesis was proposed prior to evidentiary support. In contrast, AZ surface isolation is neither intuitive nor spontaneously generated in climate model simulations of the last ice age. In a more prospective component of this review, the suggested causes for AZ surface isolation are considered in light of the subarctic North Pacific (SNP), where the paleoproxies of productivity and nutrient consumption indicate similar upper ocean biogeochemical changes over glacial cycles, although with different timings at deglaciation. Among the proposed initiators of glacial AZ surface isolation, a single mechanism is sought that can explain the changes in both the AZ and the SNP. The analysis favors a weakening and/or equatorward shift in the upwelling associated with the westerly winds, occurring in both hemispheres. This view is controversial, especially for the SNP, where there is evidence of enhanced upper water column ventilation during the last ice age. We offer an interpretation that may explain key aspects of the AZ and SNP observations. In both regions, with a weakening in westerly wind-driven upwelling, nutrients may have been mined out of the upper water column, possibly accompanied by a poleward slumping of isopycnals. In the AZ, this would have encouraged declines in both the nutrient content and the formation rate of new deep water, each of which would have contributed to the lowering of atmospheric CO2. Through several effects, the reduction in AZ upwelling may have invigorated the upwelling of deep water into the low latitude pycnocline, roughly maintaining the pycnocline's supply of water and nutrients so as to (1) support the high productivity of the glacial SAZ and (2) balance the removal of water from the pycnocline by the formation of Glacial North Atlantic Intermediate Water. The proposed return route from the deep ocean to the surface resembles that of Broecker's (1991) global ocean conveyor, but applying to the ice age as opposed to the modern ocean. (C) 2020 Elsevier Ltd. All rights reserved.</t>
  </si>
  <si>
    <t>[Sigman, Daniel M.; Ai, Xuyuan] Princeton Univ, Dept Geosci, Princeton, NJ 08544 USA; [Fripiat, Francois; Martinez-Garcia, Alfredo; Ai, Xuyuan; Haug, Gerald H.] Max Planck Inst Chem, Mainz, Germany; [Fripiat, Francois] Univ Libre Bruxelles, Dept Geosci Environm &amp; Soc, Brussels, Belgium; [Studer, Anja S.] Univ Basel, Dept Environm Sci, Basel, Switzerland; [Kemeny, Preston C.; Wang, Xingchen] CALTECH, Div Geol &amp; Planetary Sci, Pasadena, CA 91125 USA; [Hain, Mathis P.] Univ Calif Santa Cruz, Earth &amp; Planetary Sci Dept, Santa Cruz, CA 95064 USA; [Wang, Xingchen] Boston Coll, Dept Earth &amp; Environm Sci, Chestnut Hill, MA 02167 USA; [Ren, Haojia] Natl Taiwan Univ, Dept Geosci, Taipei, Taiwan; [Haug, Gerald H.] Swiss Fed Inst Technol, Zurich, Switzerland</t>
  </si>
  <si>
    <t>Princeton University; Max Planck Society; Universite Libre de Bruxelles; University of Basel; California Institute of Technology; University of California System; University of California Santa Cruz; Boston College; National Taiwan University; Swiss Federal Institutes of Technology Domain; ETH Zurich</t>
  </si>
  <si>
    <t>Sigman, DM (corresponding author), Princeton Univ, Dept Geosci, Princeton, NJ 08544 USA.</t>
  </si>
  <si>
    <t>sigman@princeton.edu</t>
  </si>
  <si>
    <t>Sigman, Daniel M./A-2649-2008; Fripiat, François/ABB-8918-2021; Wang, Xingchen Tony/C-7213-2012; Martinez-Garcia, Alfredo/A-6244-2010; Sigman, Daniel M./IYJ-2613-2023; Hain, Mathis P/I-5252-2012; Studer, Anja S/JVZ-4104-2024</t>
  </si>
  <si>
    <t>Sigman, Daniel M./0000-0002-7923-1973; Martinez-Garcia, Alfredo/0000-0002-7206-5079; Hain, Mathis P/0000-0002-8478-1857; Studer, Anja S/0000-0001-7354-8497; Wang, Xingchen (Tony)/0000-0001-5316-789X; Ai, Xuyuan/0000-0003-1353-6114; Fripiat, Francois/0000-0002-2591-6301</t>
  </si>
  <si>
    <t>National Science Foundation [PLR-1401489]; Max Planck Society; ExxonMobil through the Andlinger Center for Energy and the Environment at Princeton University; Grand Challenges Program of Princeton University; NERC Independent Research Fellowship [NE/K00901X/1]; Princeton Environmental Institute's Undergraduate Research Fund</t>
  </si>
  <si>
    <t>National Science Foundation(National Science Foundation (NSF)); Max Planck Society(Max Planck Society); ExxonMobil through the Andlinger Center for Energy and the Environment at Princeton University(Exxon Mobil Corporation); Grand Challenges Program of Princeton University(Princeton University); NERC Independent Research Fellowship(UK Research &amp; Innovation (UKRI)Natural Environment Research Council (NERC)); Princeton Environmental Institute's Undergraduate Research Fund</t>
  </si>
  <si>
    <t>The research was supported by the National Science Foundation through grant PLR-1401489 (D. M. S.), by the Max Planck Society (G. H. H.), by ExxonMobil through the Andlinger Center for Energy and the Environment at Princeton University (D. M. S.), and by the Grand Challenges Program of Princeton University (D. M. S.). M. P. H. acknowledges the NERC Independent Research Fellowship NE/K00901X/1. P. C. K. was supported by the Princeton Environmental Institute's Undergraduate Research Fund for senior thesis research. We thank J.R. Toggweiler and J.F. Adkins for discussions. The manuscript was improved substantially by reviews from H.C. Bostock and J.W.B. Rae.</t>
  </si>
  <si>
    <t>10.1016/j.quascirev.2020.106732</t>
  </si>
  <si>
    <t>QF1FC</t>
  </si>
  <si>
    <t>WOS:000616643800001</t>
  </si>
  <si>
    <t>Holland, MM; Everett, JD; Cox, MJ; Doblin, MA; Suthers, IM</t>
  </si>
  <si>
    <t>Holland, Matthew M.; Everett, Jason D.; Cox, Martin J.; Doblin, Martina A.; Suthers, Iain M.</t>
  </si>
  <si>
    <t>Pelagic forage fish distribution in a dynamic shelf ecosystem - Thermal demands and zooplankton prey distribution</t>
  </si>
  <si>
    <t>Predator avoidance; East Australian current; Fisheries acoustics; Forage fish; Thermal tolerance; Australia; New south wales; Montague island; 36.0 degrees S to 36.5 degrees S; 150 degrees E to 150.4 degrees E</t>
  </si>
  <si>
    <t>MACKEREL SCOMBER-AUSTRALASICUS; SEA-SURFACE TEMPERATURE; PREDATION RISK; COMMUNITY; FISHERIES; BOUNDARY; ISLAND; CHLOROPHYLL; LATITUDE; BIOMASS</t>
  </si>
  <si>
    <t>The fine-scale distribution of pelagic forage fish is shaped by competing factors as fish optimise foraging while avoiding predation. We investigated the distribution of forage fish in surface waters of a dynamic coastal environment during two spring seasons to examine their distribution in relation to environmental variables. Using a multi-frequency echosounder and a towed Laser Optical Plankton Counter (LOPC), we investigated the effects of bathymetry, temperature, chlorophyll a concentration and zooplankton biomass on forage fish density. Relationships between fish density and these variables were consistent between surveys, despite large differences in total acoustic energy attributed to fish. Fish density showed a strong positive relationship with bathymetry and water temperature, and no relationship with surface zooplankton biomass density or chlorophyll a. This mismatch between fish and zooplankton may be caused by differences in the way fish perceive the distribution of prey versus temperature and predators in shallow coastal waters. Seeking out warmer temperatures along the shelf break may also improve fish physiological performance when cooler spring temperatures are below their thermal optimum. Understanding the distribution of coastal forage fish may contribute to interpreting nearshore movements of their predators.</t>
  </si>
  <si>
    <t>[Holland, Matthew M.; Everett, Jason D.; Suthers, Iain M.] Univ New South Wales, Sch Biol Earth &amp; Environm Sci, Evolut &amp; Ecol Res Ctr, Kensington, NSW 2052, Australia; [Holland, Matthew M.; Everett, Jason D.; Doblin, Martina A.; Suthers, Iain M.] Sydney Inst Marine Sci, Mosman, NSW 2088, Australia; [Everett, Jason D.] Univ Queensland, Ctr Applicat Nat Resource Math, St Lucia, Qld 4067, Australia; [Cox, Martin J.] Australian Antarctic Div, Channel Highway, Kingston, Tas 7050, Australia; [Doblin, Martina A.] Univ Technol Sydney, Climate Change Cluster, Ultimo, NSW 2007, Australia</t>
  </si>
  <si>
    <t>University of New South Wales Sydney; Sydney Institute of Marine Science; University of Queensland; Australian Antarctic Division; University of Technology Sydney</t>
  </si>
  <si>
    <t>Holland, MM (corresponding author), UNSW, Level 4,Biol Sci South E26, Kensington, NSW 2052, Australia.</t>
  </si>
  <si>
    <t>; Everett, Jason/C-4557-2008; Suthers, Iain/C-4559-2008; Doblin, Martina/E-8719-2013</t>
  </si>
  <si>
    <t>Holland, Matthew/0000-0002-8308-4216; Everett, Jason/0000-0002-6681-8054; Suthers, Iain/0000-0002-9340-7461; Doblin, Martina/0000-0001-8750-3433</t>
  </si>
  <si>
    <t>Australian Government Research Training Program Scholarship; ARC [LP120100592, DP150102656, DP190102293]; Research Training Program PhD scholarship; Australian Government</t>
  </si>
  <si>
    <t>Australian Government Research Training Program Scholarship(Australian GovernmentDepartment of Industry, Innovation and Science); ARC(Australian Research Council); Research Training Program PhD scholarship; Australian Government(Australian Government)</t>
  </si>
  <si>
    <t>Many thanks to the scientific staff and crew of the RV Investigator who safely and successfully navigated us around Montague Island, to Sven Gastauer (Australian Antarctic Division) for his catch data and expertise in operating the acoustic instruments in 2017, and to Leonardo Laiolo (CSIRO) and David Suggett (University of Technology Sydney) for providing their Chl-a measurements, and to Sally Weekes and Selvy Coundjidapadam from the Australian Fisheries Management Authority (AFMA) for providing the catch data. This work was funded by an Australian Government Research Training Program Scholarship. IMS and JDE were supported by the ARC (LP120100592, DP150102656 and DP190102293) and MMH was supported by a Research Training Program PhD scholarship. Data was sourced from the Integrated Marine Observing System (IMOS) - IMOS is a national collaborative research infrastructure, supported by the Australian Government.</t>
  </si>
  <si>
    <t>10.1016/j.ecss.2020.107074</t>
  </si>
  <si>
    <t>PU4WY</t>
  </si>
  <si>
    <t>WOS:000609307900003</t>
  </si>
  <si>
    <t>da Rosa, KK; de Oliveira, MAG; Petsch, C; Auger, JD; Vieira, R; Simoes, JC</t>
  </si>
  <si>
    <t>Rosa, Katia Kellem da; Oliveira, Manoela Araujo Goncalves de; Petsch, Carina; Auger, Jeffrey D.; Vieira, Rosemary; Simoes, Jefferson Cardia</t>
  </si>
  <si>
    <t>Expansion of glacial lakes on Nelson and King George Islands, Maritime Antarctica, from 1986 to 2020</t>
  </si>
  <si>
    <t>GEOCARTO INTERNATIONAL</t>
  </si>
  <si>
    <t>Glacier retreat; proglacial environments; paraglacial system; climate variability</t>
  </si>
  <si>
    <t>This study aims to quantify the areal variation of glacial lakes in the coastal ice-free areas of King George Island (KGI) and Nelson Island (NI) from 1986 to 2020. Glacial lake and glacial area fluctuations are estimated using spaceborne remote sensing data and annual mean near-surface air temperature data from station observations and ERA-Interim reanalysis were analyzed. The area of glacial lakes expanded 732%, from 0.18 km(2) in the 1980s to 1.39 km(2) in 2020. For the 1988-2000/2003 and 2000/2003-2020 periods, the increase in NI lake area is estimated to be 190% and 86%, respectively. Meanwhile, on KGI, the increase is estimated to be 316% for the 1988-2000/2003 period and 103% for the 2000/2003-2020 period. The majority of lakes and higher lake expansions occurred at the glacier fronts and can be attributed to the melting of glacier fronts and the subsequent glacial retreat in recent decades.</t>
  </si>
  <si>
    <t>[Rosa, Katia Kellem da; Simoes, Jefferson Cardia] Univ Fed Rio Grande Sul UFRGS, Ctr Polar &amp; Climat, Geog Dept, Porto Alegre, RS, Brazil; [Oliveira, Manoela Araujo Goncalves de; Auger, Jeffrey D.] Univ Fed Rio Grande Sul UFRGS, Ctr Polar &amp; Climat, Porto Alegre, RS, Brazil; [Petsch, Carina] Univ Fed Santa Maria UFSM, Dept Geociencias, Santa Maria, RS, Brazil; [Vieira, Rosemary] Univ Fed Fluminense UFF, Inst Geociencias, Dept Geog, Niteroi, RJ, Brazil; [Simoes, Jefferson Cardia] Univ Maine, Climate Change Inst, Orono, ME USA</t>
  </si>
  <si>
    <t>Universidade Federal do Rio Grande do Sul; Universidade Federal do Rio Grande do Sul; Universidade Federal de Santa Maria (UFSM); Universidade Federal Fluminense; University of Maine System; University of Maine Orono</t>
  </si>
  <si>
    <t>da Rosa, KK (corresponding author), Univ Fed Rio Grande Sul UFRGS, Ctr Polar &amp; Climat, Geog Dept, Porto Alegre, RS, Brazil.</t>
  </si>
  <si>
    <t>katia.rosa@ufrgs.br</t>
  </si>
  <si>
    <t>Simoes, Jefferson Cardia/D-7232-2013; da Rosa, Kátia Kellem/AAO-8367-2020</t>
  </si>
  <si>
    <t>Simoes, Jefferson Cardia/0000-0001-5555-3401; da Rosa, Kátia Kellem/0000-0003-0977-9658; Vieira, Rosemary/0000-0003-0312-2890; Petsch, Carina/0000-0002-1079-0080</t>
  </si>
  <si>
    <t>Foundation for Research Support of the State of Rio Grande do Sul (FAPERGS); CAPES; CNPq; MCTI/CNPq/FNDCT PROANTAR [407598/2013-8]</t>
  </si>
  <si>
    <t>Foundation for Research Support of the State of Rio Grande do Sul (FAPERGS)(Fundacao de Amparo a Ciencia e Tecnologia do Estado do Rio Grande do Sul (FAPERGS)); CAPES(Coordenacao de Aperfeicoamento de Pessoal de Nivel Superior (CAPES)); CNPq(Conselho Nacional de Desenvolvimento Cientifico e Tecnologico (CNPQ)); MCTI/CNPq/FNDCT PROANTAR</t>
  </si>
  <si>
    <t>This work is a contribution of the Antarctic Science reviewers, Brazilian Antarctic Program (PROANTAR), and is supported by research grants from the Foundation for Research Support of the State of Rio Grande do Sul (FAPERGS), CAPES, CNPq, and MCTI/CNPq/FNDCT PROANTAR (407598/2013-8).</t>
  </si>
  <si>
    <t>1010-6049</t>
  </si>
  <si>
    <t>1752-0762</t>
  </si>
  <si>
    <t>GEOCARTO INT</t>
  </si>
  <si>
    <t>Geocarto Int.</t>
  </si>
  <si>
    <t>AUG 22</t>
  </si>
  <si>
    <t>10.1080/10106049.2021.1886342</t>
  </si>
  <si>
    <t>3W3PT</t>
  </si>
  <si>
    <t>WOS:000619673200001</t>
  </si>
  <si>
    <t>Lima, ARA; Ferreira, GVB; Barrows, APW; Christiansen, KS; Treinish, G; Toshack, MC</t>
  </si>
  <si>
    <t>Lima, Andre R. A.; Ferreira, Guilherme V. B.; Barrows, Abigail P. W.; Christiansen, Katie S.; Treinish, Gregg; Toshack, Michelle C.</t>
  </si>
  <si>
    <t>Global patterns for the spatial distribution of floating microfibers: Arctic Ocean as a potential accumulation zone</t>
  </si>
  <si>
    <t>Synthetic fibers; Hazardous waste; Global microplastic distribution; Generalized additive models; Spatial modelling</t>
  </si>
  <si>
    <t>MICROPLASTIC POLLUTION; SURFACE WATERS; PLASTIC DEBRIS; SEA; CONTAMINATION; PACIFIC; SEAWATER; FIBERS; CHINA</t>
  </si>
  <si>
    <t>Despite their representativeness, most studies to date have underestimated the amount of microfibers (MFs) in the marine environment. Therefore, further research is still necessary to identify key processes governing MF distribution. Here, the interaction among surface water temperature, salinity, currents and winds explained the patterns of MF accumulation. The estimated density of floating MFs is similar to 5900 +/- 6800 items m3 in the global ocean; and three patterns of accumulation were predicted by the proposed model: (i) intermediate densities in ocean gyres, Seas of Japan and of Okhotsk, Mediterranean and around the Antarctic Ocean; (ii) high densities in the Arctic Ocean; and (iii) point zones of highest densities inside the Arctic Seas. Coastal areas and upwelling systems have low accumulation potential. At the same time, zones of divergences between westerlies and trade winds, located above the tropical oceanic gyres, are predicted to accumulate MFs. In addition, it is likely that the warm branch of the thermohaline circulation has an important role in the transport of MFs towards the Arctic Ocean, emphasizing that surface water masses are important predictors. This study highlights that the Arctic Ocean is a dead end for floating MFs.</t>
  </si>
  <si>
    <t>[Lima, Andre R. A.] ISPA Univ Inst, Dept Biosci, Marine &amp; Environm Sci Ctr, P-1149041 Lisbon, Portugal; [Ferreira, Guilherme V. B.] Univ Fed Rural Pernambuco, Dept Fishing &amp; Aquaculture, Recife, PE, Brazil; [Barrows, Abigail P. W.] Coll Atlantic, Dept Biol, 105 Eden St, Bar Harbor, ME 04609 USA; [Christiansen, Katie S.; Treinish, Gregg; Toshack, Michelle C.] Adventure Scientists, POB 1834, Bozeman, MT 59771 USA</t>
  </si>
  <si>
    <t>Instituto Superior Psicologia Aplicada (ISPA); Universidade Federal Rural de Pernambuco (UFRPE)</t>
  </si>
  <si>
    <t>Lima, ARA (corresponding author), ISPA Univ Inst, Dept Biosci, Marine &amp; Environm Sci Ctr, P-1149041 Lisbon, Portugal.</t>
  </si>
  <si>
    <t>andre.ricardoaraujolima@gmail.com</t>
  </si>
  <si>
    <t>Ferreira, Guilherme/HNC-4634-2023; Lima, André R A/C-4931-2019; Ferreira, Guilherme V. B./E-5984-2019</t>
  </si>
  <si>
    <t>Lima, André R A/0000-0002-9698-8302; Ferreira, Guilherme V. B./0000-0002-9153-7617</t>
  </si>
  <si>
    <t>European Regional Development Fund (FEDER) through the Lisbon's Regional Operational Programme [LISBOA-01-0145-FEDER-032209]; Portuguese Foundation for Science &amp; Technology (FCT) [PTDC/BIA-BMA/32209/2017]; FCT [UIDB/04292/2020]; Foundation for the Support of Science and Technology of the State of Pernambuco (FACEPE) [BFP0049-5.06/20]; Fundação para a Ciência e a Tecnologia [PTDC/BIA-BMA/32209/2017] Funding Source: FCT</t>
  </si>
  <si>
    <t>European Regional Development Fund (FEDER) through the Lisbon's Regional Operational Programme(Marie Curie ActionsEuropean Union (EU)); Portuguese Foundation for Science &amp; Technology (FCT)(Fundacao para a Ciencia e a Tecnologia (FCT)); FCT(Fundacao para a Ciencia e a Tecnologia (FCT)); Foundation for the Support of Science and Technology of the State of Pernambuco (FACEPE)(Fundacao de Amparo a Ciencia e Tecnologia do Estado de Pernambuco (FACEPE)); Fundação para a Ciência e a Tecnologia(Fundacao para a Ciencia e a Tecnologia (FCT))</t>
  </si>
  <si>
    <t>AL acknowledges the European Regional Development Fund (FEDER) through the Lisbon's Regional Operational Programme (LISBOA-01-0145-FEDER-032209) and the Portuguese Foundation for Science &amp; Technology (FCT) through the project PTDC/BIA-BMA/32209/2017 (SARDITEMP). AL also thanks FCT through the project UIDB/04292/2020 granted to MARE (Marine and Environmental Sciences Centre) at the ISPA -University Institute (Department of Biosciences). GF acknowledges the Foundation for the Support of Science and Technology of the State of Pernambuco (FACEPE) through scholarship (BFP0049-5.06/20). AdventuYre Scientists would like to thank the hundreds of project volunteers for collecting the data that made this work possible.</t>
  </si>
  <si>
    <t>10.1016/j.jhazmat.2020.123796</t>
  </si>
  <si>
    <t>OZ9VO</t>
  </si>
  <si>
    <t>WOS:000595266700002</t>
  </si>
  <si>
    <t>Gilmour, ME; Lavers, JL</t>
  </si>
  <si>
    <t>Gilmour, Morgan E.; Lavers, Jennifer L.</t>
  </si>
  <si>
    <t>Latex balloons do not degrade uniformly in freshwater, marine and composting environments</t>
  </si>
  <si>
    <t>Anthropogenic debris; ATR-FTIR; Environmental fate; Latex balloon; Polymer degradation</t>
  </si>
  <si>
    <t>Latex balloons are a poorly-studied aspect of anthropogenic pollution that affects wildlife survival, aesthetic value of waterways, and may adsorb and leach chemicals. Pure latex needs to be vulcanised with sulphur and requires many additional compounds to manufacture high quality balloons. Yet, balloons are often marketed as biodegradable, which is confusing to consumers. Due to the persistence of latex balloons in the environment and the lethal, documented threat to wildlife, degradation behaviours of latex balloons were quantified in freshwater, saltwater and industrial compost. Using the metrics mass change, ultimate tensile strength (UTS) and superficial composition via attenuated total reflectance Fourier transform infrared spectroscopy (ATR-FTIR), latex balloon degradation was documented for 16 weeks. Overall, latex balloons retained their original shape and size. Composted balloons lost 1-2% mass, but some balloons in freshwater gained mass, likely due to osmotic processes. Balloons' UTS decreased from 30.7 +/- 10.8-9.5 +/- 4.1 Newtons in water, but remained constant (34.3 +/- 13.4 N) in compost. ATR-FTIR spectra illustrated compositional and temporal differences between treatments. Taken together, latex balloons did not meaningfully degrade in freshwater, saltwater, or compost indicating that when released into the environment, they will continue to contribute to anthropogenic litter and pose a threat to wildlife that ingest them.</t>
  </si>
  <si>
    <t>[Gilmour, Morgan E.; Lavers, Jennifer L.] Univ Tasmania, Inst Marine &amp; Antarctic Studies, 20 Castray Esplanade, Battery Point, Tas 7004, Australia</t>
  </si>
  <si>
    <t>Gilmour, ME (corresponding author), Univ Tasmania, Inst Marine &amp; Antarctic Studies, 20 Castray Esplanade, Battery Point, Tas 7004, Australia.</t>
  </si>
  <si>
    <t>Hobart City Council Waste Management grant (Australia); Zoos Victoria (Australia); Pay Me Group (Australia); Detached Cultural Organization (Australia); US-to-Australia Graduate Education Scholarship from the American Australian Association (USA)</t>
  </si>
  <si>
    <t>Adrift Lab acknowledges the muwinina and palawa people, the traditional owners of the land where this research took place. Thank you to J. Benjamin and D. Foo for photography and logistical support. Thank you to M. Braunsberger, and Adrift Lab team members M. Grant, C. Serra Goncalves, P. Puskic, and L. Stewart for help with balloon pre-treatment inflation and thank you to S. Bury for hospitality. Thank you to D. Haines at Agilent Technologies for use and advice regarding the ATR-FTIR instrument. Thank you to M. Adams for access and logistical support at the University of Tasmania Institute for Marine and Antarctic Studies Aquaculture Facility and to M. Leef at IMAS for laboratory logistical support. Thank you to J. Holmes and D. Suter at McRobies Waste Management Centre for providing composting space and guidance. Thank you to C. Gerard, D. Holloway and A. Bylett at the University of Tasmania Engineering Department for support with tensile strength measurements. Thank you to A. Fleishman for assistance with R-code. Special thanks to B. Sanders and Zoos Victoria for supporting this project, in part through their Bubbles Not Balloons program. Funding was provided by a Hobart City Council Waste Management grant (Australia), Zoos Victoria (Australia), the Pay Me Group (especially C. Lindgren; Australia), Detached Cultural Organization (Australia), and a US-to-Australia Graduate Education Scholarship from the American Australian Association (USA) to MEG. Thank you to three anonymous reviewers who improved the manuscript.</t>
  </si>
  <si>
    <t>10.1016/j.jhazmat.2020.123629</t>
  </si>
  <si>
    <t>PA8DW</t>
  </si>
  <si>
    <t>WOS:000595861100002</t>
  </si>
  <si>
    <t>Smith, M; Withnall, R; Anastasova, S; Gil-Rosa, B; Blackadder-Coward, J; Taylor, N</t>
  </si>
  <si>
    <t>Smith, Michael; Withnall, R.; Anastasova, S.; Gil-Rosa, B.; Blackadder-Coward, J.; Taylor, N.</t>
  </si>
  <si>
    <t>Developing a multimodal biosensor for remote physiological monitoring</t>
  </si>
  <si>
    <t>BMJ MILITARY HEALTH</t>
  </si>
  <si>
    <t>physiology; biotechnology &amp; bioinformatics; telemedicine; primary care</t>
  </si>
  <si>
    <t>PATCH</t>
  </si>
  <si>
    <t>Introduction Several UK military expeditions have successfully used physiological sensors to monitor participant's physiological responses to challenging environmental conditions. This article describes the development and trial of a multimodal wearable biosensor that was used during the first all-female unassisted ski crossing of the Antarctic land mass. The project successfully transmitted remote real-time physiological data back to the UK. The ergonomic and technical lessons identified have informed recommendations for future wearable devices. Method The biosensor devices were designed to be continuously worn against the skin and capture: HR, ECG, body surface temperature, bioimpedance, perspiration pH, sodium, lactate and glucose. The data were transmitted from the devices to an android smartphone using near-field technology. A custom-built App running on an android smartphone managed the secure transmission of the data to a UK research centre, using a commercially available satellite transceiver. Results Real-time physiological data, captured by the multimodal device, was successfully transmitted back to a UK research control centre on 6 occasions. Postexpedition feedback from the participants has contributed to the ergonomic and technical refinement of the next generation of devices. Conclusion The future success of wearable technologies lies in establishing clinical confidence in the quality of the measured data and the accurate interpretation of those data in the context of the individual, the environment and activity being undertaken. In the near future, wearable physiological monitoring could improve point-of-care diagnostic accuracy and inform critical medical and command decisions.</t>
  </si>
  <si>
    <t>[Smith, Michael; Blackadder-Coward, J.; Taylor, N.] Acad Dept Mil Gen Practice, RCI, Birmingham, W Midlands, England; [Withnall, R.] Def Postgrad Med Deanery, Lichfield, England; [Anastasova, S.; Gil-Rosa, B.] Imperial Coll London, Hamlyn Ctr, London, England</t>
  </si>
  <si>
    <t>Imperial College London</t>
  </si>
  <si>
    <t>Smith, M (corresponding author), RCDM, RCI, Birmingham, W Midlands, England.</t>
  </si>
  <si>
    <t>mikesmith@doctors.org.uk</t>
  </si>
  <si>
    <t>Taylor, Natalie/ITT-3942-2023</t>
  </si>
  <si>
    <t>Taylor, Natalie/0000-0001-5924-7938</t>
  </si>
  <si>
    <t>EPSRC [EP/N027132/1] Funding Source: UKRI</t>
  </si>
  <si>
    <t>EPSRC(UK Research &amp; Innovation (UKRI)Engineering &amp; Physical Sciences Research Council (EPSRC))</t>
  </si>
  <si>
    <t>BMJ PUBLISHING GROUP</t>
  </si>
  <si>
    <t>BRITISH MED ASSOC HOUSE, TAVISTOCK SQUARE, LONDON WC1H 9JR, ENGLAND</t>
  </si>
  <si>
    <t>2633-3767</t>
  </si>
  <si>
    <t>2633-3775</t>
  </si>
  <si>
    <t>BMJ Military Health</t>
  </si>
  <si>
    <t>10.1136/bmjmilitary-2020-001629</t>
  </si>
  <si>
    <t>Medicine, General &amp; Internal</t>
  </si>
  <si>
    <t>General &amp; Internal Medicine</t>
  </si>
  <si>
    <t>G4IA4</t>
  </si>
  <si>
    <t>WOS:000726814000001</t>
  </si>
  <si>
    <t>Osinska, M; Bialik, RJ; Wójcik-Dlugoborska, KA</t>
  </si>
  <si>
    <t>Osinska, Maria; Bialik, Robert Jozef; Wojcik-Dlugoborska, Kornelia Anna</t>
  </si>
  <si>
    <t>Interrelation of quality parameters of surface waters in five tidewater glacier coves of King George Island, Antarctica</t>
  </si>
  <si>
    <t>Glacial meltwater; Antarctic coves; Water quality parameters; Multiparameter measurements; King George Island</t>
  </si>
  <si>
    <t>ADMIRALTY BAY; MELTING ICE; MELTWATER; AMUNDSEN; IMPACT; FJORD; STRATIFICATION; VARIABILITY; ADJACENT; PLUMES</t>
  </si>
  <si>
    <t>For further understanding of glacial meltwater's (GMW) impacts on marine environments, five coves adjacent to diverse glaciers of King George Island, Antarctica were investigated through surface measurements of water quality parameters. Measurements were conducted 49 times during January, February and March of 2019, with sampling performed in unprecedently close proximity to glacial fronts (&lt;50 m distance from glacier termini in each cove) to create a unique dataset. Four out of five of the coves were inspected through vertical profiling to show water-column stratification. The findings showed synchronized GMW influence causing decreases of salinity, temperature, and dissolved organic matter contents, combined with increased pH, turbidity, and dissolved oxygen values. GMW presence was most correlated with dissolved organic matter content (93% of the cases &gt;0.5 correlation noted with either turbidity or salinity) and least correlated with water temperature (from 22% to 77% of the cases with &gt;0.5 correlation, dependent on the cove). In contrast to previous studies, the pH values of seawater infused with GMW were higher than those of the surrounding water. GMW was shown to stay in the boundary surface layer of the water column. Phytoplankton pigment quantities depending on the localization, time and distance from the glacial termini presented varied response to GMW (positive, negative or ambivalent with hotspots of simultaneous high GMW and phytoplankton quantities). The positive response to glacial water input was more often noted in measurements of phycoerythrin (from 0 to 80% of the cases depending on the cove) rather than chlorophyll A (from 0 to 25%) and maximum quantities of both biological pigments were found at a depth of approximately 5-10 m. (C) 2021 Elsevier B.V. All rights reserved.</t>
  </si>
  <si>
    <t>[Osinska, Maria; Bialik, Robert Jozef; Wojcik-Dlugoborska, Kornelia Anna] Polish Acad Sci, Inst Biochem &amp; Biophys, Pawinskiego 5a, PL-02106 Warsaw, Poland; [Osinska, Maria] Univ Gdansk, Inst Oceanog, Pilsudskiego 46, PL-81378 Gdynia, Poland</t>
  </si>
  <si>
    <t>Polish Academy of Sciences; Institute of Biochemistry &amp; Biophysics - Polish Academy of Sciences; Fahrenheit Universities; University of Gdansk</t>
  </si>
  <si>
    <t>Bialik, RJ (corresponding author), Polish Acad Sci, Inst Biochem &amp; Biophys, Pawinskiego 5a, PL-02106 Warsaw, Poland.</t>
  </si>
  <si>
    <t>rbialik@ibb.waw.pl</t>
  </si>
  <si>
    <t>Osinska, Maria/JDC-5266-2023; Wójcik-Długoborska, Kornelia/JGE-0708-2023</t>
  </si>
  <si>
    <t>Osinska, Maria/0000-0003-0882-3573; Wojcik-Dlugoborska, Kornelia/0000-0002-1868-424X; Bialik, Robert/0000-0002-0254-6352</t>
  </si>
  <si>
    <t>National Science Centre, Poland [UMO-2017/25/B/ST10/02092]</t>
  </si>
  <si>
    <t>This work was supported by the National Science Centre, Poland, Grant No. UMO-2017/25/B/ST10/02092 `Quantitative assessment of sediment transport from glaciers of South Shetland Islands on the basis of selected remote sensing methods'. We appreciated the support provided by Arctowski Polish Antarctic Station staff. We are particularly grateful to Bartosz Matuszczak, Przemyslaw Kapuscinski, Maciej Chelchowski and Marek Figielski for their help in collecting data under often very difficult weather conditions.</t>
  </si>
  <si>
    <t>10.1016/j.scitotenv.2020.144780</t>
  </si>
  <si>
    <t>WOS:000627895900024</t>
  </si>
  <si>
    <t>Zhang, XR; Zhang, F; Mi, Y; Liu, YD; Zheng, KY; Zhou, Y; Jiang, T; Wang, MW; Jiang, Y; Guo, C; Shao, HB; He, H; He, JF; Liang, YT; Wang, M; McMinn, A</t>
  </si>
  <si>
    <t>Zhang, Xinran; Zhang, Fang; Mi, Ye; Liu, Yundan; Zheng, Kaiyang; Zhou, Yao; Jiang, Tong; Wang, Meiwen; Jiang, Yong; Guo, Cui; Shao, Hongbing; He, Hui; He, Jianfeng; Liang, Yantao; Wang, Min; McMinn, Andrew</t>
  </si>
  <si>
    <t>Characterization and genome analysis of phage AL infecting Pseudoalteromonas marina</t>
  </si>
  <si>
    <t>VIRUS RESEARCH</t>
  </si>
  <si>
    <t>Pseudoalteromonas phage; Siphovirus; Complete genome; Phylogenetic analysis</t>
  </si>
  <si>
    <t>YELLOW SEA; TRANSLATIONAL FRAMESHIFT; BACTERIOPHAGE-LAMBDA; SEQUENCE; BACTERIAL; PROTEIN; GENES; DNA; EVOLUTION; PURIFICATION</t>
  </si>
  <si>
    <t>Although Pseudoalteromonas is an abundant, ubiquitous, marine algae-associated bacterial genus, there is still little information on their phages. In the present study, a marine phage AL, infecting Pseudoalteromonas marina, was isolated from the coastal waters off Qingdao. The AL phage is a siphovirus with an icosahedral head of 53 ? 1 nm and a non-contractile tail, length of 99 ? 1 nm. A one-step growth curve showed that the latent period was approximately 70 min, the rise period was 50 min, and the burst size was 227 pfu/cell. The genome sequence of this phage is a 33,582 bp double-stranded DNA molecule with a GC content of 40.1 %, encoding 52 open reading frames (ORFs). The order of the functional genes, especially those related to the structure module, is highly conserved and basically follows the common pattern used by siphovirus. The stable order has been formed during the long-term evolution of phages in the siphovirus group, which has helped the phages to maintain their normal morphology and function. Phylogenetic trees based on the major capsid protein (mcp) and genome-wide sequence have shown that the AL phage is closely related to four Pseudoalteromonas phages, including PHS21, PHS3, SL25 and Pq0. Further analysis using all-to-all BLASTP also confirmed that this phage shared high sequence homology with the same four Pseudoalteromonas phages, with amino acid sequence identities ranging from 44 % to 71 %. In particular, their similarity in virion structure module may imply that these phages share common assembly mechanism characteristics and infection pathways. Pseudoalteromonas phage AL not only provides basic information for the further study of the evolution of Pseudoalteromonas phages and interactions between marine phage and host but also helps to explain the unknown viral sequences in the metagenomic databases.</t>
  </si>
  <si>
    <t>[Zhang, Xinran; Liu, Yundan; Zheng, Kaiyang; Zhou, Yao; Jiang, Tong; Wang, Meiwen; Jiang, Yong; Guo, Cui; Shao, Hongbing; He, Hui; Liang, Yantao; Wang, Min; McMinn, Andrew] Ocean Univ China, Coll Marine Life Sci, 5 Yushan Rd, Qingdao 266071, Peoples R China; [Zhang, Xinran; Liu, Yundan; Zheng, Kaiyang; Zhou, Yao; Jiang, Tong; Wang, Meiwen; Jiang, Yong; Guo, Cui; Shao, Hongbing; He, Hui; Liang, Yantao; Wang, Min; McMinn, Andrew] Ocean Univ China, Inst Evolut &amp; Marine Biodivers, Qingdao, Peoples R China; [Zhang, Fang; He, Jianfeng] Polar Res Inst China, Key Lab Polar Sci MNR, Shanghai 200136, Peoples R China; [Mi, Ye] Qingdao Inst Prevent Med, Qingdao City Ctr Dis Control &amp; Prevent, Qingdao 266033, Shandong, Peoples R China; [McMinn, Andrew] Univ Tasmania, Inst Marine &amp; Antarctic Studies, Hobart, Tas, Australia</t>
  </si>
  <si>
    <t>Ocean University of China; Ocean University of China; Polar Research Institute of China; University of Tasmania</t>
  </si>
  <si>
    <t>Liang, YT; Wang, M (corresponding author), Ocean Univ China, Coll Marine Life Sci, 5 Yushan Rd, Qingdao 266071, Peoples R China.</t>
  </si>
  <si>
    <t>liangyantao@ouc.edu.cn; mingwang@ouc.edu.cn</t>
  </si>
  <si>
    <t>Jiang, Yong/AGK-3016-2022; Wang, Min/AFR-9645-2022; Li, Yan/JRW-0176-2023; Wang, meiwen/IXN-2116-2023</t>
  </si>
  <si>
    <t>Jiang, Yong/0000-0002-4072-1668; Wang, Min/0000-0002-2357-589X; Jiang, Yong/0000-0001-6055-488X</t>
  </si>
  <si>
    <t>National Key Research and Development Program of China [2018YFC1406704]; Marine S&amp;T Fund of Shandong Province for Pilot National Laboratory for Marine Science and Technology (Qingdao) [2018SDKJ0406-6]; Fundamental Research Funds for the Central Universities [201812002]; Natural Science Foundation of China [41606153, 41976117, 41676178, 41906126]; Global change and Air-Sea interface project - State Oceanic Administration People's republic of China [GASI-02-PAC-ST-MSwin]</t>
  </si>
  <si>
    <t>National Key Research and Development Program of China; Marine S&amp;T Fund of Shandong Province for Pilot National Laboratory for Marine Science and Technology (Qingdao); Fundamental Research Funds for the Central Universities(Fundamental Research Funds for the Central Universities); Natural Science Foundation of China(National Natural Science Foundation of China (NSFC)); Global change and Air-Sea interface project - State Oceanic Administration People's republic of China</t>
  </si>
  <si>
    <t>This study was financially supported by National Key Research and Development Program of China (2018YFC1406704), the Marine S&amp;T Fund of Shandong Province for Pilot National Laboratory for Marine Science and Technology (Qingdao) (No. 2018SDKJ0406-6), The Fundamental Research Funds for the Central Universities (201812002), Natural Science Foundation of China (No. 41606153; 41976117; 41676178; 41906126), Global change and Air-Sea interface project supported by State Oceanic Administration People's republic of China (GASI-02-PAC-ST-MSwin).</t>
  </si>
  <si>
    <t>0168-1702</t>
  </si>
  <si>
    <t>1872-7492</t>
  </si>
  <si>
    <t>VIRUS RES</t>
  </si>
  <si>
    <t>Virus Res.</t>
  </si>
  <si>
    <t>APR 2</t>
  </si>
  <si>
    <t>10.1016/j.virusres.2020.198265</t>
  </si>
  <si>
    <t>Virology</t>
  </si>
  <si>
    <t>RB9UR</t>
  </si>
  <si>
    <t>WOS:000632450800001</t>
  </si>
  <si>
    <t>Queirós, JP; Hilário, A; Thompson, DR; Ceia, FR; Elliott, G; Walker, K; Cherel, Y; Xavier, JC</t>
  </si>
  <si>
    <t>Queiros, Jose P.; Hilario, Ana; Thompson, David R.; Ceia, Filipe R.; Elliott, Graeme; Walker, Kath; Cherel, Yves; Xavier, Jose C.</t>
  </si>
  <si>
    <t>From warm to cold waters: new insights into the habitat and trophic ecology of Southern Ocean squids throughout their life cycle</t>
  </si>
  <si>
    <t>Ontogenetic changes; Antarctica; Cephalopods; Stable isotopes; Climate change; South Pacific</t>
  </si>
  <si>
    <t>STABLE-ISOTOPE SIGNATURES; PRIMARY PRODUCTIVITY; ONTOGENIC CHANGES; ANTARCTIC SQUID; FORAGING AREAS; INDIAN-OCEAN; POLAR FRONT; CEPHALOPODS; CARBON; PREDATORS</t>
  </si>
  <si>
    <t>Cephalopods play a major role in marine ecosystems, yet very little is known about the dynamics of their habitat use and trophic, ecology across the stages of their life cycle, particularly in the Southern Ocean. Here, we used stable isotope analyses of delta C-13 (a proxy for foraging habitat) and delta N-15 (a proxy for trophic position) to investigate the habitat use and trophic ecology of 10 squid species, collected from the diet of Antipodean (Diomedea antipodensis antipodensis) and Gibson's (D. a. gibsoni) albatrosses breeding at Antipodes and Adams Island (South Pacific), respectively. We analyzed isotopes in 2 sections of squid lower beaks, representing 2 stages of the life cycle: the tip of the rostrum (juvenile stage) and the wing (adult stage). Higher delta C-13 values in early life stages (-20.8 +/- 1.7 parts per thousand) than in adult life stages (-21.6 +/- 1.9 parts per thousand) suggest that Southern Ocean squids tend to move southwards as they grow, with oceanic fronts being an important habitat for these species. Our results might indicate that adults may move southwards with climate change, possibly impacting top predators living on northern islands. Overall, delta N-15 values revealed an increase in trophic position from early (6.7 +/- 2.7 parts per thousand) to adult life stages (9.0 +/- 2.5 parts per thousand) in all species. Nevertheless, significant differences between delta N-15 values of the 10 species, in both beak sections, suggest different feeding strategies between species and life stages.</t>
  </si>
  <si>
    <t>[Queiros, Jose P.; Hilario, Ana] Univ Aveiro, Dept Biol, Campus Univ Santiago, P-3810193 Aveiro, Portugal; [Queiros, Jose P.; Ceia, Filipe R.; Xavier, Jose C.] Univ Coimbra, Marine &amp; Environm Sci Ctr MARE, Dept Life Sci, P-3000456 Coimbra, Portugal; [Hilario, Ana] Univ Aveiro, Ctr Estudos Ambiente &amp; Mar CESAM, Campus Univ Santiago, P-3810193 Aveiro, Portugal; [Thompson, David R.] Natl Inst Water &amp; Atmospher Res NIWA, Wellington 6021, New Zealand; [Elliott, Graeme; Walker, Kath] Albatross Res, Nelson 7011, New Zealand; [Cherel, Yves] La Rochelle Univ, Ctr Etud Biol Chize CEBC, UMR 7372, CNRS, F-79360 Villiers En Bois, France; [Xavier, Jose C.] NERC, British Antarctic Survey BAS, Cambridge CB3 0ET, England</t>
  </si>
  <si>
    <t>Universidade de Aveiro; Universidade de Coimbra; Universidade de Aveiro; National Institute of Water &amp; Atmospheric Research (NIWA) - New Zealand; Centre National de la Recherche Scientifique (CNRS); CNRS - Institute of Ecology &amp; Environment (INEE); UK Research &amp; Innovation (UKRI); Natural Environment Research Council (NERC); NERC British Antarctic Survey</t>
  </si>
  <si>
    <t>Queirós, JP (corresponding author), Univ Aveiro, Dept Biol, Campus Univ Santiago, P-3810193 Aveiro, Portugal.;Queirós, JP (corresponding author), Univ Coimbra, Marine &amp; Environm Sci Ctr MARE, Dept Life Sci, P-3000456 Coimbra, Portugal.</t>
  </si>
  <si>
    <t>jqueiros@student.uc.pt</t>
  </si>
  <si>
    <t>Xavier, José/KFB-6739-2024; Ceia, Filipe R./A-2196-2012; Queirós, José P./K-4158-2019; Hilario, Ana/C-1260-2008</t>
  </si>
  <si>
    <t>Ceia, Filipe R./0000-0002-5470-5183; Queirós, José P./0000-0003-2763-2529; Hilario, Ana/0000-0001-8287-1528; /0000-0002-9621-6660</t>
  </si>
  <si>
    <t>Foundation for Science and Technology (Portugal) [IF/00616/2013, SFRH/BPD/95372/2013]; European Social Fund (POPH, EU); PROPOLAR; CESAM - FCT/MCTES [UIDP/50017/2020+UIDB/50017/2020]; FCT [MARE/UIDB/04292/2020]; NERC [bas010011] Funding Source: UKRI</t>
  </si>
  <si>
    <t>Foundation for Science and Technology (Portugal)(Fundacao para a Ciencia e a Tecnologia (FCT)); European Social Fund (POPH, EU); PROPOLAR; CESAM - FCT/MCTES(Fundacao para a Ciencia e a Tecnologia (FCT)); FCT(Fundacao para a Ciencia e a Tecnologia (FCT)); NERC(UK Research &amp; Innovation (UKRI)Natural Environment Research Council (NERC))</t>
  </si>
  <si>
    <t>We thank Jorge M. Pereira for preparing Fig. 1. This work is an international effort by programs, experts and action groups associated with the Scientific Committee on Antarctic Research (SCAR), namely SCAR AnT-ERA, SCAR EGBAMM and ICED. J.C.X. was supported by the Investigator Program (IF/00616/2013) and F.R.C. by a postdoctoral grant (SFRH/BPD/95372/2013) from the Foundation for Science and Technology (Portugal) and the European Social Fund (POPH, EU), and PROPOLAR. A.H. was supported by CESAM (UIDP/50017/2020+UIDB/50017/2020), which is funded by FCT/MCTES through Portuguese funds. This study benefited from the strategic program MARE, financed by FCT (MARE/UIDB/04292/2020). We also thank the 3 anonymous reviewers whose comments improved the quality of the work.</t>
  </si>
  <si>
    <t>FEB 4</t>
  </si>
  <si>
    <t>10.3354/meps13551</t>
  </si>
  <si>
    <t>QL8TW</t>
  </si>
  <si>
    <t>WOS:000621354400008</t>
  </si>
  <si>
    <t>Tarasenko, A; Supply, A; Kusse-Tiuz, N; Ivanov, V; Makhotin, M; Tournadre, J; Chapron, B; Boutin, J; Kolodziejczyk, N; Reverdin, G</t>
  </si>
  <si>
    <t>Tarasenko, Anastasiia; Supply, Alexandre; Kusse-Tiuz, Nikita; Ivanov, Vladimir; Makhotin, Mikhail; Tournadre, Jean; Chapron, Bertrand; Boutin, Jacqueline; Kolodziejczyk, Nicolas; Reverdin, Gilles</t>
  </si>
  <si>
    <t>Properties of surface water masses in the Laptev and the East Siberian seas in summer 2018 from in situ and satellite data</t>
  </si>
  <si>
    <t>ARCTIC-OCEAN SURFACE; FRESH-WATER; EURASIAN BASIN; RIVER-RUNOFF; KARA SEA; VARIABILITY; ICE; HALOCLINE; SALINITY; ATLANTIC</t>
  </si>
  <si>
    <t>Variability of surface water masses of the Laptev and the East Siberian seas in August-September 2018 is studied using in situ and satellite data. In situ data were collected during the ARKTIKA-2018 expedition and then complemented with satellite-derived sea surface temperature (SST), salinity (SSS), sea surface height, wind speed, and sea ice concentration. The estimation of SSS fields is challenging in high-latitude regions, and the precision of soil moisture and ocean salinity (SMOS) SSS retrieval is improved by applying a threshold on SSS weekly error. For the first time in this region, the validity of DMI (Danish Meteorological Institute) SST and SMOS SSS products is thoroughly studied using ARKTIKA-2018 expedition continuous thermosalinograph measurements and conductivity- temperature-depth (CTD) casts. They are found to be adequate to describe large surface gradients in this region. Surface gradients and mixing of the river and the sea water in the ice-free and ice-covered areas are described with a special attention to the marginal ice zone at a synoptic scale. We suggest that the freshwater is pushed northward, close to the marginal ice zone (MIZ) and under the sea ice, which is confirmed by the oxygen isotope analysis. The SST-SSS diagram based on satellite estimates shows the possibility of investigating the surface water mass transformation at a synoptic scale and reveals the presence of river water on the shelf of the East Siberian Sea. The Ekman transport is calculated to better understand the pathway of surface water displacement on the shelf and beyond.</t>
  </si>
  <si>
    <t>[Tarasenko, Anastasiia; Kusse-Tiuz, Nikita; Ivanov, Vladimir; Makhotin, Mikhail; Reverdin, Gilles] Arctic &amp; Antarctic Res Inst, Dept Oceanol, St Petersburg 199397, Russia; [Tarasenko, Anastasiia; Tournadre, Jean; Chapron, Bertrand; Kolodziejczyk, Nicolas] Univ Brest, Lab Oceanog Phys &amp; Spatiale LOPS, IUEM, CNRS,IRD,Ifremer, F-29280 Brest, France; [Supply, Alexandre; Boutin, Jacqueline] Sorbonne Univ, Lab Oceanog &amp; Climat Expt &amp; Approches Numer LOCEA, MNHN, CNRS,IRD, F-75005 Paris, France; [Tarasenko, Anastasiia] Univ Toulouse, Ctr Natl Rech Meteorol CNRM, CNRS, Meteo France, F-22300 Lannion, France</t>
  </si>
  <si>
    <t>Arctic &amp; Antarctic Research Institute; Universite de Bretagne Occidentale; Institut Universitaire Europeen de la Mer (IUEM); Ifremer; Centre National de la Recherche Scientifique (CNRS); Institut de Recherche pour le Developpement (IRD); Centre National de la Recherche Scientifique (CNRS); Museum National d'Histoire Naturelle (MNHN); Sorbonne Universite; Institut de Recherche pour le Developpement (IRD); Centre National de la Recherche Scientifique (CNRS)</t>
  </si>
  <si>
    <t>Tarasenko, A (corresponding author), Arctic &amp; Antarctic Res Inst, Dept Oceanol, St Petersburg 199397, Russia.;Tarasenko, A (corresponding author), Univ Brest, Lab Oceanog Phys &amp; Spatiale LOPS, IUEM, CNRS,IRD,Ifremer, F-29280 Brest, France.;Tarasenko, A (corresponding author), Univ Toulouse, Ctr Natl Rech Meteorol CNRM, CNRS, Meteo France, F-22300 Lannion, France.</t>
  </si>
  <si>
    <t>tad.ocean@gmail.com</t>
  </si>
  <si>
    <t>Ivanov, Vladimir/J-5979-2014; Tarasenko, Anastasiia/AAF-3257-2021; Makhotin, Mikhail/K-8861-2016; Kolodziejczyk, Nicolas/ABG-2605-2021; Tournadre, Jean/F-8402-2010; /M-2253-2016</t>
  </si>
  <si>
    <t>Ivanov, Vladimir/0000-0003-2569-6027; Tarasenko, Anastasiia/0000-0001-9749-1974; Kolodziejczyk, Nicolas/0000-0002-0751-1351; Tournadre, Jean/0000-0003-1159-4388; /0000-0003-2845-4912; Reverdin, Gilles/0000-0002-5583-8236; chapron, bertrand/0000-0001-6088-8775</t>
  </si>
  <si>
    <t>Ministry of Science and Higher Education of the Russian Federation [RFMEFI61617X0076]; French CNES-TOSCA SMOS-OCEAN project</t>
  </si>
  <si>
    <t>Ministry of Science and Higher Education of the Russian Federation; French CNES-TOSCA SMOS-OCEAN project</t>
  </si>
  <si>
    <t>Anastasiia Tarasenko, Vladimir Ivanov and Nikita Kusse-Tiuz acknowledge financial support from the Ministry of Science and Higher Education of the Russian Federation, project RFMEFI61617X0076, and Alexandre Supply, Jacqueline Boutin, and Gilles Reverdin acknowledge the French CNES-TOSCA SMOS-OCEAN project.</t>
  </si>
  <si>
    <t>10.5194/os-17-221-2021</t>
  </si>
  <si>
    <t>QH4DF</t>
  </si>
  <si>
    <t>WOS:000618225300001</t>
  </si>
  <si>
    <t>Press, AJ</t>
  </si>
  <si>
    <t>Press, Anthony J.</t>
  </si>
  <si>
    <t>Science and Policy Interactions in Assessing and Managing Marine Ecosystems in the Southern Ocean</t>
  </si>
  <si>
    <t>FRONTIERS IN ECOLOGY AND EVOLUTION</t>
  </si>
  <si>
    <t>climate change; Antarctica; CCAMLR; CEP; Antarctic Treaty</t>
  </si>
  <si>
    <t>MAKERS</t>
  </si>
  <si>
    <t>Good policy can only be built and implemented using sound advice, and a clear understanding of risk. Scientific advice will often be qualified by the extent of research and knowledge, and uncertainties about the current and future state of the environment. Bodies tasked with protecting the Antarctic environment are required to make decisions based on the best available advice. To not take decisions in the absence of certainty is contrary to clear obligations to protect the Antarctic environment contained in the instruments of the Antarctic Treaty System. The risk of foreclosing future options to protect the environment by indecision is as great, if not greater, than making decisions with incomplete advice, and then actively managing that decision into the future. This Perspective explores the relationship between science and policy in the context of the Conference on Marine Ecosystem Assessment for the Southern Ocean held in 2018-it is a perspective from the view of a policy-maker and end user of scientific assessment and advice.</t>
  </si>
  <si>
    <t>[Press, Anthony J.] Univ Tasmania, Inst Marine &amp; Antarctic Studies, Hobart, Tas, Australia; [Press, Anthony J.] Univ Tasmania, Australian Antarctic Program Partnership, Hobart, Tas, Australia</t>
  </si>
  <si>
    <t>University of Tasmania; University of Tasmania</t>
  </si>
  <si>
    <t>Press, AJ (corresponding author), Univ Tasmania, Inst Marine &amp; Antarctic Studies, Hobart, Tas, Australia.;Press, AJ (corresponding author), Univ Tasmania, Australian Antarctic Program Partnership, Hobart, Tas, Australia.</t>
  </si>
  <si>
    <t>tony.press@utas.edu.au</t>
  </si>
  <si>
    <t>Press, Anthony/0000-0002-3233-8933</t>
  </si>
  <si>
    <t>Southern Ocean Observing System</t>
  </si>
  <si>
    <t>I was not funded for this work, except for the contribution of the Southern Ocean Observing System for publication costs.</t>
  </si>
  <si>
    <t>2296-701X</t>
  </si>
  <si>
    <t>FRONT ECOL EVOL</t>
  </si>
  <si>
    <t>Front. Ecol. Evol.</t>
  </si>
  <si>
    <t>10.3389/fevo.2021.576047</t>
  </si>
  <si>
    <t>QI2ZE</t>
  </si>
  <si>
    <t>WOS:000618847600001</t>
  </si>
  <si>
    <t>Almeida, AL; Francoy, TM; Alvarez-Presas, M; Carbayo, F</t>
  </si>
  <si>
    <t>Almeida, Ana Laura; Francoy, Tiago Mauricio; Alvarez-Presas, Marta; Carbayo, Fernando</t>
  </si>
  <si>
    <t>Convergent evolution: A new subfamily for bipaliin-like Chilean land planarians (platyhelminthes)</t>
  </si>
  <si>
    <t>biogeography; flatworms; molecular phylogeny; neotropical; systematics; taxonomy</t>
  </si>
  <si>
    <t>The monotypic genus of land planarians Timyma (Rhynchodeminae, Geoplanidae) has been suggested to be a relict that could reflect a pre-Tertiary Antarctic connection between South America and Australia and New Zealand. Two species belonging to this genus, Timyma juliae E. M. Froehlich, 1978 and Timyma olmuensis Almeida &amp; Carbayo sp. n., are (re)described herein. Both species present ventral testes and a semilunate headplate, the same as the members of the Oriental subfamily Bipaliinae. Timyma olmuensis Almeida &amp; Carbayo sp. n. is studied by means of an integrative approach. Two nuclear gene fragments (28S, EF) and a mitochondrial gene fragment (COI) were sequenced. Phylogenetic analyses pointed out that Timyma is the sister-group of the Neotropical Geoplaninae and is phylogenetically distant from Bipaliinae, contradicting the hypothesis of Timyma as a South American relict of a Gondwanan taxon. These results indicate that the headplate evolved independently in Timyma and Bipaliinae. Morphological data reinforce this view. Accordingly, Timyminae subfam. n. is proposed for Timyma and a new diagnosis for the genus is proposed.</t>
  </si>
  <si>
    <t>[Almeida, Ana Laura] Univ Sao Paulo, Museu Zool, Sao Paulo, Brazil; [Francoy, Tiago Mauricio] Univ Sao Paulo, Escola Artes Ciencias &amp; Humanidades, Sao Paulo, Brazil; [Alvarez-Presas, Marta] Univ Bristol, Sch Biol Sci, 24 Tyndall Ave, Bristol BS8 1TQ, Avon, England; [Carbayo, Fernando] Univ Sao Paulo, Sao Paulo, Brazil</t>
  </si>
  <si>
    <t>Universidade de Sao Paulo; Universidade de Sao Paulo; University of Bristol; Universidade de Sao Paulo</t>
  </si>
  <si>
    <t>Carbayo, F (corresponding author), Univ Sao Paulo, Escola Artes Ciencias &amp; Humanidades, Lab Ecol Evolucao, Av Arlindo Bettio 1000, BR-03828000 Sao Paulo, SP, Brazil.</t>
  </si>
  <si>
    <t>baz@usp.br</t>
  </si>
  <si>
    <t>Francoy, TIago/AFW-5399-2022; Álvarez-Presas, Marta/J-8078-2012; Carbayo, Fernando/K-2408-2016</t>
  </si>
  <si>
    <t>Álvarez-Presas, Marta/0000-0002-4825-9965; Almeida, Ana Laura/0000-0002-1264-4925; Francoy, Tiago Mauricio/0000-0002-2413-966X; Carbayo, Fernando/0000-0002-8524-9715</t>
  </si>
  <si>
    <t>Sao Paulo Research Foundation -FAPESP [2019/12357-7]; Fundacao de Amparo a Pesquisa do Estado de Sao Paulo (FAPESP) [19/12357-7] Funding Source: FAPESP</t>
  </si>
  <si>
    <t>Sao Paulo Research Foundation -FAPESP(Fundacao de Amparo a Pesquisa do Estado de Sao Paulo (FAPESP)); Fundacao de Amparo a Pesquisa do Estado de Sao Paulo (FAPESP)(Fundacao de Amparo a Pesquisa do Estado de Sao Paulo (FAPESP))</t>
  </si>
  <si>
    <t>Sao Paulo Research Foundation -FAPESP, Grant/Award Number: 2019/12357-7</t>
  </si>
  <si>
    <t>10.1111/zsc.12479</t>
  </si>
  <si>
    <t>SS1XF</t>
  </si>
  <si>
    <t>WOS:000614545100001</t>
  </si>
  <si>
    <t>Alfano, CA; Bower, JL; Connaboy, C; Agha, NH; Baker, FL; Smith, KA; So, CJ; Simpson, RJ</t>
  </si>
  <si>
    <t>Alfano, Candice A.; Bower, Joanne L.; Connaboy, Christopher; Agha, Nadia H.; Baker, Forrest L.; Smith, Kyle A.; So, Christine J.; Simpson, Richard J.</t>
  </si>
  <si>
    <t>Mental health, physical symptoms and biomarkers of stress during prolonged exposure to Antarctica's extreme environment</t>
  </si>
  <si>
    <t>ACTA ASTRONAUTICA</t>
  </si>
  <si>
    <t>Antarctica; Emotion regulation; Mental health; Physical symptoms; Space flight</t>
  </si>
  <si>
    <t>PSYCHOLOGICAL ADAPTATION; INITIAL VALIDATION; EMOTION REGULATION; MAJOR DEPRESSION; SELF-REPORT; ANXIETY SENSITIVITY; PANIC-ATTACKS; WINTER; MOOD; DIFFICULTIES</t>
  </si>
  <si>
    <t>The Antarctic environment is characterized by many of the same extreme stressors as long-duration space flight (LDSE), thereby providing a useful earth-based analog for examining changes in and predictors of mental health over time. At coastal (n = 88) and inland (n = 22) Antarctic stations we tracked mental health symptoms across a nine-month period including winter-over using the Mental Health Checklist (MHCL [1]). Our monthly assessment battery also examined changes in physical complaints, biomarkers of stress, and the use of different emotion regulation strategies. MHCL positive adaptation scores showed linear decreases whereas MHCL poor self-regulation scores and severity of physical symptoms increased across the study period. During-mission use of emotion regulation strategies and dehydroepiandrosterone (DHEA) levels predicted end-of-study MHCL scores, whereas trait-based psychological measures collected at the start of the mission showed little predictive utility. Results suggest that interventions and counter measures aimed at enhancing positive affect/emotion during prolonged exposure to extreme environments may be useful in reducing psychological risk.</t>
  </si>
  <si>
    <t>[Alfano, Candice A.; So, Christine J.] Univ Houston, Dept Psychol, Houston, TX 77004 USA; [Alfano, Candice A.] Univ Houston, Hlth Res Inst, Houston, TX USA; [Bower, Joanne L.] Univ East Anglia, Sch Psychol, Norwich, Norfolk, England; [Connaboy, Christopher] Univ Pittsburgh, Dept Sports Med &amp; Nutr, Neuromuscular Res Lab, Pittsburgh, PA USA; [Agha, Nadia H.] Baylor Coll Med, Dept Mol Physiol &amp; Biophys, Houston, TX 77030 USA; [Baker, Forrest L.; Smith, Kyle A.; Simpson, Richard J.] Univ Arizona, Dept Nutr Sci, Tucson, AZ USA; [Simpson, Richard J.] Univ Arizona, Dept Pediat, Tucson, AZ 85721 USA; [Simpson, Richard J.] Univ Arizona, Dept Immunobiol, Tucson, AZ USA</t>
  </si>
  <si>
    <t>University of Houston System; University of Houston; University of Houston System; University of Houston; University of East Anglia; Pennsylvania Commonwealth System of Higher Education (PCSHE); University of Pittsburgh; Baylor College of Medicine; University of Arizona; University of Arizona; University of Arizona</t>
  </si>
  <si>
    <t>Alfano, CA (corresponding author), Univ Houston, Dept Psychol, Houston, TX 77004 USA.</t>
  </si>
  <si>
    <t>caalfano@uh.edu</t>
  </si>
  <si>
    <t>Connaboy, Christopher/HTM-0980-2023; Smith, Kyle/KBQ-3069-2024; Bower, Joanne/AAC-1114-2019; Baker, Forrest Lee/GVS-9166-2022; Alfano, Candice/ABD-4455-2021; So, Christine/AAF-8872-2020; Connaboy, Christopher/AAH-4514-2020</t>
  </si>
  <si>
    <t>Bower, Joanne/0000-0003-3485-391X; Connaboy, Christopher/0000-0002-9031-2192; So, Christine/0000-0003-1223-4456; Baker, Forrest/0000-0001-5338-7905; Smith, Kyle/0000-0002-4585-4240</t>
  </si>
  <si>
    <t>U.S. National Aeronautics and Space Administration [NNX15AC13G]</t>
  </si>
  <si>
    <t>U.S. National Aeronautics and Space Administration(National Aeronautics &amp; Space Administration (NASA))</t>
  </si>
  <si>
    <t>This work was supported by a grant from the U.S. National Aeronautics and Space Administration (#NNX15AC13G) awarded to the first and last authors.</t>
  </si>
  <si>
    <t>0094-5765</t>
  </si>
  <si>
    <t>1879-2030</t>
  </si>
  <si>
    <t>ACTA ASTRONAUT</t>
  </si>
  <si>
    <t>Acta Astronaut.</t>
  </si>
  <si>
    <t>10.1016/j.actaastro.2021.01.051</t>
  </si>
  <si>
    <t>Engineering, Aerospace</t>
  </si>
  <si>
    <t>SZ5EV</t>
  </si>
  <si>
    <t>WOS:000666589400032</t>
  </si>
  <si>
    <t>Magesh, NS; Tiwari, A; Botsa, SM; Leitao, TD</t>
  </si>
  <si>
    <t>Magesh, N. S.; Tiwari, Anoop; Botsa, Sathish Mohan; Leitao, Tara da Lima</t>
  </si>
  <si>
    <t>Hazardous heavy metals in the pristine lacustrine systems of Antarctica: Insights from PMF model and ERA techniques</t>
  </si>
  <si>
    <t>Ecological risk; Environmental indices; Statistical analyses; PMF model; Maitri station; East Antarctica</t>
  </si>
  <si>
    <t>SEDIMENT QUALITY GUIDELINES; LARSEMANN HILLS; SOURCE APPORTIONMENT; AEROSOL COMPOSITION; SCHIRMACHER OASIS; EAST ANTARCTICA; RISK-ASSESSMENT; CONTAMINATION; SOILS; RIVER</t>
  </si>
  <si>
    <t>A comprehensive study was presented on the ecological risk, distribution, and quantitative source apportionment of heavy metals in the selected lacustrine systems of Schirmacher Hills using various environmental indices and methods. A total of 25 sediment samples from 16 lakes were collected around scientific research stations and analyzed for metals. Geochemical approaches and ecological risk assessment methods were implemented to characterize and evaluate the contamination level and associated risk in the lacustrine systems. Moreover, statistical techniques and a positive matrix factorization (PMF) model were indorsed to understand metals' association and apportion their probable sources. Results revealed that most of the heavy metals (mean concentration in ppm) such as Al (77,504.09), Cd (1.36), Co (29.52), Cr (102.75), Cu (65.19), Fe (57,632.87), Mn (679.05), Ni (49.13), Pb (10.11), and Zn (253.78) are originated from natural weathering of source rocks (78.53%) followed by human-induced actions/ station activities coupled with atmospheric deposition (21.47%). Environmental risk assessment (ERA) techniques suggest that the lakes in the study area are under minimal to moderate enrichment/contamination category and experienced minimal to adverse biological effects where metal toxicity risk is minimal.</t>
  </si>
  <si>
    <t>[Magesh, N. S.; Tiwari, Anoop; Botsa, Sathish Mohan; Leitao, Tara da Lima] Govt India, Minist Earth Sci, Natl Ctr Polar &amp; Ocean Res NCPOR, Vasco Da Gama 403804, Goa, India</t>
  </si>
  <si>
    <t>Tiwari, A (corresponding author), Govt India, Minist Earth Sci, Natl Ctr Polar &amp; Ocean Res NCPOR, Vasco Da Gama 403804, Goa, India.</t>
  </si>
  <si>
    <t>nsmagesh@ncpor.res.in; anooptiwari@ncpor.res.in</t>
  </si>
  <si>
    <t>Botsa, Sathish Mohan/AGW-4764-2022; Magesh, N. S./C-3549-2013; botsa, sathish mohan/R-9434-2019</t>
  </si>
  <si>
    <t>Botsa, Sathish Mohan/0000-0003-2852-9187; Magesh, N. S./0000-0002-9335-9156;</t>
  </si>
  <si>
    <t>Ministry of Earth Sciences, Government of India; ESSO-NCPOR</t>
  </si>
  <si>
    <t>Ministry of Earth Sciences, Government of India(Ministry of Earth Science (MoES), Government of India); ESSO-NCPOR</t>
  </si>
  <si>
    <t>The authors would like to thank the Ministry of Earth Sciences, Government of India, and Dr. M. Ravichandran, Director, ESSO-NCPOR, for supporting the research work under the approved project EIA of Anthropogenic activities of Indian Antarctic Stations - a local and global perspective under the PACER program. We acknowledge the station leader of the XXXVIII Indian Scientific Expedition to Antarctica for providing logistics support. We want to thank Dr. Manish Tiwari and Mr. Vikash Kumar, Scientists at ESSO-NCPOR, for their extended help in heavy metal analysis through ICP-OES. We would also like to thank five anonymous reviewers for their constructive comments that substantially increased the quality of the manuscript. This article is ESSO-National Centre for Polar and Ocean Research's contribution (No. J-96/2020-21).</t>
  </si>
  <si>
    <t>10.1016/j.jhazmat.2021.125263</t>
  </si>
  <si>
    <t>RY1RN</t>
  </si>
  <si>
    <t>WOS:000647694500003</t>
  </si>
  <si>
    <t>Chen, X; Schallenberg, C; Phillips, H; Chase, Z</t>
  </si>
  <si>
    <t>Chen, Xiao; Schallenberg, Christina; Phillips, Helen; Chase, Zanna</t>
  </si>
  <si>
    <t>Biogeochemical characteristics of eddies in the East Australian Current depend on eddy type, history and location</t>
  </si>
  <si>
    <t>East Australian Current; Mesoscale eddy; Primary nitrite maximum; Nitrogen fixation; Deep chlorophyll maximum</t>
  </si>
  <si>
    <t>MESOSCALE EDDIES; SATELLITE-OBSERVATIONS; MIXED-LAYER; PHYTOPLANKTON; OCEAN; CHLOROPHYLL; NITROGEN; WATER; PRODUCTIVITY; PHOTOSYNTHESIS</t>
  </si>
  <si>
    <t>Mesoscale eddies are ubiquitous in the East Australian Current (EAC), a nutrient poor western boundary current, and exert considerable impact on the biogeochemical characteristics of the region. However, in-situ biogeochemical studies of these eddies are relatively rare. Here we combine ship-based and satellite measurements to characterize the physical and biogeochemical properties of three EAC eddies - one cyclone and two anticyclones - in the austral fall of 2018. Deep Chlorophyll Maxima (DCM) were observed in the two northernmost eddies, with Chlorophyll-a concentrations ranging from 0.4 to 1.3 mg m(-3) and generally decreasing with increasing depth of the DCM. The anticyclone farthest south, which was also the oldest observed eddy, was more productive and contained higher biomass than the northern eddies, including the cyclone. Deeper mixed layers in this anticyclone suggest that surface cooling resulting from poleward travel and seasonal cooling might have led to increased convection and an injection of nutrients. All eddies were nitrogen limited, and nitrogen fixation likely occurred in the surface waters of the two northernmost eddies. Where DCM were present, their depth was well explained as a consequence of an optimisation of light and nitrogen supply by phytoplankton. We observed prominent primary nitrite maxima (PNM) in the eddies. Their depths were highly correlated with, and consistently below, the depths of DCM, indicating that incomplete nitrate reduction by phytoplankton under low-light conditions was likely the main driver for their production. To our knowledge, this is the first description of PNM in eddies of the EAC.</t>
  </si>
  <si>
    <t>[Chen, Xiao] Ocean Univ China, Qingdao, Shandong, Peoples R China; [Chen, Xiao; Schallenberg, Christina; Phillips, Helen; Chase, Zanna] Univ Tasmania, Inst Marine &amp; Antarctic Studies, Private Bag 129, Hobart, Tas 7001, Australia</t>
  </si>
  <si>
    <t>Ocean University of China; University of Tasmania</t>
  </si>
  <si>
    <t>Schallenberg, C (corresponding author), Univ Tasmania, Inst Marine &amp; Antarctic Studies, Private Bag 129, Hobart, Tas 7001, Australia.</t>
  </si>
  <si>
    <t>christina.schallenberg@utas.edu.au</t>
  </si>
  <si>
    <t>Schallenberg, Christina/N-4187-2017; Phillips, Helen/I-3761-2013; Chase, Zanna/E-9232-2013</t>
  </si>
  <si>
    <t>Schallenberg, Christina/0000-0002-3073-7500; Phillips, Helen/0000-0002-2941-7577; Chase, Zanna/0000-0001-5060-779X</t>
  </si>
  <si>
    <t>Antarctic Climate and Ecosystems CRC at the University of Tasmania; Canadian NSERC PDF grant [PDF-502793-2017]; Earth Systems and Climate Change Hub of the Australian Government's National Environmental Science Program</t>
  </si>
  <si>
    <t>Antarctic Climate and Ecosystems CRC at the University of Tasmania; Canadian NSERC PDF grant(Natural Sciences and Engineering Research Council of Canada (NSERC)); Earth Systems and Climate Change Hub of the Australian Government's National Environmental Science Program</t>
  </si>
  <si>
    <t>The authors would like to thank the captain and crew of the R/V Investigator as well as the CSIRO Marine National Facility (MNF) for its support in the form of sea time on R/V Investigator, support personnel, scientific equipment and data management. We particularly thank Kendall Sherrin and Mark Rayner for performing the numerous nutrient analyses. This research voyage supported the unit Oceanographic Methods at the University of Tasmania and we are grateful to the 2018 class of KSA324/KSA724 for their hard work and good spirit on board. We also thank Tom Trull for valuable input to the manuscript. All data and samples acquired on the voyage are made publicly available in accordance with MNF policy; the chlorophyll data are available from the IMAS data portal. CS was supported by the Antarctic Climate and Ecosystems CRC at the University of Tasmania and by a Canadian NSERC PDF grant (PDF-502793-2017). HP was supported by the Earth Systems and Climate Change Hub of the Australian Government's National Environmental Science Program.</t>
  </si>
  <si>
    <t>10.1016/j.jmarsys.2021.103512</t>
  </si>
  <si>
    <t>QR0IZ</t>
  </si>
  <si>
    <t>WOS:000624899900002</t>
  </si>
  <si>
    <t>Stroeve, J; Vancoppenolle, M; Veyssiere, G; Lebrun, M; Castellani, G; Babin, M; Karcher, M; Landy, J; Liston, GE; Wilkinson, J</t>
  </si>
  <si>
    <t>Stroeve, Julienne; Vancoppenolle, Martin; Veyssiere, Gaelle; Lebrun, Marion; Castellani, Giulia; Babin, Marcel; Karcher, Michael; Landy, Jack; Liston, Glen E.; Wilkinson, Jeremy</t>
  </si>
  <si>
    <t>A Multi-Sensor and Modeling Approach for Mapping Light Under Sea Ice During the Ice-Growth Season</t>
  </si>
  <si>
    <t>sea ice; under-ice light; ocean primary productivity; Arctic; marine ecosystems</t>
  </si>
  <si>
    <t>ALGAE-PRODUCED CARBON; SNOW DEPTH; THICKNESS DISTRIBUTION; THERMODYNAMIC MODEL; RADIATIVE-TRANSFER; OPTICAL-PROPERTIES; SPECTRAL ALBEDO; MELT; SURFACE; OCEAN</t>
  </si>
  <si>
    <t>Arctic sea ice is shifting from a year-round to a seasonal sea ice cover. This substantial transformation, via a reduction in Arctic sea ice extent and a thinning of its thickness, influences the amount of light entering the upper ocean. This in turn impacts under ice algal growth and associated ecosystem dynamics. Field campaigns have provided valuable insights as to how snow and ice properties impact light penetration at fixed locations in the Arctic, but to understand the spatial variability in the under-ice light field there is a need to scale up to the pan-Arctic level. Combining information from satellites with state-of-the-art parameterizations is one means to achieve this. This study combines satellite and modeled data products to map under-ice light on a monthly time-scale from 2011 through 2018. Key limitations pertain to the availability of satellite derived sea ice thickness, which for radar altimetry, is only available during the sea ice growth season. We clearly show that year-to-year variability in snow depth, along with the fraction of thin ice, plays a key role in how much light enters the Arctic Ocean. This is particularly significant in April, which in some regions, coincides with the beginning of the under-ice algal bloom, whereas we find that ice thickness is the main driver of under-ice light availability at the end of the melt season in October. The extension to the melt season due to a warmer Arctic means that snow accumulation has reduced, which is leading to positive trends in light transmission through snow. This, combined with a thinner ice cover, should lead to increased under-ice PAR also in the summer months.</t>
  </si>
  <si>
    <t>[Stroeve, Julienne] Univ Manitoba, Ctr Earth Observat Sci, Winnipeg, MB, Canada; [Stroeve, Julienne; Veyssiere, Gaelle] UCL, Dept Earth Sci, London, England; [Stroeve, Julienne] Univ Colorado, Natl Snow &amp; Ice Data Ctr, Boulder, CO 80309 USA; [Vancoppenolle, Martin; Lebrun, Marion] Sorbonne Univ, Lab Oceanog &amp; Carnet, Inst Pierre Simon Lapl, CNRS,IRD,MNHN, Paris, France; [Veyssiere, Gaelle; Wilkinson, Jeremy] British Antarctic Survey, Cambridge, England; [Castellani, Giulia; Karcher, Michael] Alfred Wegener Inst, Bremerhaven, Germany; [Babin, Marcel] Univ Laval, Dept Biol, Quebec City, PQ, Canada; [Karcher, Michael] OA Sys Ocean Atmosphere Syst GmbH, Hamburg, Germany; [Landy, Jack] Univ Bristol, Sch Geog Sci, Bristol, Avon, England; [Liston, Glen E.] Colorado State Univ, Cooperat Inst Res Atmosphere, Ft Collins, CO 80523 USA</t>
  </si>
  <si>
    <t>University of Manitoba; University of London; University College London; University of Colorado System; University of Colorado Boulder; Centre National de la Recherche Scientifique (CNRS); Sorbonne Universite; Museum National d'Histoire Naturelle (MNHN); Institut de Recherche pour le Developpement (IRD); Universite Paris Cite; UK Research &amp; Innovation (UKRI); Natural Environment Research Council (NERC); NERC British Antarctic Survey; Helmholtz Association; Alfred Wegener Institute, Helmholtz Centre for Polar &amp; Marine Research; Laval University; University of Bristol; Colorado State University</t>
  </si>
  <si>
    <t>Stroeve, J (corresponding author), Univ Manitoba, Ctr Earth Observat Sci, Winnipeg, MB, Canada.;Stroeve, J (corresponding author), UCL, Dept Earth Sci, London, England.;Stroeve, J (corresponding author), Univ Colorado, Natl Snow &amp; Ice Data Ctr, Boulder, CO 80309 USA.</t>
  </si>
  <si>
    <t>j.stroeve@ucl.ac.uk</t>
  </si>
  <si>
    <t>Vancoppenolle, Martin/AAA-7711-2022; Castellani, Giulia/AAS-9298-2021</t>
  </si>
  <si>
    <t>Vancoppenolle, Martin/0000-0002-7573-8582; Castellani, Giulia/0000-0001-6151-015X; Karcher, Michael/0000-0002-9587-811X; Veyssiere, Gaelle/0000-0003-4843-4935; Babin, Marcel/0000-0001-9233-2253</t>
  </si>
  <si>
    <t>NERC [NE/R012725/1]; UKRI Natural Environment Research Council (NERC); German Federal Ministry of Education and Research (BMBF); NASA [NNX16AK85G, 80NSSC20K1121]; NERC Diatom-ARCTIC [NE/R012849/1]; Canada 150 Chair Program; NERC [cpom30001, bas0100032, NE/R012725/1, NE/T009470/1] Funding Source: UKRI; NASA [901867, NNX16AK85G] Funding Source: Federal RePORTER</t>
  </si>
  <si>
    <t>NERC(UK Research &amp; Innovation (UKRI)Natural Environment Research Council (NERC)); UKRI Natural Environment Research Council (NERC); German Federal Ministry of Education and Research (BMBF)(Federal Ministry of Education &amp; Research (BMBF)); NASA(National Aeronautics &amp; Space Administration (NASA)); NERC Diatom-ARCTIC; Canada 150 Chair Program; NERC(UK Research &amp; Innovation (UKRI)Natural Environment Research Council (NERC)); NASA(National Aeronautics &amp; Space Administration (NASA))</t>
  </si>
  <si>
    <t>This work resulted from the NERC project (NE/R012725/1), known as EcoLight, part of the Changing Arctic Ocean programme, jointly funded by the UKRI Natural Environment Research Council (NERC) and the German Federal Ministry of Education and Research (BMBF). JS and GL were also funded under NASA NNX16AK85G. JL was funded under NERC Diatom-ARCTIC (NE/R012849/1). JS was also partially funded under the Canada 150 Chair Program and NASA Grant 80NSSC20K1121.</t>
  </si>
  <si>
    <t>FEB 3</t>
  </si>
  <si>
    <t>10.3389/fmars.2020.592337</t>
  </si>
  <si>
    <t>QG9OQ</t>
  </si>
  <si>
    <t>Green Accepted, gold, Green Published, Green Submitted</t>
  </si>
  <si>
    <t>WOS:000617909000001</t>
  </si>
  <si>
    <t>Conlan, KE</t>
  </si>
  <si>
    <t>Conlan, Kathleen E.</t>
  </si>
  <si>
    <t>New genera for species of Jassa Leach (Crustacea: Amphipoda) and their relationship to a revised Ischyrocerini</t>
  </si>
  <si>
    <t>Ischyrocerini; Ventojassa; Hemijassa; Plumulojassa; Ischyrocerus; Neoischyrocerus; Coxischyrocerus; Tropischyrocerus</t>
  </si>
  <si>
    <t>REPRODUCTIVE-BEHAVIOR; BLACK-SEA; FAUNA; GENUS; COAST; COROPHIOIDEA; ASSEMBLAGES; COROPHIIDEA; KNOWLEDGE; DYNAMICS</t>
  </si>
  <si>
    <t>Four Southern Hemisphere and one Northern Hemisphere species of Jassa (Crustacea: Amphipoda: Ischyrocerini) are removed from this genus. The south temperate Jassa barnardi Stephensen, 1949 is synonymized with Ventojassa frequens (Chilton, 1883). The south temperate and subantarctic Jassa multidentata Schellenberg, 1931 and Jassa wandeli Chevreux, 1906 are transferred to Pleojassa n. gen., with the addition of P. lowryi n. sp., P. moorei n. sp. and P. orientalis n. sp. Hemijassa Walker, 1907 is resurrected for the Antarctic Jassa goniamera Walker, 1903. The Northern Hemisphere Jassa ocia (Bate, 1862) is transferred to Plumulojassa n. gen. and shown to range throughout the temperate coasts of the northeastern Atlantic and its eastern seas. Placed in context of the other genera of the Ischyrocerini Stebbing, 1899, Jassa, Pleojassa, Hemijassa and Plumulojassa join Parajassa Stebbing, 1899 in having a unique uropod 3 morphology. Characteristics of the uropod 3 and other appendages are used to revise four other genera of the Ischyrocerini. Ischyrocerus Kroyer, 1838 now becomes a temperate to polar genus, with Neoischyrocerus Conlan, 1995 embracing tropical species of Ischyrocerus and all members of Coxischyrocerus Just, 2009 and Tropischyrocerus Just, 2009. A new diagnosis and illustrated key to the 18 genera of Ischyrocerini is given.</t>
  </si>
  <si>
    <t>[Conlan, Kathleen E.] Canadian Museum Nat, Stn D, POB 3443, Ottawa, ON K1P 6P4, Canada</t>
  </si>
  <si>
    <t>Conlan, KE (corresponding author), Canadian Museum Nat, Stn D, POB 3443, Ottawa, ON K1P 6P4, Canada.</t>
  </si>
  <si>
    <t>kconlan@nature.ca</t>
  </si>
  <si>
    <t>Canadian Museum of Nature; University of Ottawa (Ottawa, Canada); Carleton University</t>
  </si>
  <si>
    <t>This work resulted from a study of the genus Jassa published in 1990. The institutions and individuals acknowledged therein were essential to the success of this work as well. In particular, I am indebted to Susan Laurie-Bourque who ably constructed the line drawings and maps, and Val Tait who alerted me to new specimens to examine. Essential support was also provided by Jan Beermann, Ed Hendrycks and Joel Grice. The Canadian Museum of Nature, Carleton University and the University of Ottawa (Ottawa, Canada) provided financial and logistical support. To all I give hearfelt thanks.</t>
  </si>
  <si>
    <t>10.11646/zootaxa.4921.1.1</t>
  </si>
  <si>
    <t>QE7LD</t>
  </si>
  <si>
    <t>WOS:000616387800001</t>
  </si>
  <si>
    <t>Schlemm, T; Levermann, A</t>
  </si>
  <si>
    <t>Schlemm, Tanja; Levermann, Anders</t>
  </si>
  <si>
    <t>A simple parametrization of melange buttressing for calving glaciers</t>
  </si>
  <si>
    <t>ANTARCTIC ICE-SHEET; SEA-LEVEL RISE; PINE ISLAND GLACIER; GREENLAND; RETREAT; SHELF; STABILITY; DYNAMICS</t>
  </si>
  <si>
    <t>Both ice sheets in Greenland and Antarctica are discharging ice into the ocean. In many regions along the coast of the ice sheets, the icebergs calve into a bay. If the addition of icebergs through calving is faster than their transport out of the embayment, the icebergs will be frozen into a melange with surrounding sea ice in winter. In this case, the buttressing effect of the ice melange can be considerably stronger than any buttressing by mere sea ice would be. This in turn stabilizes the glacier terminus and leads to a reduction in calving rates. Here we propose a simple parametrization of ice melange buttressing which leads to an upper bound on calving rates and can be used in numerical and analytical modelling.</t>
  </si>
  <si>
    <t>[Schlemm, Tanja; Levermann, Anders] Potsdam Inst Climate Impact Res, Potsdam, Germany; [Schlemm, Tanja; Levermann, Anders] Univ Potsdam, Inst Phys &amp; Astron, Potsdam, Germany; [Levermann, Anders] Columbia Univ, Lamont Doherty Earth Observ, New York, NY 10027 USA</t>
  </si>
  <si>
    <t>Potsdam Institut fur Klimafolgenforschung; University of Potsdam; Columbia University</t>
  </si>
  <si>
    <t>Levermann, A (corresponding author), Potsdam Inst Climate Impact Res, Potsdam, Germany.;Levermann, A (corresponding author), Univ Potsdam, Inst Phys &amp; Astron, Potsdam, Germany.;Levermann, A (corresponding author), Columbia Univ, Lamont Doherty Earth Observ, New York, NY 10027 USA.</t>
  </si>
  <si>
    <t>anders.levermann@pik-potsdam.de</t>
  </si>
  <si>
    <t>Levermann, Anders/G-4666-2011</t>
  </si>
  <si>
    <t>Levermann, Anders/0000-0003-4432-4704</t>
  </si>
  <si>
    <t>Heinrich Boll foundation</t>
  </si>
  <si>
    <t>Tanja Schlemm was funded by a doctoral scholarship of the Heinrich Boll foundation.</t>
  </si>
  <si>
    <t>10.5194/tc-15-531-2021</t>
  </si>
  <si>
    <t>QH2BA</t>
  </si>
  <si>
    <t>WOS:000618080500001</t>
  </si>
  <si>
    <t>Juáres, MA; Grech, MG; Casaux, R; Negrete, J; Fógel, J; Coria, NR; Santos, MM</t>
  </si>
  <si>
    <t>Juares, Mariana A.; Grech, Marta G.; Casaux, Ricardo; Negrete, Javier; Fogel, Jazmin; Coria, Nestor R.; Santos, M. Mercedes</t>
  </si>
  <si>
    <t>Size structure of Antarctic krill inferred from samples of Pygoscelid penguin diets and those collected by the commercial krill fishery</t>
  </si>
  <si>
    <t>Pygoscelis adeliae; Pygoscelis papua; SISO database; Euphausia superba</t>
  </si>
  <si>
    <t>SOUTH-SHETLAND ISLANDS; EUPHAUSIA-SUPERBA; CHINSTRAP PENGUINS; POPULATION-CHANGES; GEORGE ISLAND; MANAGEMENT; ADELIE; VARIABILITY; RECRUITMENT; COMPETITION</t>
  </si>
  <si>
    <t>In the Antarctic Peninsula, during the chick-rearing period Adelie (Pygoscelis adeliae) and gentoo (P. papua) penguins feed primarily on Antarctic krill (Euphausia superba), which is also exploited by the commercial fishery. Krill length and proportion of juvenile krill consumed by these predators that breed at Stranger Point, South Shetland Islands (from 2007/2008 to 2015/2016), and those collected by the krill fishery in the Mar de la Flota/Bransfield Strait (from 2009/2010 to 2015/2016) were compared to evaluate the potential of each data source as an indicator of changes in the size composition and so, in the demographic structure of the krill population. Overall, the mean krill size taken by gentoo penguins was larger than that ingested by Adelie penguins, which consumed higher proportions of juvenile (&lt;= 35 mm) and one-year-old (&lt;= 25 mm) krill. Although the krill size caught by the fishery was statistically similar to that taken by both penguin species, there were differences in the frequency distributions of krill size among the three databases. Furthermore, when only adult krill (&gt; 35 mm) was considered, the three sources of krill data showed a similar inter-annual variation in the availability of adult krill cohorts. Our findings suggest that each database analysed here can potentially provide different information (although complementary) about krill size composition. In addition, inter-annual fluctuations in the smaller size classes of krill likely reflect their first year of recruitment and, therefore, may be used as an indicator of shifts in local krill availability.</t>
  </si>
  <si>
    <t>[Juares, Mariana A.; Negrete, Javier; Fogel, Jazmin; Coria, Nestor R.; Santos, M. Mercedes] Inst Antartico Argentino, Dept Biol Predadores Tope, 25 Mayo 1143,B1650CSP, San Martin, Buenos Aires, Argentina; [Juares, Mariana A.] Consejo Nacl Invest Cient &amp; Tecn CONICET, C1425FQ, RA-2290 Buenos Aires, DF, Argentina; [Juares, Mariana A.; Negrete, Javier; Santos, M. Mercedes] Univ Nacl La Plata, Labs Anexos, Fac Ciencias Nat &amp; Museo, Calle 64 3,B1904AMA, La Plata, Buenos Aires, Argentina; [Grech, Marta G.; Casaux, Ricardo] Ctr Invest Esquel Montana &amp; Estepa Patagon CONICE, Roca 780, RA-9200 Esquel, Chubut, Argentina; [Fogel, Jazmin] Univ Nacl La Plata, Fac Ciencias Exactas, Calle 115 S-N, RA-1900 B La Plata, Buenos Aires, Argentina</t>
  </si>
  <si>
    <t>Instituto Antartico Argentino; Consejo Nacional de Investigaciones Cientificas y Tecnicas (CONICET); National University of La Plata; Museo La Plata; National University of La Plata</t>
  </si>
  <si>
    <t>Juáres, MA (corresponding author), Inst Antartico Argentino, Dept Biol Predadores Tope, 25 Mayo 1143,B1650CSP, San Martin, Buenos Aires, Argentina.;Juáres, MA (corresponding author), Consejo Nacl Invest Cient &amp; Tecn CONICET, C1425FQ, RA-2290 Buenos Aires, DF, Argentina.;Juáres, MA (corresponding author), Univ Nacl La Plata, Labs Anexos, Fac Ciencias Nat &amp; Museo, Calle 64 3,B1904AMA, La Plata, Buenos Aires, Argentina.</t>
  </si>
  <si>
    <t>marianajuares@hotmail.com</t>
  </si>
  <si>
    <t>Grech, Marta/0000-0001-8255-0054; Negrete, Javier/0000-0001-6853-8307; Juares, Mariana A./0000-0002-6763-0416</t>
  </si>
  <si>
    <t>FONCYT-Agencia Nacional de Promocion Cientifica y Tecnologica [PICTO 2010-0111, PINST-05]</t>
  </si>
  <si>
    <t>FONCYT-Agencia Nacional de Promocion Cientifica y Tecnologica(ANPCyTFONCyT)</t>
  </si>
  <si>
    <t>The FONCYT-Agencia Nacional de Promocion Cientifica y Tecnologica (Grant: PICTO 2010-0111) and the Instituto Antartico Argentino - Direccion Nacional del Antartico (PINST-05) provided financial and logistical support.</t>
  </si>
  <si>
    <t>10.1007/s00227-021-03831-0</t>
  </si>
  <si>
    <t>QF2IV</t>
  </si>
  <si>
    <t>WOS:000616724000001</t>
  </si>
  <si>
    <t>Cantero, ALP</t>
  </si>
  <si>
    <t>Pena Cantero, Alvaro L.</t>
  </si>
  <si>
    <t>Biodiversity, distribution and community structure of benthic hydroids from Point Geologie Archipelago (Dumont d'Urville Sea, Adelie Land, Antarctica)</t>
  </si>
  <si>
    <t>Hydrozoa; New records; Biodiversity; Biocenology; Distribution; Southern ocean</t>
  </si>
  <si>
    <t>CNIDARIA; HYDROZOA</t>
  </si>
  <si>
    <t>Hydrozoans are one of the main and most characteristic zoological groups of Antarctic benthic communities, yet there are Antarctic areas where the hydrozoan fauna is completely unknown (e.g. the Admunsen Sea, West Antarctica) or scarcely known (e.g. Adelie Land, East Antarctica). Hitherto, only one study, published in 1972, has been devoted to hydroids inhabiting marine bottoms off Adelie Land. The present study contributes to a better knowledge of the benthic hydroid fauna of this region by studying material from the Antarctic Specially Protected Area of Pointe Geologie Archipelago (ASPA 120), area of considerable biological value and great importance for scientific research. 35 species of benthic hydroids were found, belonging to 14 families and 18 genera. 15 species represent new records for the area, bringing the number of species reported in the zone to 45. Leptothecata is dominant, with 30 species, while Anthoathecata is represented by just five species. Symplectoscyphidae is the most speciose family, with 11 species (31%), whereas Kirchenpaueriidae has the highest biomass due to Oswaldella terranovae, the species with the highest abundance and biomass and that could be considered a true habitat builder and biodiversity hotspot. The study of the hydroid assemblages has revealed the overwhelming dominance in the area of a community characterised mainly by O. terranovae; three other assemblages are present, albeit much less represented. The hydroid fauna is clearly dominated by eurybathic species (65%) and most of the species studied (88%) are restricted to Antarctic or Antarctic/sub-Antarctic waters, with 65% endemic to the Antarctic region.</t>
  </si>
  <si>
    <t>[Pena Cantero, Alvaro L.] Univ Valencia, Dept Zool, Inst Cavanilles Biodiversidad &amp; Biol Evolut, Apdo Correos 22085, Valencia 46071, Spain</t>
  </si>
  <si>
    <t>University of Valencia</t>
  </si>
  <si>
    <t>Cantero, ALP (corresponding author), Univ Valencia, Dept Zool, Inst Cavanilles Biodiversidad &amp; Biol Evolut, Apdo Correos 22085, Valencia 46071, Spain.</t>
  </si>
  <si>
    <t>alvaro.l.pena@uv.es</t>
  </si>
  <si>
    <t>Pena Cantero, Alvaro/0000-0003-3056-6673</t>
  </si>
  <si>
    <t>European Community Research Infrastructure Action under the FP7 Integrating Activities Programme</t>
  </si>
  <si>
    <t>The author want to express his gratitude to Dr. Marc Eleaume and Dr. Cyril Gallut, from the Museum National d'Histoire Naturelle of Paris, for giving me the opportunity to study this hydroid material, and to Dr. Aude Andouche, from the same institution, for her help with different aspects related to the collection. Likewise, I am grateful to Dr. Fran Ramil and Dr. Cinzia Gravili for reviewing the submitted manuscript. The author received support for a stay at the Museum National d'Histoire Naturelle of Paris from the SYNTHESYS Project, http://www.synthesys.info/, which is financed by European Community Research Infrastructure Action under the FP7 Integrating Activities Programme.</t>
  </si>
  <si>
    <t>10.1007/s00300-021-02802-x</t>
  </si>
  <si>
    <t>WOS:000614306300001</t>
  </si>
  <si>
    <t>Leo, C; Nardi, F; Cucini, C; Frati, F; Convey, P; Weedon, JT; Roelofs, D; Carapelli, A</t>
  </si>
  <si>
    <t>Leo, Chiara; Nardi, Francesco; Cucini, Claudio; Frati, Francesco; Convey, Peter; Weedon, James T.; Roelofs, Dick; Carapelli, Antonio</t>
  </si>
  <si>
    <t>Evidence for strong environmental control on bacterial microbiomes of Antarctic springtails</t>
  </si>
  <si>
    <t>GENETIC DIVERSITY; COLLEMBOLA; BIODIVERSITY; FUNGAL</t>
  </si>
  <si>
    <t>Collembola are a key component of the soil biota globally, playing an important role in community and ecosystem dynamics. Equally significant are their associated microbiomes, that can contribute to key metabolic functions. In the present study, we investigated the bacterial community composition of four Antarctic springtail species to assess if and how the extreme Antarctic environment has shaped the collembolans' microbiomes. Springtails were collected from two biogeographical regions, the maritime and the continental Antarctic. From each region, two endemic species, belonging to the genera Cryptopygus (Isotomidae, Entomobryomorpha) and Friesea (Neanuridae, Poduromorpha), were included. This experimental design allowed us to quantify the relative importance of ecological factors (different regions of occurrence) and/or phylogenetic divergence in the host (different Orders) in shaping the Collembola microbiome. The diversity and richness of springtail microbiomes was lower in the Antarctic taxa compared to published information from species from temperate regions. The microbiome composition was predominantly species-specific, with a limited core microbiome shared across the four species examined. While both geographic origin and host species influenced the associated microbiomes, the former was the prevalent driver, with closer similarity between springtails from the same bioregion than between those belonging to the same genus.</t>
  </si>
  <si>
    <t>[Leo, Chiara; Nardi, Francesco; Cucini, Claudio; Frati, Francesco; Carapelli, Antonio] Univ Siena, Life Sci Dept, Via Aldo Moro 2, I-53100 Siena, Italy; [Convey, Peter] British Antarctic Survey, Nat Environm Res Council, Madingley Rd, Cambridge CB3 0ET, England; [Weedon, James T.] Vrije Univ Amsterdam, Dept Ecol Sci, De Boelelaan 1081, NL-1081 HV Amsterdam, Netherlands; [Roelofs, Dick] Keygene NV, Agro Business Pk 90, NL-6708 PW Wageningen, Netherlands; [Leo, Chiara] Imperial Coll London, Dept Life Sci, London, England</t>
  </si>
  <si>
    <t>University of Siena; UK Research &amp; Innovation (UKRI); Natural Environment Research Council (NERC); NERC British Antarctic Survey; Vrije Universiteit Amsterdam; Keygene N.V.; Imperial College London</t>
  </si>
  <si>
    <t>Leo, C (corresponding author), Univ Siena, Life Sci Dept, Via Aldo Moro 2, I-53100 Siena, Italy.;Leo, C (corresponding author), Imperial Coll London, Dept Life Sci, London, England.</t>
  </si>
  <si>
    <t>leo6@student.unisi.it</t>
  </si>
  <si>
    <t>Convey, Peter/AAV-5728-2020; Weedon, James/AAA-9064-2019; Nardi, Francesco/E-5516-2011; CUCINI, CLAUDIO/AAK-4520-2020; Leo, Chiara/AAG-7672-2021; Weedon, James/C-5473-2008</t>
  </si>
  <si>
    <t>Convey, Peter/0000-0001-8497-9903; Nardi, Francesco/0000-0003-0271-9855; CUCINI, CLAUDIO/0000-0003-1918-0702; Leo, Chiara/0000-0003-0510-2535; CARAPELLI, Antonio/0000-0002-3165-9620; Weedon, James/0000-0003-0491-8719</t>
  </si>
  <si>
    <t>Italian National Antarctic Program (PNRA) [PNRA16-00234]; NERC</t>
  </si>
  <si>
    <t>Italian National Antarctic Program (PNRA); NERC(UK Research &amp; Innovation (UKRI)Natural Environment Research Council (NERC))</t>
  </si>
  <si>
    <t>The present study was supported by the Italian National Antarctic Program (PNRA, Grant no. PNRA16-00234). P. Convey is supported by NERC core funding to the British Antarctic Survey's 'Biodiversity, Evolution and Adaptation' Team. The authors would like to thank Dr Stef Bokhorst, who kindly provided specimens of Cryptopygus antarcticus antarcticus for the present study. The authors would also like to thank the two anonymous Reviewers for their support and contribution to the present work.</t>
  </si>
  <si>
    <t>10.1038/s41598-021-82379-x</t>
  </si>
  <si>
    <t>QF5XO</t>
  </si>
  <si>
    <t>WOS:000616967300056</t>
  </si>
  <si>
    <t>Primitz, JV; Vázquez, S; Ruberto, L; Lo Balbo, A; Mac Cormack, W</t>
  </si>
  <si>
    <t>Villalba Primitz, Julia; Vazquez, Susana; Ruberto, Lucas; Lo Balbo, Alfredo; Mac Cormack, Walter</t>
  </si>
  <si>
    <t>Bioremediation of hydrocarbon-contaminated soil from Carlini Station, Antarctica: effectiveness of different nutrient sources as biostimulation agents</t>
  </si>
  <si>
    <t>Antarctica; Bioremediation; DGGE; Bacterial communities; Pollution; Hydrocarbons</t>
  </si>
  <si>
    <t>Logistics and scientific activities carried out in Antarctic stations entail the risk of contamination by fuels. Among remediation strategies, biostimulation significantly improves the efficiency of hydrocarbons (HCs) removal. A 1-year-long field trial was performed in mesocosms filled with soil chronically contaminated with HCs. Three nutrient sources were evaluated as biostimulation agents: inorganic salts (with and without aeration by mixing), a slow-release granular fertilizer (Nitrofoska(R)) and a commercial bioremediation product (OSEII(R)). Their performance was assessed considering the number of culturable bacteria, the changes induced in the structure of bacterial communities, the HCs removal efficiencies and the estimation of the abiotic and biodegradative losses of HCs. The soil indigenous microbiota reduced the concentration of hydrocarbons by up to 50% in 50 days and 87% in 365 days depending on the biostimulation agent used. OSEII(R) (a mixture of surfactants, nutrients, and enzymes) performed better in the medium term, promoting bacterial growth and rapidly inducing changes in the structure of bacterial community, and Nitrofoska(R) proved to be more efficient for long-term processes, less affecting the size and structure of the microbiota. A mixed strategy combining the fastest action of commercial products acting during summer with slow-release fertilizers acting throughout the year is proposed as a long-term bioremediation treatment for Antarctic areas where the temperature rises above the freezing point and the ground is free of snow shortly during summer. This study highlights the importance of conducting research to develop remediation processes compatible with the Antarctic Treaty, exploiting the metabolic potential of the indigenous microbiota.</t>
  </si>
  <si>
    <t>[Villalba Primitz, Julia; Vazquez, Susana; Ruberto, Lucas; Mac Cormack, Walter] Univ Buenos Aires, Inst Nanobiotecnol NANOBIOTEC, Consejo Nacl Invest Cient &amp; Tecn, Junin 954,C1113AAD, Buenos Aires, DF, Argentina; [Vazquez, Susana; Ruberto, Lucas; Lo Balbo, Alfredo] Univ Buenos Aires, Dept Microbiol Inmunol Biotecnol &amp; Genet, Catedra Biotecnol, Fac Farm &amp; Bioquim, Junin 954,C1113AAD, Buenos Aires, DF, Argentina; [Ruberto, Lucas; Mac Cormack, Walter] Inst Antartico Argentino, 25 Mayo 1143,B1650HMK, San Martin, Buenos Aires, Argentina</t>
  </si>
  <si>
    <t>Consejo Nacional de Investigaciones Cientificas y Tecnicas (CONICET); University of Buenos Aires; University of Buenos Aires; Instituto Antartico Argentino</t>
  </si>
  <si>
    <t>Vázquez, S (corresponding author), Univ Buenos Aires, Inst Nanobiotecnol NANOBIOTEC, Consejo Nacl Invest Cient &amp; Tecn, Junin 954,C1113AAD, Buenos Aires, DF, Argentina.;Vázquez, S (corresponding author), Univ Buenos Aires, Dept Microbiol Inmunol Biotecnol &amp; Genet, Catedra Biotecnol, Fac Farm &amp; Bioquim, Junin 954,C1113AAD, Buenos Aires, DF, Argentina.</t>
  </si>
  <si>
    <t>svazquez@ffyb.uba.ar</t>
  </si>
  <si>
    <t>Vazquez, Susana/AEP-5214-2022</t>
  </si>
  <si>
    <t>Vazquez, Susana/0000-0002-0760-6254</t>
  </si>
  <si>
    <t>Agencia Nacional de Promocion Cientifica y Tecnologica, ANPCyT [PICT 2016-7271]; Universidad de Buenos Aires UBA [UBACyT 20020130100569BA]</t>
  </si>
  <si>
    <t>Agencia Nacional de Promocion Cientifica y Tecnologica, ANPCyT(ANPCyTSpanish Government); Universidad de Buenos Aires UBA(University of Buenos Aires)</t>
  </si>
  <si>
    <t>This work was supported by the Agencia Nacional de Promocion Cientifica y Tecnologica, ANPCyT (PICT 2016-7271) and the Universidad de Buenos Aires, UBA (UBACyT 20020130100569BA). We are grateful to the Instituto Antartico Argentino (IAA), Carlini Station, for their hospitality and logistic support and to Silvia H. Coria for her valuable support in the field and laboratory activities performed at Carlini Station. Dr. Daniel Delille and Dr. David Junk are thanked for critically reading the manuscript and suggesting substantial improvements.</t>
  </si>
  <si>
    <t>10.1007/s00300-020-02787-z</t>
  </si>
  <si>
    <t>WOS:000613973500002</t>
  </si>
  <si>
    <t>Bertini, L; Proietti, S; Focaracci, F; Canini, F; Bravo, LA; Rabert, C; Caruso, C</t>
  </si>
  <si>
    <t>Bertini, Laura; Proietti, Silvia; Focaracci, Francesca; Canini, Fabiana; Bravo, Leon A.; Rabert, Claudia; Caruso, Carla</t>
  </si>
  <si>
    <t>Identification and validation of new reference genes for accurate quantitative reverse transcriptase-PCR normalization in the Antarctic plant Colobanthus quitensis under abiotic stress conditions</t>
  </si>
  <si>
    <t>Colobanthus quitensis; Gene expression validation; qRT-PCR; Reference genes</t>
  </si>
  <si>
    <t>The Antarctic ecotype of Colobanthus quitensis is a vascular plant highly adapted to the harsh environmental conditions of Maritime Antarctica which is now facing with the rapid local warming experienced in the Antarctic Peninsula during the last decades. Thus, the identification of the molecular mechanisms leading to the adaptation to this warming trend is a new target for modern cell physiology. The selection of suitable reference genes for quantification of key stress-responsive genes through quantitative Reverse Transcriptase-Polymerase Chain Reaction (qRT-PCR) is important to ensure accurate and reliable results. In this study, we evaluated the expression stability of eleven candidate genes in C. quitensis under different abiotic stress conditions using geNorm and RefFinder tools. The statistical analysis showed that the appropriate reference genes varied depending on the experimental conditions, even if EF1 alpha and PP2Acs ranked as the most stable reference genes when all stress conditions were considered. To further validate the stability of the selected reference genes, the expression patterns of C. quitensis catalase gene (CqCAT) was analyzed. The reference genes validated in this study will be useful for improving the accuracy of qRT-PCR analysis for gene expression studies of the Antarctic ecotype of C. quitensis and could be extended to other ecotypes adapted to low temperatures.</t>
  </si>
  <si>
    <t>[Bertini, Laura; Proietti, Silvia; Focaracci, Francesca; Canini, Fabiana; Caruso, Carla] Univ Tuscia, Dept Ecol &amp; Biol Sci, Viterbo, Italy; [Bravo, Leon A.] Univ La Frontera, Dept Ciencias Agron &amp; Recursos Nat, Lab Fisiol &amp; Biol Mol Vegetal, Fac Ciencias Agr &amp; Forest,Inst Agroind, Temuco, Chile; [Bravo, Leon A.] Univ La Frontera, Ctr Plant Soil Interact &amp; Nat Resources Biotechno, Sci &amp; Technol Bioresource Nucleus, Temuco, Chile; [Rabert, Claudia] Univ Autonoma Chile, Inst Ciencias Biomed, Fac Ciencias Salud, Temuco, Chile</t>
  </si>
  <si>
    <t>Tuscia University; Universidad de La Frontera; Universidad de La Frontera; Universidad Autonoma de Chile</t>
  </si>
  <si>
    <t>Bertini, L; Caruso, C (corresponding author), Univ Tuscia, Dept Ecol &amp; Biol Sci, Viterbo, Italy.</t>
  </si>
  <si>
    <t>lbertini@unitus.it; caruso@unitus.it</t>
  </si>
  <si>
    <t>caruso, carla/AAC-4123-2019; Bravo, León/AAO-8437-2020; Canini, Fabiana/ABE-4243-2020</t>
  </si>
  <si>
    <t>caruso, carla/0000-0002-2482-8254; Bravo, León/0000-0003-4705-4842; Canini, Fabiana/0000-0002-9626-6318; proietti, silvia/0000-0002-4795-3293; BERTINI, Laura/0000-0001-6335-3880; Rabert, Claudia/0000-0001-8179-9245</t>
  </si>
  <si>
    <t>Ministero dell'Istruzione, Universita e Ricerca Scientifica (MIUR) in the framework of the PNRA (National Program for Antarctic Research) [2013/C1.02, PNRA16_00068]; Ministerio de Educacion, Project Conicyt-PIA [ART11-02]; NEXER [NXR17-0002]</t>
  </si>
  <si>
    <t>Ministero dell'Istruzione, Universita e Ricerca Scientifica (MIUR) in the framework of the PNRA (National Program for Antarctic Research); Ministerio de Educacion, Project Conicyt-PIA; NEXER</t>
  </si>
  <si>
    <t>This research was funded by the Ministero dell'Istruzione, Universita e Ricerca Scientifica (MIUR) in the framework of the PNRA (National Program for Antarctic Research), grant number 2013/C1.02 and PNRA16_00068 (CC), and by the Ministerio de Educacion, Project Conicyt-PIA grant number ART11-02 and by NEXER grant number NXR17-0002 (LAB).</t>
  </si>
  <si>
    <t>10.1007/s00300-021-02801-y</t>
  </si>
  <si>
    <t>WOS:000613973500003</t>
  </si>
  <si>
    <t>Wang, F; Sheng, J; Chen, YX; Xu, JK</t>
  </si>
  <si>
    <t>Wang, Fang; Sheng, Jun; Chen, Yixuan; Xu, Jiakun</t>
  </si>
  <si>
    <t>Microbial diversity and dominant bacteria causing spoilage during storage and processing of the Antarctic krill, Euphausia superba (vol 44, pg 163, 2021)</t>
  </si>
  <si>
    <t>[Wang, Fang; Sheng, Jun; Chen, Yixuan; Xu, Jiakun] Chinese Acad Fishery Sci, Lab Sustainable Dev Polar Fisheries, Minist Agr &amp; Rural Affairs, Yellow Sea Fisheries Res Inst, Qingdao 266071, Peoples R China; [Wang, Fang; Sheng, Jun; Chen, Yixuan; Xu, Jiakun] Pilot Natl Lab Marine Sci &amp; Technol, Lab Marine Drugs &amp; Byprod, Qingdao 266071, Peoples R China; [Chen, Yixuan] Ocean Univ China, Coll Chem &amp; Chem Engn, Qingdao 266100, Peoples R China</t>
  </si>
  <si>
    <t>Chinese Academy of Fishery Sciences; Yellow Sea Fisheries Research Institute, CAFS; Ministry of Agriculture &amp; Rural Affairs; Laoshan Laboratory; Ocean University of China</t>
  </si>
  <si>
    <t>Xu, JK (corresponding author), Chinese Acad Fishery Sci, Lab Sustainable Dev Polar Fisheries, Minist Agr &amp; Rural Affairs, Yellow Sea Fisheries Res Inst, Qingdao 266071, Peoples R China.;Xu, JK (corresponding author), Pilot Natl Lab Marine Sci &amp; Technol, Lab Marine Drugs &amp; Byprod, Qingdao 266071, Peoples R China.</t>
  </si>
  <si>
    <t>xujk@ysfri.ac.cn</t>
  </si>
  <si>
    <t>wang, fang/IAP-8225-2023</t>
  </si>
  <si>
    <t>wang, fang/0000-0001-5062-7854</t>
  </si>
  <si>
    <t>10.1007/s00300-021-02806-7</t>
  </si>
  <si>
    <t>WOS:000613973500001</t>
  </si>
  <si>
    <t>Bell, JB; Laptikhovsky, V; Barnes, DKA; Benedet, R; Bridges, AE; Glass, J; Glass, W; Green, R; Morley, SA; Robertson, S; Robson, GR; Stanton, H; Azzopardi, F; Trueman, CN; Yates, O; Collins, MA</t>
  </si>
  <si>
    <t>Bell, James B.; Laptikhovsky, Vladimir; Barnes, David K. A.; Benedet, Ramon; Bridges, Amelia E.; Glass, James; Glass, Warren; Green, Rodney; Morley, Simon A.; Robertson, Simon; Robson, Georgia R.; Stanton, Harry; Azzopardi, Freja; Trueman, Clive N.; Yates, Oliver; Collins, Martin A.</t>
  </si>
  <si>
    <t>Life History and Ecology of Bluenose Warehou (Hyperoglyphe antarctica, Centrolophidae) in the Southern Atlantic</t>
  </si>
  <si>
    <t>fisheries; seamount; United Kingdom Overseas Territory; Tristan da Cunha; Blue Belt; deep-sea</t>
  </si>
  <si>
    <t>GROWTH; AGE</t>
  </si>
  <si>
    <t>Bluenose warehou (Hyperoglyphe antarctica) is a popular commercial fish in Australia and New Zealand, but its biology and ecology are very poorly known in other regions where it is found. We present here the first life history data for this species from the south Atlantic, focusing upon the exclusive economic zone (EEZ) of the United Kingdom Overseas Territory (UKOT) of Tristan da Cunha (TdC). Here, bluenose is known from several seamounts and island margins, typically occurring in waters between 200 and 1,000 m depth and is the target species of trawl and longline fishery operating since 1997. We use a suite of methods to describe important life history parameters, including length-weight and age-length relationships and size at recruitment, as well as examining commercial longline survey data to uncover habitat preferences of bluenose. This work has formed an important part of the United Kingdom government's Blue Belt Program in TdC. It has underpinned the development of the first stock assessment for this species in the Atlantic, as well as a range of improved conservation measures for some of the more vulnerable species that occur in these areas, including seabirds and cold-water corals.</t>
  </si>
  <si>
    <t>[Bell, James B.; Laptikhovsky, Vladimir; Benedet, Ramon; Bridges, Amelia E.; Robson, Georgia R.; Yates, Oliver; Collins, Martin A.] Ctr Environm Fisheries &amp; Aquaculture Sci, Lowestoft, Suffolk, England; [Barnes, David K. A.; Bridges, Amelia E.; Morley, Simon A.; Collins, Martin A.] British Antarctic Survey, Cambridge, England; [Bridges, Amelia E.] Univ Plymouth, Sch Biol &amp; Marine Sci, Plymouth, Devon, England; [Glass, James; Glass, Warren; Green, Rodney] Tristan da Cunha Govt, Dept Fisheries, Edinburgh Of The Seven S, Tristan Da Cunh, St Helena; [Robertson, Simon] Fish Ageing Serv, Portarlington, Vic, Australia; [Stanton, Harry; Azzopardi, Freja; Trueman, Clive N.] Univ Southampton, Sch Ocean &amp; Earth Sci, Southampton, Hants, England</t>
  </si>
  <si>
    <t>Centre for Environment Fisheries &amp; Aquaculture Science; UK Research &amp; Innovation (UKRI); Natural Environment Research Council (NERC); NERC British Antarctic Survey; University of Plymouth; University of Southampton; NERC National Oceanography Centre</t>
  </si>
  <si>
    <t>Bell, JB (corresponding author), Ctr Environm Fisheries &amp; Aquaculture Sci, Lowestoft, Suffolk, England.</t>
  </si>
  <si>
    <t>james.bell@cefas.co.uk</t>
  </si>
  <si>
    <t>Trueman, Clive N/E-6925-2011; , Martin/ABE-6728-2020</t>
  </si>
  <si>
    <t>, Martin/0000-0001-7132-8650; Azzopardi, Freja/0000-0003-2043-7536; Trueman, Clive N./0000-0002-4995-736X; Bridges, Amelia/0000-0002-1422-9637</t>
  </si>
  <si>
    <t>UK Foreign and Commonwealth Development Office Blue Belt Program; British Antarctic Survey National Capability Program, under the UK's Official Development Assistance Provisions (NERC) [NE/R000107/1]; NERC [bas0100035, bas0100036] Funding Source: UKRI</t>
  </si>
  <si>
    <t>UK Foreign and Commonwealth Development Office Blue Belt Program; British Antarctic Survey National Capability Program, under the UK's Official Development Assistance Provisions (NERC); NERC(UK Research &amp; Innovation (UKRI)Natural Environment Research Council (NERC))</t>
  </si>
  <si>
    <t>This work was funded jointly by the UK Foreign and Commonwealth Development Office Blue Belt Program, and the British Antarctic Survey National Capability Program, under the UK's Official Development Assistance Provisions (NERC grant NE/R000107/1).</t>
  </si>
  <si>
    <t>FEB 2</t>
  </si>
  <si>
    <t>10.3389/fmars.2021.610172</t>
  </si>
  <si>
    <t>QG9MF</t>
  </si>
  <si>
    <t>WOS:000617902700001</t>
  </si>
  <si>
    <t>Na, GS; Zhang, WL; Gao, H; Wang, CX; Li, RJ; Zhao, FQ; Zhang, KY; Hou, C</t>
  </si>
  <si>
    <t>Na, Guangshui; Zhang, Wanli; Gao, Hui; Wang, Caixia; Li, Ruijing; Zhao, Fuqiang; Zhang, Keyu; Hou, Chao</t>
  </si>
  <si>
    <t>Occurrence and antibacterial resistance of culturable antibiotic-resistant bacteria in the Fildes Peninsula, Antarctica</t>
  </si>
  <si>
    <t>Antibiotic resistant bacteria; Antibiotic resistance genes; Occurrence; Resistance characteristics; Fildes Peninsula</t>
  </si>
  <si>
    <t>Quantifying the occurrence of Antarctic antibiotic-resistant bacteria (ARB) is essential for assessing the level of pollution and assessing the baseline or background level of ARB in human uninhabited environments. Animal feces, soil, and sediments were sampled from Fildes Peninsula. The abundance of sulfamethazine- and ciprofloxacin-resistance bacteria and antibotic resistance genes (ARGs) within ARB were investigated. The results showed Ciprofloxacin- and Sulfamethazine-resistant bacteria isolated from samples accounted for the highest abundances of 30 CFU/g and 79.8 CFU/g, respectively. The dominant genus of Sulfamethazine-and quinolone-resistance bacteria was Pseudomonas and Arthrobacter, respectively. 106 ARGs were detected from ARB. Strong positive correlations between mobile genetic elements (MGEs) and ARGs were found, what is relatively novel observation that the mechanism is confirmed to also occur in the Antarctic. This study reveals the compositional characteristics of ARGs of strains in Antarctic, providing support for the source of Antarctic antibiotic resistance and drug resistance mechanisms.</t>
  </si>
  <si>
    <t>[Na, Guangshui; Zhang, Wanli; Wang, Caixia; Zhang, Keyu; Hou, Chao] Shanghai Ocean Univ, Coll Marine Ecol &amp; Environm, Shanghai 201306, Peoples R China; [Na, Guangshui; Zhang, Wanli; Gao, Hui; Wang, Caixia; Li, Ruijing; Zhao, Fuqiang; Zhang, Keyu; Hou, Chao] Natl Marine Environm Monitoring Ctr, Dalian 116023, Peoples R China; [Na, Guangshui] Hainan Trop Ocean Univ, Coll Ecol &amp; Environm, Sanya 572022, Peoples R China; [Na, Guangshui; Zhao, Fuqiang] Dalian Ocean Univ, Coll Marine Technol &amp; Environm, Dalian 116023, Peoples R China</t>
  </si>
  <si>
    <t>Shanghai Ocean University; National Marine Environmental Monitoring Center; Hainan Tropical Ocean University; Dalian Ocean University</t>
  </si>
  <si>
    <t>Na, GS (corresponding author), Shanghai Ocean Univ, Coll Marine Ecol &amp; Environm, Shanghai 201306, Peoples R China.;Gao, H (corresponding author), Natl Marine Environm Monitoring Ctr, Dalian 116023, Peoples R China.</t>
  </si>
  <si>
    <t>gsna@nmemc.org.cn</t>
  </si>
  <si>
    <t>National Key Research and Development Program of China [2019YFD0901104]; National Natural Science Foundation of China [41976222, 42006195, 41406088]; State Key Laboratory of Environmental Chemistry and Ecotoxicology [KF2018-05]; Open Fund for the Key Laboratory of Global Change and Marine Atmospheric Chemistry [GCMAC 1812]; Liaoning BaiQianWan Talents Program [201704]</t>
  </si>
  <si>
    <t>National Key Research and Development Program of China; National Natural Science Foundation of China(National Natural Science Foundation of China (NSFC)); State Key Laboratory of Environmental Chemistry and Ecotoxicology; Open Fund for the Key Laboratory of Global Change and Marine Atmospheric Chemistry; Liaoning BaiQianWan Talents Program</t>
  </si>
  <si>
    <t>The research was supported by the National Key Research and Development Program of China (2019YFD0901104), National Natural Science Foundation of China (41976222, 42006195, 41406088), Open Fund of State Key Laboratory of Environmental Chemistry and Ecotoxicology (KF2018-05), Open Fund for the Key Laboratory of Global Change and Marine Atmospheric Chemistry (GCMAC 1812). The Project is sponsored by Liaoning BaiQianWan Talents Program (201704). We thank LetPub (www.letpub.com) for its linguistic assistance during the preparation of this manuscript.</t>
  </si>
  <si>
    <t>10.1016/j.marpolbul.2020.111829</t>
  </si>
  <si>
    <t>QH3WJ</t>
  </si>
  <si>
    <t>WOS:000618207200007</t>
  </si>
  <si>
    <t>Liu, Q; Zhao, QN; McMinn, A; Yang, EJ; Jiang, Y</t>
  </si>
  <si>
    <t>Liu, Qian; Zhao, Qiannan; McMinn, Andrew; Yang, Eun Jin; Jiang, Yong</t>
  </si>
  <si>
    <t>Planktonic microbial eukaryotes in polar surface waters: recent advances in high-throughput sequencing</t>
  </si>
  <si>
    <t>MARINE LIFE SCIENCE &amp; TECHNOLOGY</t>
  </si>
  <si>
    <t>Marine microbial eukaryotes; High-throughput sequencing; Molecular surveys; Bipolar</t>
  </si>
  <si>
    <t>PROTIST COMMUNITY COMPOSITION; ARCTIC-OCEAN; SOUTHERN-OCEAN; SEA-ICE; CLIMATE-CHANGE; DIVERSITY; BACTERIOPLANKTON; ACIDIFICATION; PICOPLANKTON; VARIABILITY</t>
  </si>
  <si>
    <t>Marine microbial eukaryotes are important primary producers and play critical roles in key biogeochemical cycles. Recent advances in sequencing technology have focused attention on the extent of microbial biodiversity, revealing a huge, previously underestimated phylogenetic diversity with many new lineages. This technology has now become the most important tool to understand the ecological significance of this huge and novel diversity in polar oceans. In particular, high-throughput sequencing technologies have been successfully applied to enumerate and compare marine microbial diversity in polar environments. Here, a brief overview of polar microbial eukaryote diversity, as revealed by in-situ surveys of the high-throughput sequencing on 18S rRNA gene, is presented. Using these 'omic' approaches, further attention still needs to be focused on differences between specific locations and/or entire polar oceans and on bipolar comparisons of diversity and distribution.</t>
  </si>
  <si>
    <t>[Liu, Qian; Zhao, Qiannan; McMinn, Andrew; Jiang, Yong] Ocean Univ China, Inst Evolut &amp; Marine Biodivers, Qingdao 266003, Peoples R China; [Liu, Qian; Zhao, Qiannan; McMinn, Andrew; Jiang, Yong] Ocean Univ China, Coll Marine Life Sci, Qingdao 266003, Peoples R China; [Liu, Qian; Zhao, Qiannan; Jiang, Yong] Ocean Univ China, Key Lab Polar Oceanog &amp; Global Ocean Change, Qingdao 266003, Peoples R China; [McMinn, Andrew] Univ Tasmania, Inst Marine &amp; Antarctic Studies, Hobart, Tas, Australia; [Yang, Eun Jin] Korea Polar Res Inst, Div Polar Ocean Environm, 213-3 Songdo Dong, Incheon 406840, South Korea</t>
  </si>
  <si>
    <t>Ocean University of China; Ocean University of China; Ocean University of China; University of Tasmania; Korea Polar Research Institute (KOPRI)</t>
  </si>
  <si>
    <t>Jiang, Y (corresponding author), Ocean Univ China, Inst Evolut &amp; Marine Biodivers, Qingdao 266003, Peoples R China.;Jiang, Y (corresponding author), Ocean Univ China, Coll Marine Life Sci, Qingdao 266003, Peoples R China.;Jiang, Y (corresponding author), Ocean Univ China, Key Lab Polar Oceanog &amp; Global Ocean Change, Qingdao 266003, Peoples R China.</t>
  </si>
  <si>
    <t>yongjiang@ouc.edu.cn</t>
  </si>
  <si>
    <t>qiannan, Zhao/AAK-6553-2020; Jiang, Yong/AGK-3016-2022</t>
  </si>
  <si>
    <t>Jiang, Yong/0000-0002-4072-1668; Jiang, Yong/0000-0001-6055-488X</t>
  </si>
  <si>
    <t>Natural Science Foundation of China [41676178]; Marine S&amp;T Fund of Shandong Province for Pilot National Laboratory for Marine Science and Technology (Qingdao), China [2018SDKJ0104-4, 2018SDKJ0406-6]; National Key Research and Development Program of China [2017YFA0603200]; Education Department of Shandong Province [S190007170001]</t>
  </si>
  <si>
    <t>Natural Science Foundation of China(National Natural Science Foundation of China (NSFC)); Marine S&amp;T Fund of Shandong Province for Pilot National Laboratory for Marine Science and Technology (Qingdao), China; National Key Research and Development Program of China; Education Department of Shandong Province</t>
  </si>
  <si>
    <t>This work is supported by the Natural Science Foundation of China (no. 41676178), the Marine S&amp;T Fund of Shandong Province for Pilot National Laboratory for Marine Science and Technology (Qingdao), China (nos. 2018SDKJ0104-4, 2018SDKJ0406-6), the National Key Research and Development Program of China (no. 2017YFA0603200), and the Grant from Education Department of Shandong Province (S190007170001).</t>
  </si>
  <si>
    <t>2096-6490</t>
  </si>
  <si>
    <t>2662-1746</t>
  </si>
  <si>
    <t>MAR LIFE SCI TECH</t>
  </si>
  <si>
    <t>Mar. Life Sci. Tech.</t>
  </si>
  <si>
    <t>10.1007/s42995-020-00062-y</t>
  </si>
  <si>
    <t>TH1TK</t>
  </si>
  <si>
    <t>WOS:000671877400010</t>
  </si>
  <si>
    <t>Nie, Y; Pritchard, HD; Liu, Q; Hennig, T; Wang, WL; Wang, XM; Liu, SY; Nepal, S; Samyn, D; Hewitt, K; Chen, XQ</t>
  </si>
  <si>
    <t>Nie, Yong; Pritchard, Hamish D.; Liu, Qiao; Hennig, Thomas; Wang, Wenling; Wang, Xiaoming; Liu, Shiyin; Nepal, Santosh; Samyn, Denis; Hewitt, Kenneth; Chen, Xiaoqing</t>
  </si>
  <si>
    <t>Glacial change and hydrological implications in the Himalaya and Karakoram</t>
  </si>
  <si>
    <t>NATURE REVIEWS EARTH &amp; ENVIRONMENT</t>
  </si>
  <si>
    <t>LAND-TERMINATING GLACIERS; DEBRIS-COVERED GLACIERS; LAKE OUTBURST FLOODS; RISING RIVER FLOWS; HIGH-MOUNTAIN ASIA; UPPER INDUS BASIN; CLIMATE-CHANGE; EVEREST REGION; TARIM RIVER; HINDU-KUSH</t>
  </si>
  <si>
    <t>Glaciers in the Himalaya-Karakoram mountain ranges harbour approximately half of the ice volume in High-mountain Asia and modulate the flow of freshwater to almost 869 million people within the Indus, Tarim, Ganges and Brahmaputra river basins. Since the mid-twentieth century, rising temperatures have led to unsustainably high melting rates for many glaciers, particularly in the Himalaya, temporarily increasing summer meltwater run-off but continuously reducing the ice-storage volume. In this Review, we discuss how and why glaciers and meltwater supplies have changed, how they will likely evolve in the future and how these changes impact water resources and water-related hazards. Heterogeneous glacier retreat is changing streamflow patterns, in turn, affecting the incidence of glacial-lake outburst floods and exacerbating the risk of flooding and water shortages associated with future climate change. These changes could negatively impact downstream populations and infrastructure, including the thriving hydropower sector and some of the world's largest irrigated agriculture systems, by making water flow more extreme and unpredictable. An improved in situ monitoring network for weather, hydrology and glacier change is a crucial requirement for predicting the future of this resource and associated hazards, and their impact on regional water, energy and food security. Glaciers in the Himalaya and Karakoram mountain ranges provide freshwater and hydropower to millions of people but are also melting at unsustainably high rates. This Review discusses recent and projected changes in glacier melt and resulting implications for regional water-related hazards and water resources. Key pointsHimalayan glaciers have lost mass at an accelerating rate in recent decades, in contrast with relatively stable Karakoram glaciers.Under a range of climate change scenarios, the run-off of glacier meltwater in the Himalaya and Karakoram is likely to peak in the next few decades.After glacial run-off peaks, run-off will decline as the glaciers in both mountain ranges shrink, although the magnitude and timing of the peak and the rate of subsequent decline are uncertain.Basin run-off regimes will become more rain-dominated as the modulating effect of glaciers decreases, and this is likely to increase the impact of droughts and floods.The frequency of glacial-lake outburst floods and run-off floods have increased recently and could increase further in coming decades, threatening existing and planned hydropower infrastructure downstream.A lower-emissions climate change pathway would reduce the rate of glacier loss, increasing the time available for adaptation. This pathway would have considerable socio-economic benefits.</t>
  </si>
  <si>
    <t>[Nie, Yong; Liu, Qiao; Chen, Xiaoqing] Chinese Acad Sci, Inst Mt Hazards &amp; Environm, Chengdu, Peoples R China; [Pritchard, Hamish D.] British Antarctic Survey, Cambridge, England; [Hennig, Thomas] Philipps Univ Marburg, Fac Geog, Marburg, Germany; [Wang, Wenling; Liu, Shiyin] Yunnan Univ, Inst Int Rivers &amp; Ecosecur, Kunming, Yunnan, Peoples R China; [Wang, Xiaoming] Chinese Acad Sci, Northwest Inst Ecoenvironm &amp; Resources, State Key Lab Cryospher Sci, Lanzhou, Peoples R China; [Nepal, Santosh; Samyn, Denis] Int Ctr Integrated Mt Dev, Kathmandu, Nepal; [Hewitt, Kenneth] Wilfrid Laurier Univ, Dept Geog &amp; Environm Studies, Waterloo, ON, Canada</t>
  </si>
  <si>
    <t>Chinese Academy of Sciences; Institute of Mountain Hazards &amp; Environment, CAS; UK Research &amp; Innovation (UKRI); Natural Environment Research Council (NERC); NERC British Antarctic Survey; Philipps University Marburg; Yunnan University; Chinese Academy of Sciences; Wilfrid Laurier University</t>
  </si>
  <si>
    <t>Nie, Y (corresponding author), Chinese Acad Sci, Inst Mt Hazards &amp; Environm, Chengdu, Peoples R China.</t>
  </si>
  <si>
    <t>nieyong@imde.ac.cn</t>
  </si>
  <si>
    <t>Nepal, Santosh/GSO-2458-2022; Sun, Meng/M-7203-2019; Liu, Shiyin/AAT-4278-2020; Wang, Xiaoming/A-3804-2008</t>
  </si>
  <si>
    <t>Sun, Meng/0000-0002-8188-9264; Liu, Shiyin/0000-0002-9625-7497; Wang, Xiaoming/0000-0002-6648-0057; nie, yong/0000-0002-6075-8564</t>
  </si>
  <si>
    <t>Strategic Priority Research Program of the Chinese Academy of Sciences [XDA20030301]; second Tibetan Plateau Scientific Expedition and Research Program [2019QZKK0603]; Chinese Academy of Sciences Light of West China; Key Lab of Mountain Environment Programs; National Natural Science Foundation of China [41571104, 41971153]; Foundation of Youth Innovation Promotion Association, Chinese Academy of Sciences [2017425]; NERC [bas0100034] Funding Source: UKRI</t>
  </si>
  <si>
    <t>Strategic Priority Research Program of the Chinese Academy of Sciences(Chinese Academy of Sciences); second Tibetan Plateau Scientific Expedition and Research Program; Chinese Academy of Sciences Light of West China; Key Lab of Mountain Environment Programs; National Natural Science Foundation of China(National Natural Science Foundation of China (NSFC)); Foundation of Youth Innovation Promotion Association, Chinese Academy of Sciences; NERC(UK Research &amp; Innovation (UKRI)Natural Environment Research Council (NERC))</t>
  </si>
  <si>
    <t>We acknowledge Fanny Brun for providing data on glacier change in Fig. 2 and Lu Zeng for technical support in creating Figs. 3,6. This study was supported by the Strategic Priority Research Program of the Chinese Academy of Sciences (grant no. XDA20030301), the second Tibetan Plateau Scientific Expedition and Research Program (grant 2019QZKK0603), the Chinese Academy of Sciences Light of West China and Key Lab of Mountain Environment Programs, the National Natural Science Foundation of China (grants 41571104 and 41971153) and Foundation of Youth Innovation Promotion Association, Chinese Academy of Sciences (grant no. 2017425).</t>
  </si>
  <si>
    <t>2662-138X</t>
  </si>
  <si>
    <t>NAT REV EARTH ENV</t>
  </si>
  <si>
    <t>Nat. Rev. Earth Environ.</t>
  </si>
  <si>
    <t>10.1038/s43017-020-00124-w</t>
  </si>
  <si>
    <t>TH1SG</t>
  </si>
  <si>
    <t>WOS:000671874300005</t>
  </si>
  <si>
    <t>Savas, C; Falco, G; Dovis, F</t>
  </si>
  <si>
    <t>Savas, Caner; Falco, Gianluca; Dovis, Fabio</t>
  </si>
  <si>
    <t>A Comparative Performance Analysis of GPS L1 C/A, L5 Acquisition and Tracking Stages Under Polar and Equatorial Scintillations</t>
  </si>
  <si>
    <t>IEEE TRANSACTIONS ON AEROSPACE AND ELECTRONIC SYSTEMS</t>
  </si>
  <si>
    <t>Global navigation satellite system; Receivers; Global Positioning System; Phase locked loops; Robustness; Monitoring; Indexes; Acquisition; carrier phase tracking; ionospheric scintillation; kalman filter (KF) based tracking</t>
  </si>
  <si>
    <t>IONOSPHERIC SCINTILLATIONS; SECONDARY CODE; HIGH-LATITUDE; GNSS</t>
  </si>
  <si>
    <t>This article provides a comparative performance analysis of different acquisition and tracking methods of GPS L1 C/A and GPS L5 signals testing their robustness to the presence of scintillations in the propagation environment. This article compares the different acquisition methods in terms of probabilities of detection/false alarm, peak-to-noise floor ratios for the acquired signal and execution time, assessing the performance loss in the presence of scintillations. Moreover, robust tracking architectures that are optimized to operate in a harsh ionospheric environment have been employed. The performance of the carrier tracking methods, namely, traditional phase-locked loop (PLL) and Kalman filter based-PLL, have been compared in terms of the standard deviation of Doppler estimation, phase error, phase lock indicator (PLI), and phase jitter. The article is based on real global navigation satellite systems (GNSS) signals affected by significant phase and amplitude scintillation effects, collected at the South African Antarctic research base (SANAE IV) and Brazilian Centro de Radioastronomia e Astrofisica Mackenzie (CRAAM) monitoring stations. Performance is assessed exploiting a fully software GNSS receiver, which implements the different architectures. The comparative analysis allows to choose the best setting of the acquisition and tracking parameters, in order to allow the operation of signal acquisition and tracking at a required performance level under scintillation conditions.</t>
  </si>
  <si>
    <t>[Savas, Caner; Dovis, Fabio] Politecn Torino, Dept Elect &amp; Telecommun, I-10129 Turin, Italy; [Falco, Gianluca] LINKS Fdn, I-10138 Turin, Italy</t>
  </si>
  <si>
    <t>Polytechnic University of Turin</t>
  </si>
  <si>
    <t>Savas, C (corresponding author), Politecn Torino, Dept Elect &amp; Telecommun, I-10129 Turin, Italy.</t>
  </si>
  <si>
    <t>caner.savas@polito.it; gianluca.falco@linksfoundation.com; fabio.dovis@polito.it</t>
  </si>
  <si>
    <t>Dovis, Fabio/F-3843-2012; SAVAS, Caner/AAJ-7383-2021</t>
  </si>
  <si>
    <t>Dovis, Fabio/0000-0001-6078-9099; SAVAS, Caner/0000-0001-7626-9899; FALCO, GIANLUCA/0000-0002-3370-7091</t>
  </si>
  <si>
    <t>European Union's Horizon 2020 Research and Innovation Programme through the TREASURE project under the Marie Skodowska-Curie Actions [722023]</t>
  </si>
  <si>
    <t>European Union's Horizon 2020 Research and Innovation Programme through the TREASURE project under the Marie Skodowska-Curie Actions</t>
  </si>
  <si>
    <t>This work was supported by European Union's Horizon 2020 Research and Innovation Programme through the TREASURE project under the Marie Skodowska-Curie Actions under Grant 722023.</t>
  </si>
  <si>
    <t>0018-9251</t>
  </si>
  <si>
    <t>1557-9603</t>
  </si>
  <si>
    <t>IEEE T AERO ELEC SYS</t>
  </si>
  <si>
    <t>IEEE Trans. Aerosp. Electron. Syst.</t>
  </si>
  <si>
    <t>10.1109/TAES.2020.3011999</t>
  </si>
  <si>
    <t>Engineering, Aerospace; Engineering, Electrical &amp; Electronic; Telecommunications</t>
  </si>
  <si>
    <t>Engineering; Telecommunications</t>
  </si>
  <si>
    <t>QG2NJ</t>
  </si>
  <si>
    <t>WOS:000617426500017</t>
  </si>
  <si>
    <t>Riedel, CP; Cavallo, SM; Parsons, DB</t>
  </si>
  <si>
    <t>Riedel, Christopher P.; Cavallo, Steven M.; Parsons, David B.</t>
  </si>
  <si>
    <t>Mesoscale Prediction in the Antarctic Using Cycled Ensemble Data Assimilation</t>
  </si>
  <si>
    <t>MONTHLY WEATHER REVIEW</t>
  </si>
  <si>
    <t>Antarctica; Data assimilation; Numerical analysis; modeling</t>
  </si>
  <si>
    <t>NUMERICAL WEATHER PREDICTION; ADAPTIVE COVARIANCE INFLATION; VARIATIONAL DATA ASSIMILATION; GLOBAL POSITIONING SYSTEM; SURFACE MASS-BALANCE; MCMURDO DRY VALLEYS; GRAVITY-WAVE DRAG; SEA-ICE EXTENT; KALMAN FILTER; PART I</t>
  </si>
  <si>
    <t>Due in part to sparse conventional observation coverage in the Antarctic region, atmospheric studies in this part of the globe often rely more heavily on numerical models. Model representation of atmospheric processes in the Antarctic remains inferior to representation in the Northern Hemisphere midlatitudes. Poor representation may be related to inaccurate model analyses that do not optimally utilize the limited observation network. Here, the ensemble Kalman filter (EnKF) data assimilation (DA) technique is employed in lieu of variational DA techniques to investigate impacts on model analysis accuracy. This DA technique [provided by the Data Assimilation Research Testbed (DART)] is coupled with a polar-modified, mesoscale numerical model that together compose Antarctic-DART (A-DART). A-DART is cycled with DA and run over a 1-month period, assimilating only conventional observations. Results show relatively good agreement between A-DART and observations. Comparison with radiosonde temperature and geostationary satellite wind observations shows large differences between RMSE and ensemble spread in the upper troposphere. The analysis increment shows large values in the eastern Atlantic-western Indian Oceans associated with geostationary satellite wind observations. Further evaluation determines that geostationary satellite wind observations may be biased in this region. Overall, this baseline demonstration of ensemble-based modeling applied in the Antarctic produced short-term forecasts that were competitive with two operational modeling systems while assimilating on the O(10(6)) fewer observations. A-DART is capable of assimilating additional observations for a variety of applications. This study highlights the capability of applying this ensemble-based DA technique for process and forecast studies in an observation-sparse region.</t>
  </si>
  <si>
    <t>[Riedel, Christopher P.; Cavallo, Steven M.; Parsons, David B.] Univ Oklahoma, Sch Meteorol, Norman, OK 73019 USA</t>
  </si>
  <si>
    <t>University of Oklahoma System; University of Oklahoma - Norman</t>
  </si>
  <si>
    <t>Riedel, CP (corresponding author), Univ Oklahoma, Sch Meteorol, Norman, OK 73019 USA.</t>
  </si>
  <si>
    <t>christopher.p.riedel-1@ou.edu</t>
  </si>
  <si>
    <t>Parsons, David/0000-0002-7642-1085; Cavallo, Steven/0000-0002-9032-2542</t>
  </si>
  <si>
    <t>National Science Foundation Office of Polar Programs [1143790]; Directorate For Geosciences; Office of Polar Programs (OPP) [1143790]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</si>
  <si>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t>
  </si>
  <si>
    <t>This work was supported by National Science Foundation Office of Polar Programs Grant 1143790. The authors thank Kevin Manning of NCAR for providing the polar-modified WRF Model version source code used within AMPS in 2010. The authors thank Jeffrey Anderson and the DAReS group for thoughtful discussions and comments regarding this work. The authors would like to extend their gratitude to Jason Furtado for his assistance developing the method of significance testing for the linear regressions. Comments from anonymous peer reviewers greatly improved this work.</t>
  </si>
  <si>
    <t>0027-0644</t>
  </si>
  <si>
    <t>1520-0493</t>
  </si>
  <si>
    <t>MON WEATHER REV</t>
  </si>
  <si>
    <t>Mon. Weather Rev.</t>
  </si>
  <si>
    <t>10.1175/MWR-D-20-0009.1</t>
  </si>
  <si>
    <t>RW2WK</t>
  </si>
  <si>
    <t>WOS:000646388200007</t>
  </si>
  <si>
    <t>Couston, LA; Hester, E; Favier, B; Taylor, JR; Holland, PR; Jenkins, A</t>
  </si>
  <si>
    <t>Couston, Louis-Alexandre; Hester, Eric; Favier, Benjamin; Taylor, John R.; Holland, Paul R.; Jenkins, Adrian</t>
  </si>
  <si>
    <t>Topography generation by melting and freezing in a turbulent shear flow</t>
  </si>
  <si>
    <t>geophysical and geological flows; turbulent flows; solidification/melting</t>
  </si>
  <si>
    <t>BOUNDARY-LAYER BENEATH; ICE-SHELF; CONVECTION; DRIVEN; SIMULATION; INTERFACE; STABILITY; SCALLOPS; RIPPLES</t>
  </si>
  <si>
    <t>We report an idealized numerical study of a melting and freezing solid adjacent to a turbulent, buoyancy-affected shear flow, in order to improve our understanding of topography generation by phase changes in the environment. We use the phase-field method to dynamically couple the heat equation for the solid with the Navier-Stokes equations for the fluid. We investigate the evolution of an initially flat and horizontal solid boundary overlying a pressure-driven turbulent flow. We assume a linear equation of state for the fluid and change the sign of the thermal expansion coefficient, such that the background density stratification is either stable, neutral or unstable. We find that channels aligned with the direction of the mean flow are generated spontaneously by phase changes at the fluid-solid interface. Streamwise vortices in the fluid, the interface topography and the temperature field in the solid influence each other and adjust until a statistical steady state is obtained. The crest-to-trough amplitude of the channels is larger than approximately 10 delta(nu) in all cases, with delta(nu) the viscous length scale, but is much larger and more persistent for an unstable stratification than for a neutral or stable stratification. This happens because a stable stratification makes the cool melt fluid buoyant such that it shields the channel from further melting, whereas an unstable stratification makes the cool melt fluid sink, inducing further melting by rising hot plumes. The statistics of flow velocities and melt rates are investigated, and we find that channels and keels emerging in our simulations do not significantly change the mean drag coefficient.</t>
  </si>
  <si>
    <t>[Couston, Louis-Alexandre; Holland, Paul R.; Jenkins, Adrian] British Antarctic Survey, Cambridge CB3 0ET, England; [Couston, Louis-Alexandre; Taylor, John R.] Univ Cambridge, Dept Appl Math &amp; Theoret Phys, Cambridge CB3 0WA, England; [Couston, Louis-Alexandre] Univ Claude Bernard, Univ Lyon, Ens Lyon, CNRS,Lab Phys, F-69342 Lyon, France; [Hester, Eric] Univ Sydney, Dept Math &amp; Stat, Sydney, NSW 2006, Australia; [Favier, Benjamin] Aix Marseille Univ, CNRS, Cent Marseille, IRPHE, Marseille, France; [Jenkins, Adrian] Northumbria Univ, Dept Geog &amp; Environm Sci, Newcastle Upon Tyne NE1 8ST, Tyne &amp; Wear, England</t>
  </si>
  <si>
    <t>UK Research &amp; Innovation (UKRI); Natural Environment Research Council (NERC); NERC British Antarctic Survey; University of Cambridge; Universite Paris Cite; Centre National de la Recherche Scientifique (CNRS); Ecole Normale Superieure de Lyon (ENS de LYON); Universite Claude Bernard Lyon 1; University of Sydney; Aix-Marseille Universite; Centre National de la Recherche Scientifique (CNRS); Northumbria University</t>
  </si>
  <si>
    <t>Couston, LA (corresponding author), British Antarctic Survey, Cambridge CB3 0ET, England.;Couston, LA (corresponding author), Univ Cambridge, Dept Appl Math &amp; Theoret Phys, Cambridge CB3 0WA, England.;Couston, LA (corresponding author), Univ Claude Bernard, Univ Lyon, Ens Lyon, CNRS,Lab Phys, F-69342 Lyon, France.</t>
  </si>
  <si>
    <t>Holland, Paul R/G-2796-2012; Jenkins, Adrian/IUN-2406-2023; Favier, Benjamin/Q-5146-2019; Hester, Eric W/JOK-9716-2023; Couston, Louis-Alexandre/ABC-7665-2020</t>
  </si>
  <si>
    <t>Favier, Benjamin/0000-0002-1184-2989; Hester, Eric W/0000-0003-1651-9141; Couston, Louis-Alexandre/0000-0002-2184-2472; Jenkins, Adrian/0000-0002-9117-0616</t>
  </si>
  <si>
    <t>European Union's Horizon 2020 research and innovation programme under the Marie Sklodowska-Curie grant [793450]; PRACE; NERC [bas0100033, NE/N010027/1] Funding Source: UKRI; Marie Curie Actions (MSCA) [793450] Funding Source: Marie Curie Actions (MSCA)</t>
  </si>
  <si>
    <t>European Union's Horizon 2020 research and innovation programme under the Marie Sklodowska-Curie grant(Marie Curie Actions); PRACE; NERC(UK Research &amp; Innovation (UKRI)Natural Environment Research Council (NERC)); Marie Curie Actions (MSCA)(Marie Curie Actions)</t>
  </si>
  <si>
    <t>We gratefully acknowledge fruitful discussions with members of the ISOBL group at the British Antarctic Survey and the University of Cambridge. This project has received funding from the European Union's Horizon 2020 research and innovation programme under the Marie Sklodowska-Curie grant agreement 793450. We acknowledge PRACE for awarding us access to Marconi at CINECA, Italy.</t>
  </si>
  <si>
    <t>FEB 1</t>
  </si>
  <si>
    <t>A44</t>
  </si>
  <si>
    <t>10.1017/jfm.2020.1064</t>
  </si>
  <si>
    <t>SE1VW</t>
  </si>
  <si>
    <t>Green Published, Green Submitted, Green Accepted, hybrid</t>
  </si>
  <si>
    <t>WOS:000651863800001</t>
  </si>
  <si>
    <t>Dasgupta, P; Jain, P</t>
  </si>
  <si>
    <t>Dasgupta, Paramita; Jain, Pankaj</t>
  </si>
  <si>
    <t>General Treatment of Reflection of Spherical Electromagnetic Waves from Spherical, Uneven Antarctic Surface and Its Implications for the Mystery Events Detected by ANITA</t>
  </si>
  <si>
    <t>BULLETIN OF THE LEBEDEV PHYSICS INSTITUTE</t>
  </si>
  <si>
    <t>ultra high energy cosmic rays; ANITA; HiCal; radio waves</t>
  </si>
  <si>
    <t>We develop a general formalism to study the reflection of radio waves, generated by ultra high energy cosmic ray events, from the Antarctic ice surface. Our formalism is based on plane wave decomposition of spherical waves and is applicable to the observations made by the ANITA detector. We find that our numerical result shows good agreement with the calibration data obtained by the High-Altitude Calibration (HiCal) experiment. ce features such as the local sastrugi. We incorporate these roughness models to investigate whether the non-uniform surface roughness of Antarctica can explain these anomalous events.</t>
  </si>
  <si>
    <t>[Dasgupta, Paramita; Jain, Pankaj] Indian Inst Technol Kanpur, Dept Phys, Kanpur 208016, Uttar Pradesh, India</t>
  </si>
  <si>
    <t>Indian Institute of Technology System (IIT System); Indian Institute of Technology (IIT) - Kanpur</t>
  </si>
  <si>
    <t>Dasgupta, P; Jain, P (corresponding author), Indian Inst Technol Kanpur, Dept Phys, Kanpur 208016, Uttar Pradesh, India.</t>
  </si>
  <si>
    <t>paromita@iitk.ac.in; pkjain@iitk.ac.in</t>
  </si>
  <si>
    <t>Jain, Pankaj/H-5538-2013</t>
  </si>
  <si>
    <t>Science and Engineering Research Board [EMR/2016/004070]; Scheme for Promotion of Academic and Research Collaboration, Government of India [P250]</t>
  </si>
  <si>
    <t>Science and Engineering Research Board; Scheme for Promotion of Academic and Research Collaboration, Government of India</t>
  </si>
  <si>
    <t>This work was supported by the Science and Engineering Research Board, grant no. EMR/2016/004070 and the Scheme for Promotion of Academic and Research Collaboration, grant no. P250, Government of India.</t>
  </si>
  <si>
    <t>1068-3356</t>
  </si>
  <si>
    <t>1934-838X</t>
  </si>
  <si>
    <t>B LEBEDEV PHYS INST+</t>
  </si>
  <si>
    <t>Bull. Lebedev Phys. Inst.</t>
  </si>
  <si>
    <t>10.3103/S1068335621020020</t>
  </si>
  <si>
    <t>RX2RD</t>
  </si>
  <si>
    <t>WOS:000647070500007</t>
  </si>
  <si>
    <t>Zahri, KNM; Zulkharnain, A; Gomez-Fuentes, C; Sabri, S; Ahmad, SA</t>
  </si>
  <si>
    <t>Zahri, Khadijah Nabilah Mohd; Zulkharnain, Azham; Gomez-Fuentes, Claudio; Sabri, Suriana; Ahmad, Siti Aqlima</t>
  </si>
  <si>
    <t>Study of growth kinetics of Antarctic bacterial community for biodegradation of waste canola oil</t>
  </si>
  <si>
    <t>DESALINATION AND WATER TREATMENT</t>
  </si>
  <si>
    <t>Kinetic model; Antarctic community; Salinity; Nitrogen source; Yeast extract; Waste canola oil</t>
  </si>
  <si>
    <t>SUBSTRATE-INHIBITION; PHENOL DEGRADATION; CONTAMINATED SOIL; BIOREMEDIATION; OPTIMIZATION; MODELS; DIESEL; TEMPERATURE; LIMITATIONS; GENERATION</t>
  </si>
  <si>
    <t>The growth of bacteria is an important aspect in the biodegradation of pollutants, including hydrocarbons, since hydrocarbon pollution has become an increasingly serious environmental problem in cold regions. The present study investigates factors, such as salinity, nitrogen, yeast extract and waste canola oil that caused inhibitory effect at high concentration on the growth of Antarctic bacterial community known as BS14. Kinetic parameters were calculated using models that consider the substrate's inhibitory effect on bacterial growth; this includes Haldane, Aiba, Teissier and Yano and Koga models. The data were regressed and well-fitted with Teissier model in the inhibitory effect of salt, yeast extract and waste canola oil (WCO) concentrations of -89.908, -70.746 and -57.850, respectively, for the Akaike Information Criterion (AICc) values, whereas the nitrogen source was fitted with Aiba model with AICc value at -84.583. Maximum specific growth rate (mu(max)) for each factor exhibited various speeds in cell growth rate where the mu(max) for the inhibition of growth by salt, nitrogen, yeast extract and WCO were at 1.004, 0.131, 1.005 and 0.544 h(-1), respectively. The growth rate of Antarctic bacterial community BS14 was evaluated through non-linear regression model and the concentrations of substrate inhibition were identified.</t>
  </si>
  <si>
    <t>[Zahri, Khadijah Nabilah Mohd; Ahmad, Siti Aqlima] Univ Putra Malaysia, Fac Biotechnol &amp; Biomol Sci, Dept Biochem, Upm Serdang 43400, Selangor, Malaysia; [Zulkharnain, Azham] Shibaura Inst Technol, Coll Syst Engn &amp; Sci, Dept Biosci &amp; Engn, Minuma ku, 307 Fukasaku, Saitama 3378570, Japan; [Gomez-Fuentes, Claudio] Univ Magallanes, Dept Chem Engn, Avda Bulnes 01855, Punta Arenas, Region De Magal, Chile; [Sabri, Suriana] Univ Putra Malaysia, Fac Biotechnol &amp; Biomol Sci, Dept Microbiol, Upm Serdang 43400, Selangor, Malaysia; [Ahmad, Siti Aqlima] Univ Malaya, Natl Antarctic Res Ctr, B303 Level 3,Block B,IPS Bldg, Kuala Lumpur 50603, Malaysia</t>
  </si>
  <si>
    <t>Universiti Putra Malaysia; Shibaura Institute of Technology; Universidad de Magallanes; Universiti Putra Malaysia; Universiti Malaya</t>
  </si>
  <si>
    <t>Ahmad, SA (corresponding author), Univ Putra Malaysia, Fac Biotechnol &amp; Biomol Sci, Dept Biochem, Upm Serdang 43400, Selangor, Malaysia.;Ahmad, SA (corresponding author), Univ Malaya, Natl Antarctic Res Ctr, B303 Level 3,Block B,IPS Bldg, Kuala Lumpur 50603, Malaysia.</t>
  </si>
  <si>
    <t>khadijahnabilah95@gmail.com; azham@shibaura-it.ac.jp; claudio.gomez@umag.cl; suriana@upm.edu.my; aqlima@upm.edu.my</t>
  </si>
  <si>
    <t>Sabri, Suriana/AAT-5269-2021; Zahri, Khadijah Nabilah Mohd/AEQ-4594-2022</t>
  </si>
  <si>
    <t>Sabri, Suriana/0000-0003-4027-5730; Zahri, Khadijah/0009-0000-2963-3109</t>
  </si>
  <si>
    <t>Universiti Putra Malaysia (PUTRA Berimpak) [9678900]; Centro de Investigacion y Monitoreo Ambiental Antartico (CIMAA)</t>
  </si>
  <si>
    <t>Universiti Putra Malaysia (PUTRA Berimpak); Centro de Investigacion y Monitoreo Ambiental Antartico (CIMAA)</t>
  </si>
  <si>
    <t>This work was supported by Universiti Putra Malaysia (PUTRA Berimpak; 9678900) and Centro de Investigacion y Monitoreo Ambiental Antartico (CIMAA). The authors also would like to thank Chilean Army and the Antarctic General Bernardo O'Higgins Station staff 2018 especially the Comandante de la Base O'Higgins; Teniente Coronel Jose Ignacio Alvarado Camps, the Comandante de la seccion de exploracion y rescate O'higgins; Capitan Rene Salgado Rebolledo and the staff; especially the Chef; Suboficial Juan David Sandoval Navarrete and Sargento Juan Eduardo Cortinez Padovani.</t>
  </si>
  <si>
    <t>DESALINATION PUBL</t>
  </si>
  <si>
    <t>HOPKINTON</t>
  </si>
  <si>
    <t>36 WALCOTT VALLEY DRIVE,, HOPKINTON, MA 01748 USA</t>
  </si>
  <si>
    <t>1944-3994</t>
  </si>
  <si>
    <t>1944-3986</t>
  </si>
  <si>
    <t>DESALIN WATER TREAT</t>
  </si>
  <si>
    <t>Desalin. Water Treat.</t>
  </si>
  <si>
    <t>10.5004/dwt.2021.26692</t>
  </si>
  <si>
    <t>Engineering, Chemical; Water Resources</t>
  </si>
  <si>
    <t>Engineering; Water Resources</t>
  </si>
  <si>
    <t>SD0PA</t>
  </si>
  <si>
    <t>WOS:000651063500012</t>
  </si>
  <si>
    <t>Miller, MJ; Tsukamoto, K; Leis, JM</t>
  </si>
  <si>
    <t>Miller, Michael J.; Tsukamoto, Katsumi; Leis, Jeffrey M.</t>
  </si>
  <si>
    <t>Shallow larval depth-distribution and life history characteristics of the tropical congrid eel Ariosoma scheelei in the Northwest Coral Sea</t>
  </si>
  <si>
    <t>Congridae; Ariosoma scheelei; Larval distribution; Vertical distribution; Life history; Northwest coral sea</t>
  </si>
  <si>
    <t>CONGER-MYRIASTER LEPTOCEPHALI; WESTERN NORTH; ANGUILLIFORM LEPTOCEPHALI; VERTICAL-DISTRIBUTION; SARGASSO SEA; GEOGRAPHIC-VARIATION; SPECIES ASSEMBLAGES; OCEAN CIRCULATION; CONTINENTAL-SHELF; GENUS ARIOSOMA</t>
  </si>
  <si>
    <t>Small-sized eels of the Tropical Conger, Ariosoma scheelei, appear to be common in shallow Indo-Pacific tropical sheltered-bay and lagoon-type habitats when they are sampled appropriately and their larvae are abundant offshore of these areas, but little is known about their biology. Collections of about 7800 likely A. scheelei larvae in May 1997 using a 2-mm mesh 70 m(2) mouth-opening trawl with a multiple opening-and-closing codend system at 13 Northwest Coral Sea (NWCS) areas (5 upper200 m sampling depth-layers, 2 nighttime trawl-deployments/area) and a surface net were used to examine the vertical and geographic distributions of abundance and size of the leptocephali and metamorphosing larvae. 76.5% of trawl-caught A. scheelei leptocephali (33-169 mm, 95.3 +/- 22.9 mm) were collected in the 0-12 m depth-layer and 927 (43-151 mm, 83.6 +/- 19.5 mm) were examined from surface catches. Some larvae were caught at 12-25 m (12.3%) and 25-50 m (10.1%), but few were caught at 50-100 m (0.77%) and 100-200 m (0.12%). Leptocephali were most abundant offshore in the southeast and metamorphosing larvae (N=532, 82-146 mm) were most abundant in the northwest near the large shelf areas of Torres Strait and the Gulf of Papua. Regional size variations, proportions of metamorphosing larvae, and currents entering/exiting the NWCS suggested that larvae experience transport among areas, and have potential for retention by the Coral Sea Gyre or other recirculations. The high larval abundance of this small-size eel that reaches reproductive maturity at sizes &lt;200 mm suggest it is more abundant in shallow tropical areas than is widely known. (c) 2021 Published by Elsevier B.V.</t>
  </si>
  <si>
    <t>[Miller, Michael J.; Tsukamoto, Katsumi] Univ Tokyo, Grad Sch Agr &amp; Life Sci, Dept Aquat Biosci, Bunkyo Ku, 1-1-1 Yayoi, Tokyo 1138657, Japan; [Miller, Michael J.; Tsukamoto, Katsumi] Nihon Univ, Coll Bioresource Sci, Dept Marine Sci &amp; Resources, 1866 Kameino, Fujisawa, Kanagawa 2520880, Japan; [Leis, Jeffrey M.] Univ Tasmania, Inst Marine &amp; Antarctic Studies, Hobart, Tas 7001, Australia; [Leis, Jeffrey M.] Australian Museum Res Inst, Ichthyol, Sydney, NSW 2001, Australia</t>
  </si>
  <si>
    <t>University of Tokyo; Nihon University; University of Tasmania; Australian Museum</t>
  </si>
  <si>
    <t>Miller, MJ (corresponding author), Univ Tokyo, Grad Sch Agr &amp; Life Sci, Dept Aquat Biosci, Bunkyo Ku, 1-1-1 Yayoi, Tokyo 1138657, Japan.</t>
  </si>
  <si>
    <t>michael.miller@marine.fs.a.u-tokyo.ac.jp</t>
  </si>
  <si>
    <t>Leis, Jeffrey M/JCE-0397-2023; Leis, Jeffrey M/E-7502-2012</t>
  </si>
  <si>
    <t>Leis, Jeffrey M/0000-0003-0603-3447; Leis, Jeffrey M/0000-0003-0603-3447; Miller, Michael/0000-0002-4949-6903</t>
  </si>
  <si>
    <t>Australian Museum, in Sydney Australia</t>
  </si>
  <si>
    <t>This research was funded by a Visiting Collections Fellowship to MJM from the Australian Museum, in Sydney Australia.</t>
  </si>
  <si>
    <t>10.1016/j.rsma.2021.101610</t>
  </si>
  <si>
    <t>RN6YO</t>
  </si>
  <si>
    <t>WOS:000640498500011</t>
  </si>
  <si>
    <t>McCarthy, A; Tugend, J; Mohn, G</t>
  </si>
  <si>
    <t>McCarthy, Anders; Tugend, Julie; Mohn, Geoffroy</t>
  </si>
  <si>
    <t>Formation of the Alpine Orogen by Amagmatic Convergence and Assembly of Previously Rifted Lithosphere</t>
  </si>
  <si>
    <t>ELEMENTS</t>
  </si>
  <si>
    <t>amagmatic subduction; Ampferer-type; Benioff-type; hyper-thinned basins; continental subduction</t>
  </si>
  <si>
    <t>SUBDUCTION INITIATION; WESTERN ALPS; METAMORPHISM; EVOLUTION; MARGINS</t>
  </si>
  <si>
    <t>The tectonic and magmatic characteristics of the Alps and Pyrenees during convergence are quite distinct from characteristics associated with classic Benioff-type oceanic subduction. From the initiation of subduction at passive margins until the onset of continental collision, the closure of the Western Tethys never produced a long-lived magmatic arc. This is a consequence of the 3-D architecture of the Western Tethys (a series of hyper-thinned basins and continental blocks) and its narrow width (&lt;500-700 km) prior to convergence. Subduction primarily involved the slow and amagmatic subduction of a narrow domain of dry lithospheric mantle. This type of congested Ampferer subduction led to the sequential and coherent accretion of inherited rifted domains which today form the Alpine and Pyrenean orogens.</t>
  </si>
  <si>
    <t>[McCarthy, Anders] Univ Bristol, Sch Earth Sci, Bristol BS8 1RJ, Avon, England; [McCarthy, Anders] Univ Tasmania, Inst Marine &amp; Antarctic Studies, Battery Point 7004, Australia; [Tugend, Julie] Sorbonne Univ, CNRS INSU, Inst Sci Terre Paris, ISTeP UMR 7193, F-75005 Paris, France; [Mohn, Geoffroy] CY Cergy Paris Univ, GEC, F-95000 Cergy, France</t>
  </si>
  <si>
    <t>University of Bristol; University of Tasmania; Sorbonne Universite; Centre National de la Recherche Scientifique (CNRS); CNRS - National Institute for Earth Sciences &amp; Astronomy (INSU); CY Cergy Paris Universite</t>
  </si>
  <si>
    <t>Tugend, J (corresponding author), Sorbonne Univ, CNRS INSU, Inst Sci Terre Paris, ISTeP UMR 7193, F-75005 Paris, France.</t>
  </si>
  <si>
    <t>julie.tugend@gmail.com; Geoffroy.Mohn@u-cergy.fr</t>
  </si>
  <si>
    <t>SNFS [P400P2_180794]; TOTAL SA; Swiss National Science Foundation (SNF) [P400P2_180794] Funding Source: Swiss National Science Foundation (SNF)</t>
  </si>
  <si>
    <t>SNFS; TOTAL SA(Total SA); Swiss National Science Foundation (SNF)(Swiss National Science Foundation (SNSF))</t>
  </si>
  <si>
    <t>AM acknowledges support of SNFS grant P400P2_180794. JT acknowledges the Orogen project and funding from TOTAL SA. We thank O. Muntener, C. Spandler, R. Stern, M. Gurnis and M. Brounce for insightful and constructive comments. We thank Principal Editor John Eiler for thoughtful comments and editorial handling.</t>
  </si>
  <si>
    <t>1811-5209</t>
  </si>
  <si>
    <t>1811-5217</t>
  </si>
  <si>
    <t>Elements</t>
  </si>
  <si>
    <t>10.2138/gselements.17.1.29</t>
  </si>
  <si>
    <t>RN0PE</t>
  </si>
  <si>
    <t>WOS:000640056700005</t>
  </si>
  <si>
    <t>Moon, J; Cho, Y; Lee, H</t>
  </si>
  <si>
    <t>Moon, Jihyun; Cho, Yuri; Lee, Hoonyol</t>
  </si>
  <si>
    <t>Flow Velocity Change of David Glacier, East Antarctica, from 2016 to 2020 Observed by Sentinel-1A SAR Offset Tracking Method</t>
  </si>
  <si>
    <t>KOREAN JOURNAL OF REMOTE SENSING</t>
  </si>
  <si>
    <t>David Glacier; Drygalski Ice Tongue; Sentinel-1A; Offset tracking; ice flow velocity</t>
  </si>
  <si>
    <t>WEST ANTARCTICA; SEA-ICE; SURFACE; MOTION; SHELF</t>
  </si>
  <si>
    <t>This study measures the change of ice flow velocity of David Glacier, one of the fast-moving glaciers in East Antarctica that drains through Drygalski Ice Tongue. In order to effectively observe the rapid flow velocity, we applied the offset tracking technique to Sentinel-1A SAR images obtained from 2016 to 2020 with 36-day temporal baseline. The resulting velocity maps were averaged and the two relatively fast points (A1 and A2) were selected for further time-series analysis. The flow velocity increased during the Antarctic summer (around December to March) over the four years' observation period probably due to the ice surface melting and reduced friction on the ice bottom. Bedmap2 showed that the fast flow velocities at A1 and A2 are associated with a sharp decrease in the ice surface and bottom elevation so that ice volumetric cross-section narrows down and the crevasses are being created on the ice surface. The local maxima in standard deviation of ice velocity, S1 and S2, showed random temporal fluctuation due to the rotational ice swirls causing error in offset tracking method. It is suggested that more robust offset tracking method is necessary to incorporate rotational motion.</t>
  </si>
  <si>
    <t>[Moon, Jihyun; Cho, Yuri; Lee, Hoonyol] Kangwon Natl Univ, Dept Geophys, Chunchon, South Korea</t>
  </si>
  <si>
    <t>Kangwon National University</t>
  </si>
  <si>
    <t>Lee, H (corresponding author), Kangwon Natl Univ, Dept Geophys, Chunchon, South Korea.</t>
  </si>
  <si>
    <t>hoonyol@kangwon.ac.kr</t>
  </si>
  <si>
    <t>Moon, Jihyun/0000-0001-9156-4394</t>
  </si>
  <si>
    <t>National Research Foundation of Korea [NRF-2019R1F1A 1041389, 2019R1A6A1A03033167]</t>
  </si>
  <si>
    <t>National Research Foundation of Korea(National Research Foundation of Korea)</t>
  </si>
  <si>
    <t>This research was supported by the National Research Foundation of Korea (NRF-2019R1F1A 1041389, No.2019R1A6A1A03033167).</t>
  </si>
  <si>
    <t>KOREAN SOC REMOTE SENSING</t>
  </si>
  <si>
    <t>KOREAN SOC REMOTE SENSING, SEOUL, 00000, SOUTH KOREA</t>
  </si>
  <si>
    <t>1225-6161</t>
  </si>
  <si>
    <t>2287-9307</t>
  </si>
  <si>
    <t>KOREAN J REMOTE SENS</t>
  </si>
  <si>
    <t>Korean J. Remote Sensing</t>
  </si>
  <si>
    <t>10.7780/kjrs.2021.37.1.1</t>
  </si>
  <si>
    <t>Remote Sensing</t>
  </si>
  <si>
    <t>RR7RL</t>
  </si>
  <si>
    <t>WOS:000643290600001</t>
  </si>
  <si>
    <t>Andreas, AL; Bowser, SS</t>
  </si>
  <si>
    <t>Andreas, Amanda L.; Bowser, Samuel S.</t>
  </si>
  <si>
    <t>Effects of lead and cadmium exposure on oxygen respiration rates of individual Antarctic foraminifera during agglutinated shell formation</t>
  </si>
  <si>
    <t>Heavy metals; Bioindicators; Protists; Pollution; Respirometry</t>
  </si>
  <si>
    <t>HEAVY-METAL CONTAMINATION; BENTHIC FORAMINIFERA; AMMONIUM EXCRETION; ASTRAMMINA-RARA; POLLUTION; RESPONSES; CONSUMPTION; TOXICITY; ZINC; PROXIES</t>
  </si>
  <si>
    <t>Heavy metal exposure from anthropogenic pollutants negatively affects many marine organisms, including foraminiferan protists. As such, foraminifera are often used as bioindicators of stressed environmental conditions. Primary research has commonly focused on how heavy metals affect foraminiferal assemblages, ultrastructure, and shell morphology; however, little if any data have been reported on how heavy metals affect their physiological functions. Here we measure respiration rates of individual foraminifera after acute exposure to three concentrations of toxic but sub-lethal levels of lead (Pb) and cadmium (Cd). These experiments relied on the large cell size of an agglutinated Antarctic foraminifer, Astrammina rara. Cells were isolated from sediment collected by scuba divers in Explorers Cove, Antarctica. In the laboratory, individual, live cells were removed from their shells and placed in sealed respirometry chambers with either normal or Pb- or Cd-spiked artificial seawater. Cells in the process of shell formation were used to ensure that all individuals were aerobically active and in similar metabolic states. Noninvasive oxygen-sensing optode technology was used to measure oxygen consumption during the first 24-36 h of shell formation. The average respiration rate was 1.07 nmol O-2 h(-1) (range 0.78-1.84 nmol O-2 h(-1)) for normal cells. We compared the results from each exposure group to this baseline rate and found that both Pb and Cd significantly suppressed the respiration rate of A. rara in all but the highest level of Pb exposure. This study provides a novel, powerful, and short-term way to measure foraminiferal physiological responses to heavy metal toxicants.</t>
  </si>
  <si>
    <t>[Andreas, Amanda L.; Bowser, Samuel S.] Univ Albany, Dept Environm Hlth Sci, Sch Publ Hlth, 1 Univ Pl, Rensselaer, NY 12144 USA; [Andreas, Amanda L.; Bowser, Samuel S.] Wadsworth Ctr, New York State Dept Hlth, Pob 509, Albany, NY 12201 USA</t>
  </si>
  <si>
    <t>State University of New York (SUNY) System; State University of New York (SUNY) Albany; State University of New York (SUNY) System; Wadsworth Center</t>
  </si>
  <si>
    <t>Andreas, AL (corresponding author), Univ Albany, Dept Environm Hlth Sci, Sch Publ Hlth, 1 Univ Pl, Rensselaer, NY 12144 USA.</t>
  </si>
  <si>
    <t>aandreas@albany.edu</t>
  </si>
  <si>
    <t>NSF [ANT-1341612]</t>
  </si>
  <si>
    <t>We owe great thanks to S. Clabuesch, P. Cziko, H. Kaiser, M. Koonce, and K. McConnell for their Antarctic scientific diving and collection skills, and to S. Hanes, J. Pawlowski, and L. Von Rosk for their field assistance. We also thank S. Goldstein for her Antarctic field assistance and helpful comments on early manuscript drafts, and J. Webber for help with statistical analyses. We are grateful to H. A. Woods for the use of his optode system, his troubleshooting advice, and helpful R scripts and instruction, and to C. Judd and the Wadsworth Center Laboratory of Inorganic and Nuclear Chemistry for the ICP-MS analysis of our seawater. We thank the United States National Science Foundation (NSF) Office of Polar Programs and the Antarctic Support Associates at McMurdo Station, especially Rob Robbins, Steve Rupp, and Dr. Brenda Konar for their diving and assistance with sample collection on station. This work was supported by an NSF Research Grant (ANT-1341612) awarded to S. Bowser. This manuscript is dedicated to the memory of Dr. Umihiko (Umi) Hoshijima, an incredible scientist, explorer, and friend.</t>
  </si>
  <si>
    <t>10.1016/j.jembe.2021.151514</t>
  </si>
  <si>
    <t>WOS:000640997800004</t>
  </si>
  <si>
    <t>Ballesteros, JA; Setton, EVW; Santibáñez-López, CE; Arango, CP; Brenneis, G; Brix, S; Corbett, KF; Cano-Sánchez, E; Dandouch, M; Dilly, GF; Eleaume, MP; Gainett, G; Gallut, C; McAtee, S; McIntyre, L; Moran, AL; Moran, R; López-González, PJ; Scholtz, G; Williamson, C; Woods, HA; Zehms, JT; Wheeler, WC; Sharma, PP</t>
  </si>
  <si>
    <t>Ballesteros, Jesus A.; Setton, Emily V. W.; Santibanez-Lopez, Carlos E.; Arango, Claudia P.; Brenneis, Georg; Brix, Saskia; Corbett, Kevin F.; Cano-Sanchez, Esperanza; Dandouch, Merai; Dilly, Geoffrey F.; Eleaume, Marc P.; Gainett, Guilherme; Gallut, Cyril; McAtee, Sean; McIntyre, Lauren; Moran, Amy L.; Moran, Randy; Lopez-Gonzalez, Pablo J.; Scholtz, Gerhard; Williamson, Clay; Woods, H. Arthur; Zehms, Jakob T.; Wheeler, Ward C.; Sharma, Prashant P.</t>
  </si>
  <si>
    <t>Phylogenomic Resolution of Sea Spider Diversification through Integration of Multiple Data Classes</t>
  </si>
  <si>
    <t>MOLECULAR BIOLOGY AND EVOLUTION</t>
  </si>
  <si>
    <t>arthropods; Pycnogonida; mitogenome; ultraconserved; diversification</t>
  </si>
  <si>
    <t>WHOLE-GENOME DUPLICATION; MOLECULAR PHYLOGENY; GENE-EXPRESSION; PYCNOGONIDA; ARTHROPODA; ORIGIN; POSITION; MODEL; APPENDAGES; POPULATION</t>
  </si>
  <si>
    <t>Despite significant advances in invertebrate phylogenomics over the past decade, the higher-level phylogeny of Pycnogonida (sea spiders) remains elusive. Due to the inaccessibility of some small-bodied lineages, few phylogenetic studies have sampled all sea spider families. Previous efforts based on a handful of genes have yielded unstable tree topologies. Here, we inferred the relationships of 89 sea spider species using targeted capture of the mitochondrial genome, 56 conserved exons, 101 ultraconserved elements, and 3 nuclear ribosomal genes. We inferred molecular divergence times by integrating morphological data for fossil species to calibrate 15 nodes in the arthropod tree of life. This integration of data classes resolved the basal topology of sea spiders with high support. The enigmatic family Austrodecidae was resolved as the sister group to the remaining Pycnogonida and the small-bodied family Rhynchothoracidae as the sister group of the robust-bodied family Pycnogonidae. Molecular divergence time estimation recovered a basal divergence of crown group sea spiders in the Ordovician. Comparison of diversification dynamics with other marine invertebrate taxa that originated in the Paleozoic suggests that sea spiders and some crustacean groups exhibit resilience to mass extinction episodes, relative to mollusk and echinoderm lineages.</t>
  </si>
  <si>
    <t>[Ballesteros, Jesus A.; Setton, Emily V. W.; Santibanez-Lopez, Carlos E.; Corbett, Kevin F.; Gainett, Guilherme; Zehms, Jakob T.; Sharma, Prashant P.] Univ Wisconsin, Dept Integrat Biol, Madison, WI 53706 USA; [Arango, Claudia P.] Queensland Museum, Biodivers Program, Brisbane, Qld, Australia; [Brenneis, Georg] Univ Greifswald, Zool Inst &amp; Museum, Cytol &amp; Evolutionsbiol, Greifswald, Germany; [Brix, Saskia] Bioctr Grindel CeNak, German Ctr Marine Biodivers Res DZMB, Senckenberg Meer, Martin Luther King Pl 3, Hamburg, Germany; [Cano-Sanchez, Esperanza; Lopez-Gonzalez, Pablo J.] Univ Seville, Fac Biol, Dept Zool, Biodiversidad &amp; Ecol Acuat, Seville, Spain; [Dandouch, Merai; Dilly, Geoffrey F.; McAtee, Sean; McIntyre, Lauren; Moran, Randy; Williamson, Clay] Calif State Univ Channel Isl, Dept Biol, Camarillo, CA USA; [Eleaume, Marc P.] Museum Natl Hist Nat, Dept Milieux &amp; Peuplements Aquat, Paris, France; [Gallut, Cyril] Sorbonne Univ, Inst Systemat Evolut Biodiversite ISYEB, CNRS, Concarneau, France; [Moran, Amy L.] Univ Hawaii Manoa, Dept Biol, Honolulu, HI 96822 USA; [Scholtz, Gerhard] Humboldt Univ, Inst Biol, Vergleichende Zool, Berlin, Germany; [Woods, H. Arthur] Univ Montana, Div Biol Sci, Missoula, MT 59812 USA; [Wheeler, Ward C.] Amer Museum Nat Hist, Div Invertebrate Zool, New York, NY 10024 USA</t>
  </si>
  <si>
    <t>University of Wisconsin System; University of Wisconsin Madison; Queensland Museum; Universitat Greifswald; Senckenberg Gesellschaft fur Naturforschung (SGN); University of Sevilla; California State University System; California State University Channel Islands; Museum National d'Histoire Naturelle (MNHN); Museum National d'Histoire Naturelle (MNHN); Sorbonne Universite; Centre National de la Recherche Scientifique (CNRS); University of Hawaii System; University of Hawaii Manoa; Humboldt University of Berlin; University of Montana System; University of Montana; American Museum of Natural History (AMNH)</t>
  </si>
  <si>
    <t>Sharma, PP (corresponding author), Univ Wisconsin, Dept Integrat Biol, Madison, WI 53706 USA.</t>
  </si>
  <si>
    <t>prashant.sharma@wisc.edu</t>
  </si>
  <si>
    <t>Gainett, Guilherme/GWM-5340-2022; Arango, Claudia/A-5531-2008; Brenneis, Georg/AAQ-9561-2021; Moran, Amy L/F-7072-2011</t>
  </si>
  <si>
    <t>Sharma, Prashant/0000-0002-2328-9084; Brenneis, Georg/0000-0003-1202-1899; Gainett, Guilherme/0000-0002-9040-4863; Moran, Amy/0000-0002-0604-5096; Setton, Emily/0000-0002-5676-6676</t>
  </si>
  <si>
    <t>M. Guyer postdoctoral fellowship; National Science Foundation Graduate Research Fellowship; postdoctoral CONACYT [207146/454834]; Deutsche Forschungsgemeinschaft [BR5039/3-1]; National Science Foundation [ANT-0551969, ANT-0440577, IOS-1552610]; Spanish Comision Interministerial de Ciencia y Tecnologia [POL2006-06399/CGL, CTM2012-39350C02-01]; Ministerio de Economia y Competitividad [POL2006-06399/CGL, CTM2012-39350C02-01]; Institut Polaire Francais Paul E mile Victor (IPEV); ABRS [204-61]; Antarctic Science Grant [AA3010]; intramural funds of the American Museum of Natural History; intramural funds of the University of Wisconsin-Madison</t>
  </si>
  <si>
    <t>M. Guyer postdoctoral fellowship; National Science Foundation Graduate Research Fellowship(National Science Foundation (NSF)); postdoctoral CONACYT; Deutsche Forschungsgemeinschaft(German Research Foundation (DFG)); National Science Foundation(National Science Foundation (NSF)); Spanish Comision Interministerial de Ciencia y Tecnologia(Consejo Interinstitucional de Ciencia y Tecnologia (CICYT)); Ministerio de Economia y Competitividad(Spanish Government); Institut Polaire Francais Paul E mile Victor (IPEV); ABRS; Antarctic Science Grant; intramural funds of the American Museum of Natural History; intramural funds of the University of Wisconsin-Madison</t>
  </si>
  <si>
    <t>This work is dedicated to the memory of Roger Norman Bamber. We are indebted to Katsumi Miyazaki, Anna SolerMembrives, and Julia D. Sigwart for providing specimens for study. We thank the crews of many research vessels for assistance with fieldwork, and the Australian and Paris Museums for loans of materials for study. Sequencing and assembly of the Pycnogonum litorale mitogenome were performed by Anke Braband and Jakob Machner. Chronograms of selected marine invertebrate taxa were kindly provided by Heather D. Bracken-Grissom, Simon Y.W. Ho, Tim D. O'Hara, Greg W. Rouse, and Jo M. Wolfe. Access to computing nodes for intensive tasks was facilitated by the Bioinformatics Resource Center (BRC) and Christina Koch at the Center for High Throughput Computing (CHTC) of the University of Wisconsin-Madison. Comments from three anonymous reviewers and the Associate Editor improved a previous draft of this work. J.A.B. was supported by the M. Guyer postdoctoral fellowship. E.V.W.S. was supported by a National Science Foundation Graduate Research Fellowship. C.E.S.L. was supported by postdoctoral CONACYT (Grant Reg. 207146/454834). Morphological data collection was supported by Deutsche Forschungsgemeinschaft (Grant No. BR5039/3-1 to G.B.). Fieldwork in Antarctica was supported by National Science Foundation (Grant Nos. ANT-0551969 to A.L.M. and ANT-0440577 to H.A.W.). Collection under projects POL2006-06399/CGL (CLIMANT) and CTM2012-39350C02-01 (ECOWED) were funded by the Spanish Comision Interministerial de Ciencia y Tecnologia and the Ministerio de Economia y Competitividad. Revolta Program 1124, led by Guillaume Lecointre, was supported by Institut Polaire Francais Paul E mile Victor (IPEV). C.P.A was supported by ABRS grant 204-61 and Antarctic Science Grant AA3010. This work was supported by intramural funds of the American Museum of Natural History (W.C.W.) and intramural funds of the University of Wisconsin-Madison and National Science Foundation Grant No. IOS-1552610 (P.P.S).</t>
  </si>
  <si>
    <t>0737-4038</t>
  </si>
  <si>
    <t>1537-1719</t>
  </si>
  <si>
    <t>MOL BIOL EVOL</t>
  </si>
  <si>
    <t>Mol. Biol. Evol.</t>
  </si>
  <si>
    <t>10.1093/molbev/msaa228</t>
  </si>
  <si>
    <t>RJ0UI</t>
  </si>
  <si>
    <t>Green Submitted, Green Published, hybrid</t>
  </si>
  <si>
    <t>WOS:000637318600027</t>
  </si>
  <si>
    <t>Akrami, MA; Ordouni, F; Ramroodi, S</t>
  </si>
  <si>
    <t>Akrami, Mohammad Ali; Ordouni, Fatemeh; Ramroodi, Sara</t>
  </si>
  <si>
    <t>A new species of Pergalumna (Acari: Oribatida: Galumnidae) from southeastern Iran, including a key to all species of the genus from the Palaearctic region</t>
  </si>
  <si>
    <t>SYSTEMATIC AND APPLIED ACAROLOGY</t>
  </si>
  <si>
    <t>Sarcoptiformes; galumnid mites; description; morphology; Sistan and Baluchestan</t>
  </si>
  <si>
    <t>FAMILY GALUMNIDAE; MITES ACARI; GALUMNOIDEA; PARAKALUMMIDAE; RECORDS; TAXA</t>
  </si>
  <si>
    <t>A new species of oribatid mite of the family Galumnidae, Pergalumna sistanbaluchestanica sp. nov., is described and illustrated based on adult specimens from soil in Sistan and Baluchestan province, southeaster n Iran. The new species is characterized by dentate rostrum; long interlamellar setae; long, setiform, finely barbe d bothridial setae; complete dorsosejugal furrow; large, nearly triangular porose areas Aa; presence of media n pore in females and males; large, elongated postanal porose area and large body size. The new species is mos t similar morphologically to P. seminervosa Mahunka &amp; Mahunka-Papp, 2008, however, differs from it i n morphology of bothridial setae and notogastral porose areas Aa and also by the surface ornamentation of the pteromorphs and genital plates; localization of setal alveoli la and lyrifissures im and body size. An identification key to known species of Pergalumna from the Palaearctic region is given. The genus Pergalumna of the family Galumnidae Jacot, 1925 is one of the largest genera of oribati d mites (Acari, Oribatida) with a worldwide distribution (excluding the Antarctic region); it comprises about 169 species: 37 species are known from the Palaearctic, 45 from the Oriental, 32 from the Ethiopian, 37 from the Neotropical and Nearctic and 18 species from the Australian regions (Sub?as 2004, update 2020; Ermilov et al. 2014, 2015b; Ermilov &amp; Star? 2018; Ermilov &amp; Friedrich 2019). Members of the genus Pergalumna, like other members of its family, are abundant in the litter or</t>
  </si>
  <si>
    <t>[Akrami, Mohammad Ali] Shiraz Univ, Sch Agr, Dept Plant Protect, Shiraz, Iran; [Ordouni, Fatemeh; Ramroodi, Sara] Zabol Univ, Coll Agr, Dept Plant Protect, Zabol, Iran</t>
  </si>
  <si>
    <t>Shiraz University</t>
  </si>
  <si>
    <t>Akrami, MA (corresponding author), Shiraz Univ, Sch Agr, Dept Plant Protect, Shiraz, Iran.</t>
  </si>
  <si>
    <t>akrami@shirazu.ac.ir; fa.ordouni.sistan@gmail.com; sara_ramroodi@yahoo.com</t>
  </si>
  <si>
    <t>akrami, mohammad ali/W-8490-2018</t>
  </si>
  <si>
    <t>project Fauna of oribatid mites of Sistan and Baluchestan province - Zabol University; project Fauna of oribatid mites of Sistan and Baluchestan province - Shiraz University</t>
  </si>
  <si>
    <t>We would like to thank the anonymous reviewers for their critical reading of the manuscript. This study was partly supported by the project Fauna of oribatid mites of Sistan and Baluchestan province funded by the Zabol and Shiraz Universities.</t>
  </si>
  <si>
    <t>SYSTEMATIC &amp; APPLIED ACAROLOGY SOC LONDON, NATURAL HISTORY MUSEUM</t>
  </si>
  <si>
    <t>DEPT ENTOMOLOGY, LONDON, SW7 5BD, ENGLAND</t>
  </si>
  <si>
    <t>1362-1971</t>
  </si>
  <si>
    <t>SYST APPL ACAROL-UK</t>
  </si>
  <si>
    <t>Syst. Appl. Acarol.</t>
  </si>
  <si>
    <t>10.11158/saa.26.2.5</t>
  </si>
  <si>
    <t>RI1TT</t>
  </si>
  <si>
    <t>WOS:000636694200005</t>
  </si>
  <si>
    <t>Regi, M; Di Mauro, D; Lepidi, S</t>
  </si>
  <si>
    <t>Regi, M.; Di Mauro, D.; Lepidi, S.</t>
  </si>
  <si>
    <t>The Location of the Earth's Magnetic Poles From Circum-Terrestrial Observations</t>
  </si>
  <si>
    <t>Antarctic and Arctic polar regions; magnetic anomalies; magnetic poles drift; Magnetic poles location; monte Carlo test; swarm satellites</t>
  </si>
  <si>
    <t>The magnetic poles or dip poles are the points on the Earth's surface and circum-terrestrial area where the magnetic field is vertical, so the horizontal component vanishes. They are not coincident with geomagnetic poles, which are the points where the dipole axis, obtained by analytic models, intersects the Earth's surface, and their instrumental sampling determination from ad hoc ground surveys is difficult due to the harsh environmental conditions and remoteness of the areas where they are located. In this work, we use magnetic field measurements from ESA's Swarm satellites covering 5 years (2015-2019), and determine the position of the magnetic poles by modeling the yearly average horizontal magnetic field component through analytic two-dimensional Taylor polynomial fit and finding the locations where this component is minimum. The yearly dip poles positions at average satellites geocentric altitudes are also projected at ground level based on WGS84 geodetic reference system. Reliability of our method is evaluated by an optimized Monte Carlo test applied to combined International Geomagnetic Reference Field (IGRF) model and Swarm data. The availability of several years of data allows us to investigate the long term variation and dynamics of the magnetic poles, also in comparison with the results provided by IGRF model (both IGRF12 and IGRF13). Our results agree with the model, in better accordance in the north hemisphere with IGRF13, indicating that both magnetic poles move in the north-west direction, with a speed of similar to 37-72 km/y (lower in year 2016) for the north dip pole and of similar to 5-9 km/y for the south one.</t>
  </si>
  <si>
    <t>[Regi, M.; Lepidi, S.] Ist Nazl Geofis &amp; Vulcanol, Laquila, Italy; [Di Mauro, D.] Ist Nazl Geofis &amp; Vulcanol, Rome, Italy</t>
  </si>
  <si>
    <t>Istituto Nazionale Geofisica e Vulcanologia (INGV); Istituto Nazionale Geofisica e Vulcanologia (INGV)</t>
  </si>
  <si>
    <t>Regi, M (corresponding author), Ist Nazl Geofis &amp; Vulcanol, Laquila, Italy.</t>
  </si>
  <si>
    <t>mauro.regi@ingv.it</t>
  </si>
  <si>
    <t>Di Mauro, Domenico/ABD-6663-2021; Lepidi, Stefania/HGU-5046-2022; Regi, Mauro/N-7505-2016</t>
  </si>
  <si>
    <t>Di Mauro, Domenico/0000-0003-1757-9816; Regi, Mauro/0000-0003-3626-2419; Lepidi, Stefania/0000-0002-5692-2560</t>
  </si>
  <si>
    <t>e2020JA028513</t>
  </si>
  <si>
    <t>10.1029/2020JA028513</t>
  </si>
  <si>
    <t>QU4QI</t>
  </si>
  <si>
    <t>WOS:000627265100088</t>
  </si>
  <si>
    <t>Asefaw, H; Tauxe, L; Koppers, AAP; Staudigel, H</t>
  </si>
  <si>
    <t>Asefaw, H.; Tauxe, L.; Koppers, A. A. P.; Staudigel, H.</t>
  </si>
  <si>
    <t>Four-Dimensional Paleomagnetic Dataset: Plio-Pleistocene Paleodirection and Paleointensity Results From the Erebus Volcanic Province, Antarctica</t>
  </si>
  <si>
    <t>JOURNAL OF GEOPHYSICAL RESEARCH-SOLID EARTH</t>
  </si>
  <si>
    <t>geomagnetism; paleointensity; paleomagnetism; paleosecular variation; paleointensity</t>
  </si>
  <si>
    <t>GEOMAGNETIC SECULAR VARIATION; COOLING-RATE DEPENDENCE; EARTHS MAGNETIC-FIELD; THELLIER; CONSTRAINTS; INTENSITY; DIRECTIONS; SELECTION; ROCKS</t>
  </si>
  <si>
    <t>A fundamental assumption in paleomagnetism is that a geocentric axial dipole (GAD) geomagnetic field structure extends to the ancient field. Global paleodirectional compilations that span 0-5-million year support a GAD dominated field structure with minor non-GAD contributions, however, the paleointensity data over the same period do not. In a GAD field, higher latitudes should preserve higher intensity, but the current database suggests that intensities are independent of latitude. To determine whether the seemingly low intensities from Antarctica reflect the ancient field, rather than low-quality data or inadequate temporal sampling, we have conducted a new study of the paleomagnetic field in Antarctica. This study focuses on the paleomagnetic field structure over the Plio-Pleistocene. We combine and reanalyze new and published paleodirectional and paleointensity results from the Erebus volcanic province to recover paleodirections from 98 sites that were both thermally and alternating field demagnetized and then subjected to a set of strict selection criteria and paleointensities from 26 sites from the Plio-Pleistocene that underwent the IZZI modified Thellier-Thellier experiment and were also subjected to a strict set of selection criteria. The paleopole (201.85 degrees, 87.65 degrees) and alpha(95) (5.51 degrees) recovered from our paleodirectional study supports the GAD hypothesis and the scatter of the virtual geomagnetic poles falls within the uncertainty of that predicted by TK03 paleosecular variation model. Our time-averaged field strength estimate, 33.57 +/- 2.71 mu T, is significantly weaker than that expected from a GAD field estimated by the present field. Plain Language Summary The geocentric axial dipole (GAD) hypothesis states that the Earth's magnetic field may be approximated by an Earth-centric dipole aligned with the rotation axis. This hypothesis is fundamental for paleogeographic reconstructions of the tectonic plates. While global paleomagnetic directions from the last 5 million years recover a predominately GAD field structure, paleointensity estimates over the same time period do not. In this study, we re-examine the paleomagnetic field structure in the Erebus Volcanic Province, Antarctica, and recover a robust data set of directional and intensity data. We then compare the paleopole and average dipole moment against a GAD field structure and model predictions of paleosecular variation.</t>
  </si>
  <si>
    <t>[Asefaw, H.; Tauxe, L.; Staudigel, H.] Univ Calif San Diego, Scripps Inst Oceanog, Geosci Res Div, La Jolla, CA 92093 USA; [Koppers, A. A. P.] Oregon State Univ, Coll Earth Ocean &amp; Atmospher Sci, Corvallis, OR 97331 USA</t>
  </si>
  <si>
    <t>University of California System; University of California San Diego; Scripps Institution of Oceanography; Oregon State University</t>
  </si>
  <si>
    <t>Asefaw, H (corresponding author), Univ Calif San Diego, Scripps Inst Oceanog, Geosci Res Div, La Jolla, CA 92093 USA.</t>
  </si>
  <si>
    <t>hasafaw@ucsd.edu</t>
  </si>
  <si>
    <t>Koppers, Anthony/0000-0002-8136-5372</t>
  </si>
  <si>
    <t>National Science Foundation [OPP1541285, EAR1827263]; National Science Foundation Graduate Research Fellowship [DGE-1650112]</t>
  </si>
  <si>
    <t>National Science Foundation(National Science Foundation (NSF)); National Science Foundation Graduate Research Fellowship(National Science Foundation (NSF))</t>
  </si>
  <si>
    <t>This work was funded by the National Science Foundation Grants OPP1541285 and EAR1827263. The first author gratefully acknowledges support by the National Science Foundation Graduate Research Fellowship under Grant no. DGE-1650112. The authors thank the United States Antarctic Program for their ground support in Antarctica. They also thank Christeanne Santos for her assistance with data collection and Cathy Constable, Jeff Gee, Shuhui Cai, and Nicole Behar for their helpful discussions. They are also grateful to their anonymous reviewers.</t>
  </si>
  <si>
    <t>2169-9313</t>
  </si>
  <si>
    <t>2169-9356</t>
  </si>
  <si>
    <t>J GEOPHYS RES-SOL EA</t>
  </si>
  <si>
    <t>J. Geophys. Res.-Solid Earth</t>
  </si>
  <si>
    <t>e2020JB020834</t>
  </si>
  <si>
    <t>10.1029/2020JB020834</t>
  </si>
  <si>
    <t>RB2CA</t>
  </si>
  <si>
    <t>WOS:000631921200026</t>
  </si>
  <si>
    <t>Jakovlev, AV; Kovalev, SM; Shimanchuk, EV; Shimanchuk, EV; Nubom, AA</t>
  </si>
  <si>
    <t>Jakovlev, A. V.; Kovalev, S. M.; Shimanchuk, Eg. V.; Shimanchuk, Ev. V.; Nubom, A. A.</t>
  </si>
  <si>
    <t>Seismic Network on Drifted Ice Floes: a Case Study in North Barents Sea</t>
  </si>
  <si>
    <t>DOKLADY EARTH SCIENCES</t>
  </si>
  <si>
    <t>Arctic; Barents Sea; ice floes; ice processes; seismic network</t>
  </si>
  <si>
    <t>From March to May 2019, a seasonal multidisciplinary scientific expedition on the EV Akademik Tryoshnikov was conducted in the framework of the first stage of the TransArctica 2019 program. Within the seismological part, six temporary seismic stations were installed at four different locations on a drifted ice floe in the North Barents Sea. The first aim of the experiment was to elaborate technology of installation of the seismic stations on drifting ice floes. The second aim was to check if obtained seismological records could be used for registration of the local and remote earthquakes and provide data to investigate the lithosphere structure in the Arctic regions, as well as processes within the ice floe. After analysis of the recoded data, different types of the seismic signal generated by processes in the ice were observed and several signals from remote and regional earthquakes were detected. Further analysis of the seismograms could be used for investigations of the processes within ice floes. The results of the experiment have shown that seismic sensors installed on the drifting ice could be used for recording of local and remote earthquakes.</t>
  </si>
  <si>
    <t>[Jakovlev, A. V.] Russian Acad Sci, Trofimuk Inst Petr Geol &amp; Geophys, Siberian Branch, Novosibirsk 630090, Russia; [Jakovlev, A. V.] Novosibirsk State Univ, Novosibirsk 630090, Russia; [Kovalev, S. M.; Shimanchuk, Eg. V.; Shimanchuk, Ev. V.; Nubom, A. A.] Arctic &amp; Antarctic Res Inst, St Petersburg 199397, Russia</t>
  </si>
  <si>
    <t>Russian Academy of Sciences; Trofimuk Institute of Petroleum Geology &amp; Geophysics; Novosibirsk State University; Arctic &amp; Antarctic Research Institute</t>
  </si>
  <si>
    <t>Jakovlev, AV (corresponding author), Russian Acad Sci, Trofimuk Inst Petr Geol &amp; Geophys, Siberian Branch, Novosibirsk 630090, Russia.;Jakovlev, AV (corresponding author), Novosibirsk State Univ, Novosibirsk 630090, Russia.</t>
  </si>
  <si>
    <t>JakovlevAV@ipgg.sbras.ru</t>
  </si>
  <si>
    <t>Jakovlev, Andrey/J-5617-2013</t>
  </si>
  <si>
    <t>Jakovlev, Andrey/0000-0002-4850-8239</t>
  </si>
  <si>
    <t>Russian Science Foundation [18-17-00095]; target scientific and technical program 5.1.5 of Rosgidromet; Russian Science Foundation [18-17-00095] Funding Source: Russian Science Foundation</t>
  </si>
  <si>
    <t>Russian Science Foundation(Russian Science Foundation (RSF)); target scientific and technical program 5.1.5 of Rosgidromet; Russian Science Foundation(Russian Science Foundation (RSF))</t>
  </si>
  <si>
    <t>The work of AJ from IPGG was supported by the Russian Science Foundation Grant no. 18-17-00095. The work was supported by the target scientific and technical program 5.1.5 of Rosgidromet.</t>
  </si>
  <si>
    <t>1028-334X</t>
  </si>
  <si>
    <t>1531-8354</t>
  </si>
  <si>
    <t>DOKL EARTH SCI</t>
  </si>
  <si>
    <t>Dokl. Earth Sci.</t>
  </si>
  <si>
    <t>10.1134/S1028334X21020215</t>
  </si>
  <si>
    <t>QV2CX</t>
  </si>
  <si>
    <t>WOS:000627785600013</t>
  </si>
  <si>
    <t>Lucas, EM; Nyblade, AA; Lloyd, AJ; Aster, RC; Wiens, DA; O'Donnell, JP; Stuart, GW; Wilson, TJ; Dalziel, IWD; Winberry, JP; Huerta, AD</t>
  </si>
  <si>
    <t>Lucas, Erica M.; Nyblade, Andrew A.; Lloyd, Andrew J.; Aster, Richard C.; Wiens, Douglas A.; O'Donnell, John Paul; Stuart, Graham W.; Wilson, Terry J.; Dalziel, Ian W. D.; Winberry, J. Paul; Huerta, Audrey D.</t>
  </si>
  <si>
    <t>Seismicity and Pn Velocity Structure of Central West Antarctica</t>
  </si>
  <si>
    <t>We have located 117 previously undetected seismic events mainly occurring between 2015 and 2017 that originated from glacial, tectonic, and volcanic processes in central West Antarctica using data recorded on Polar Earth Observing Network (POLENET/ANET) and UK Antarctic Network (UKANET) seismic stations. The seismic events, with local magnitudes (M-L) ranging from 1.1 to 3.5, are predominantly clustered in four geographic regions; the Ellsworth Mountains, Thwaites Glacier, Pine Island Glacier, and Mount Takahe. Eighteen of the events are in the Ellsworth Mountains and can be attributed to a mixture of glacial and tectonic processes. The largest event noted in this study was a mid-crustal (similar to 19 km focal depth; M-L 3.5) normal mechanism earthquake beneath Thwaites Glacier. We also located 91 glacial events near the grounding zones of Thwaites Glacier and Pine Island Glacier that are predominantly associated with time periods of significant calving activity. Eight events, likely arising from volcano-tectonic processes, occurred beneath Mount Takahe. Using Pn travel times from the seismic events, we fmd laterally variable uppermost mantle structure in central West Antarctica. On average, the Ellsworth Mountains are underlain by a faster mantle lid (V-Pn = similar to 8.4 km/s) compared to the Amundsen Sea Embayment region (V-Pn = similar to 8.1 km/s). Within the Amundsen Sea Embayment itself, we find mantle lid velocities ranging from similar to 8.05 to 8.18 km/s. Laterally heterogeneous uppermost mantle structure, indicative of variable thermal and rheological structure, likely influences both geothermal heat flux and glacial isostatic adjustment spatial patterns and rates within central West Antarctica. Plain Language Summary In this study, we have identified and located 117 seismic events in central West Antarctica. The seismic events originate from both solid-Earth and glacial processes. While the seismic events originating from solid-Earth processes are associated with tectonic and volcano-tectonic activity in central West Antarctica, the seismic events arising from glacial processes are predominantly associated with time periods of significant calving activity at Thwaites Glacier and Pine Island Glacier. Using select P-waves produced by seismic events located in this study, we investigate the uppermost portion of the mantle beneath central West Antarctica and find that the temperature of the uppermost mantle likely varies by at least 160 K across central West Antarctica. Variable uppermost mantle temperatures have numerous implications for the dynamics and evolution of the West Antarctic Ice Sheet.</t>
  </si>
  <si>
    <t>[Lucas, Erica M.; Nyblade, Andrew A.] Penn State Univ, Dept Geosci, State Coll, PA 16801 USA; [Lloyd, Andrew J.; Wiens, Douglas A.] Washington Univ, Dept Earth &amp; Planetary Sci, St Louis, MO 63130 USA; [Aster, Richard C.] Colorado State Univ, Warner Coll Nat Resources, Dept Geosci, Ft Collins, CO USA; [O'Donnell, John Paul; Stuart, Graham W.] Univ Leeds, Sch Earth &amp; Environm, Leeds, WY USA; [Wilson, Terry J.] Ohio State Univ, Sch Earth Sci, Columbus, OH USA; [Dalziel, Ian W. D.] Univ Texas Austin, Jackson Sch Geosci, Austin, TX 78712 USA; [Winberry, J. Paul; Huerta, Audrey D.] Cent Washington Univ, Dept Geol Sci, Ellensburg, WA USA</t>
  </si>
  <si>
    <t>Pennsylvania Commonwealth System of Higher Education (PCSHE); Pennsylvania State University; Washington University (WUSTL); Colorado State University; University System of Ohio; Ohio State University; University of Texas System; University of Texas Austin; Central Washington University</t>
  </si>
  <si>
    <t>Lucas, EM (corresponding author), Penn State Univ, Dept Geosci, State Coll, PA 16801 USA.</t>
  </si>
  <si>
    <t>emlucas@psu.edu</t>
  </si>
  <si>
    <t>Dalziel, Ian W. D./G-5926-2010; Winberry, Paul/HLQ-2673-2023; Huerta, Audrey D/A-8680-2009; Aster, Richard/E-5067-2013; Wiens, Douglas/J-9259-2016</t>
  </si>
  <si>
    <t>Winberry, Paul/0000-0003-1205-0745; Aster, Richard/0000-0002-0821-4906; Wiens, Douglas/0000-0002-5169-4386; Lucas, Erica/0000-0001-6372-3570; O'Donnell, John Paul/0000-0003-1524-2312; Huerta, Audrey/0000-0002-0252-8496; Lloyd, Andrew/0000-0002-2253-1342</t>
  </si>
  <si>
    <t>National Science Foundation (NSF) [1142126, 1142518, 1141916, 1148982, 1246416, 1246151, 1249631, 1249602, 1249513, 1246666, 1246712, 1246776, 1247518]; Natural Environment Research Council [NE/L006065/1, NE/L006294/1, abd NE/K009958/1]; Incorporated Research Institutions for Seismology (IRIS) through the Portable Array Seismic Studies of the Continental Lithosphere (PASSCAL) Instrument Center at New Mexico Tech; SEIS-UK; NERC [NE/L006294/1, NE/L006065/1] Funding Source: UKRI</t>
  </si>
  <si>
    <t>National Science Foundation (NSF)(National Science Foundation (NSF)); Natural Environment Research Council(UK Research &amp; Innovation (UKRI)Natural Environment Research Council (NERC)); Incorporated Research Institutions for Seismology (IRIS) through the Portable Array Seismic Studies of the Continental Lithosphere (PASSCAL) Instrument Center at New Mexico Tech; SEIS-UK; NERC(UK Research &amp; Innovation (UKRI)Natural Environment Research Council (NERC))</t>
  </si>
  <si>
    <t>This work was supported by the National Science Foundation (NSF) (grants 1142126, 1142518, 1141916, 1148982, 1246416, 1246151, 1249631, 1249602, 1249513, 1246666, 1246712, 1246776, and 1247518) and by the Natural Environment Research Council (grants NE/L006065/1, NE/L006294/1, abd NE/K009958/1). POLENET/ANET seismic instrumentation was provided and supported by the Incorporated Research Institutions for Seismology (IRIS) through the Portable Array Seismic Studies of the Continental Lithosphere (PASSCAL) Instrument Center at New Mexico Tech. UKANET seismic instrumentation was provided and supported by SEIS-UK. The authors would like to thank Karsten Gohl and an anonymous reviewer for helpful and constructive comments.</t>
  </si>
  <si>
    <t>e2020GC009471</t>
  </si>
  <si>
    <t>10.1029/2020GC009471</t>
  </si>
  <si>
    <t>RB2DB</t>
  </si>
  <si>
    <t>WOS:000631923900006</t>
  </si>
  <si>
    <t>Stål, T; Reading, AM; Halpin, JA; Whittaker, JM</t>
  </si>
  <si>
    <t>Stal, Tobias; Reading, Anya M.; Halpin, Jacqueline A.; Whittaker, Joanne M.</t>
  </si>
  <si>
    <t>Antarctic Geothermal Heat Flow Model: Aq1</t>
  </si>
  <si>
    <t>Antarctica; heat flow; geothermal; multivariate</t>
  </si>
  <si>
    <t>GLOBAL REFERENCE MODEL; WEST ANTARCTICA; EAST ANTARCTICA; VELOCITY STRUCTURE; RAYLEIGH-WAVE; UPPER-MANTLE; WILKES LAND; ICE; FLUX; EVOLUTION</t>
  </si>
  <si>
    <t>We present a refined map of geothermal heat flow for Antarctica, Aq1, based on multiple observables. The map is generated using a similarity detection approach by attributing observables from geophysics and geology to a large number of high-quality heat flow values (N = 5,792) from other continents. Observables from global, continental, and regional datasets for Antarctica are used with a weighting function that allows the degree of similarity to increase with proximity and how similar the observables are. The similarity detection parameters are optimized through cross correlation. For each grid cell in Antarctica, a weighted average heat flow value and uncertainty metrics are calculated. The Aq1 model provides higher spatial resolution in comparison to previous results. High heat flow is shown in the Thwaites Glacier region, with local values over 150 mW m(-2). We also map elevated values over 80 mW m(-2) in Palmer Land, Marie Byrd Land, Victoria Land and Queen Mary Land. Very low heat flow is shown in the interior of Wilkes Land and Coats Land, with values under 40 mW m(-2). We anticipate that the new geothermal heat flow map, Aq1, and its uncertainty bounds will find extended use in providing boundary conditions for ice sheet modeling and understanding the interactions between the cryosphere and solid Earth. The computational framework and open architecture allow for the model to be reproduced, adapted and updated with additional data, or model subsets to be output at higher resolution for regional studies.</t>
  </si>
  <si>
    <t>[Stal, Tobias; Reading, Anya M.] Univ Tasmania, Sch Nat Sci Earth Sci Phys, Hobart, Tas, Australia; [Stal, Tobias; Reading, Anya M.; Halpin, Jacqueline A.; Whittaker, Joanne M.] Univ Tasmania, Inst Marine &amp; Antarctic Studies, Hobart, Tas, Australia</t>
  </si>
  <si>
    <t>Stål, T (corresponding author), Univ Tasmania, Sch Nat Sci Earth Sci Phys, Hobart, Tas, Australia.;Stål, T (corresponding author), Univ Tasmania, Inst Marine &amp; Antarctic Studies, Hobart, Tas, Australia.</t>
  </si>
  <si>
    <t>tobias.staal@utas.edu.au</t>
  </si>
  <si>
    <t>Reading, Anya M/E-6728-2012; Whittaker, Joanne/B-3695-2010; Halpin, Jacqueline/A-3776-2014</t>
  </si>
  <si>
    <t>Reading, Anya M/0000-0002-9316-7605; Whittaker, Joanne/0000-0002-3170-3935; Stal, Tobias/0000-0002-4323-6748; Halpin, Jacqueline/0000-0002-4992-8681</t>
  </si>
  <si>
    <t>Australian Research Council's Special Research Initiative for Antarctic Gateway Partnership [SR140300001]</t>
  </si>
  <si>
    <t>Australian Research Council's Special Research Initiative for Antarctic Gateway Partnership(Australian Research Council)</t>
  </si>
  <si>
    <t>This research is a contribution to the SCAR SERCE program. We are grateful to Rebecca Carey, Felicity McCormack, Steven Phipps and Ross Turner for valuable discussions and feedback. We also wish to thank the two anonymous reviewers, that substantially contributed to this study. This research was supported under Australian Research Council's Special Research Initiative for Antarctic Gateway Partnership (Project ID SR140300001). The authors declare that they have no conflict of interest.</t>
  </si>
  <si>
    <t>e2020GC009428</t>
  </si>
  <si>
    <t>10.1029/2020GC009428</t>
  </si>
  <si>
    <t>WOS:000631923900007</t>
  </si>
  <si>
    <t>Xi, Y; Mercier, A; Kuang, C; Yun, JW; Christy, A; Melo, L; Maldonado, MT; Raymond, JA; Bertram, AK</t>
  </si>
  <si>
    <t>Xi, Yu; Mercier, Alexia; Kuang, Cheng; Yun, Jingwei; Christy, Ashton; Melo, Luke; Maldonado, Maria T.; Raymond, James A.; Bertram, Allan K.</t>
  </si>
  <si>
    <t>Concentrations and properties of ice nucleating substances in exudates from Antarctic sea-ice diatoms</t>
  </si>
  <si>
    <t>ENVIRONMENTAL SCIENCE-PROCESSES &amp; IMPACTS</t>
  </si>
  <si>
    <t>SURFACE MICROLAYER; MIXED-PHASE; AEROSOL-PARTICLES; ORGANIC-MATTER; FUNGAL SPORES; MARINE AIR; NUCLEI; CLOUD; WATER; IMMERSION</t>
  </si>
  <si>
    <t>The ocean contains ice nucleating substances (INSs), some of which can be emitted to the atmosphere where they can influence the formation and properties of clouds. A possible source of INSs in the ocean is exudates from sea-ice diatoms. Here we examine the concentrations and properties of INSs in supernatant samples from dense sea-ice diatom communities collected from Ross Sea and McMurdo Sound in the Antarctic. The median freezing temperatures of the samples ranged from approximately -17 to -22 degrees C. Based on our results and a comparison with results reported in the literature, the ice nucleating ability of exudates from sea-ice diatoms is likely not drastically different from the ice nucleating ability of exudates from temperate diatoms. The number of INSs per mass of DOC for the supernatant samples were lower than those reported previously for the sea surface microlayer and bulk sea water collected in the Arctic and Atlantic. The INSs in the supernatant sample collected from Ross Sea were not sensitive to temperatures up to 100 degrees C, were larger than 300 kDa, and were different from ice shaping and recrystallization inhibiting molecules present in the same sample. Possible candidates for these INSs include polysaccharide containing nanogels. The INSs in the supernatant sample collected from McMurdo Sound were sensitive to temperatures of 80 and 100 degrees C and were larger than 1000 kDa. Possible candidates for these INSs include protein containing nanogels.</t>
  </si>
  <si>
    <t>[Xi, Yu; Yun, Jingwei; Christy, Ashton; Melo, Luke; Bertram, Allan K.] Univ British Columbia, Dept Chem, 2036 Main Mall, Vancouver, BC V6T 1Z1, Canada; [Mercier, Alexia] Sorbonne Univ, Dept Chem, 4 Pl Jussieu, F-75005 Paris, France; [Kuang, Cheng; Maldonado, Maria T.] Univ British Columbia, Dept Earth Ocean &amp; Atmospher Sci, 2020-2207 Main Mall, Vancouver, BC V6T 1Z4, Canada; [Raymond, James A.] Univ Nevada, Sch Life Sci, 4505 S Maryland Pkwy, Las Vegas, NV 89154 USA</t>
  </si>
  <si>
    <t>University of British Columbia; Sorbonne Universite; University of British Columbia; Nevada System of Higher Education (NSHE); University of Nevada Las Vegas</t>
  </si>
  <si>
    <t>Bertram, AK (corresponding author), Univ British Columbia, Dept Chem, 2036 Main Mall, Vancouver, BC V6T 1Z1, Canada.</t>
  </si>
  <si>
    <t>bertram@chem.ubc.ca</t>
  </si>
  <si>
    <t>Yun, Jingwei/0000-0002-7352-6754; raymond, james/0000-0002-0391-1630; Christy, Ashton/0000-0002-1778-9840; Melo, Luke/0000-0003-2577-8380; Xi, Yu/0000-0001-7007-541X; Bertram, Allan K./0000-0002-5621-2323</t>
  </si>
  <si>
    <t>This research was supported by Natural Sciences and Engineering Research Council of Canada (NSERC). The authors thank Mike Lizotte for collecting the Ross Sea samples. The authors also thank members of the Ministry of Environment and Climate Change Strategy, Analytical Laboratory for helpful discussions and measurements of dissolved organic carbon.</t>
  </si>
  <si>
    <t>2050-7887</t>
  </si>
  <si>
    <t>2050-7895</t>
  </si>
  <si>
    <t>ENVIRON SCI-PROC IMP</t>
  </si>
  <si>
    <t>Environ. Sci.-Process Impacts</t>
  </si>
  <si>
    <t>10.1039/d0em00398k</t>
  </si>
  <si>
    <t>QR5HC</t>
  </si>
  <si>
    <t>WOS:000625246400008</t>
  </si>
  <si>
    <t>Heindel, RC; Darling, JP; Singley, JG; Bergstrom, AJ; McKnight, DM; Lukkari, BM; Welch, KA; Gooseff, MN</t>
  </si>
  <si>
    <t>Heindel, Ruth C.; Darling, Josh P.; Singley, Joel G.; Bergstrom, Anna J.; McKnight, Diane M.; Lukkari, Braeden M.; Welch, Kathleen A.; Gooseff, Michael N.</t>
  </si>
  <si>
    <t>Diatoms in Hyporheic Sediments Trace Organic Matter Retention and Processing in the McMurdo Dry Valleys, Antarctica</t>
  </si>
  <si>
    <t>benthic processes; biogeochemical cycles; processes; and modeling; carbon cycling; groundwater; surface water interactions; nitrogen cycling; biogenic silica; diatoms; hyporheic zone; McMurdo Dry Valleys; particulate organic matter</t>
  </si>
  <si>
    <t>VERTICAL HYDROLOGIC EXCHANGE; TRANSIENT STORAGE; NITROGEN DYNAMICS; MELTWATER STREAMS; TAYLOR VALLEY; LAKE FRYXELL; ZONE; COMMUNITIES; METABOLISM; AMMONIUM</t>
  </si>
  <si>
    <t>In low-nutrient streams in cold and arid ecosystems, the spiraling of autochthonous particulate organic matter (POM) may provide important nutrient subsidies downstream. Because of its lability and the spatial heterogeneity of processing in hyporheic sediments, the downstream transport and fate of autochthonous POM can be difficult to trace. In Antarctic McMurdo Dry Valley (MDV) streams, any POM retained in the hyporheic zone is expected to be derived from surface microbial mats that contain diatoms with long-lasting silica frustules. We tested whether diatom frustules can be used to trace the retention of autochthonous POM in the hyporheic zone and whether certain geomorphic locations promote this process. The accumulation of diatom frustules in hyporheic sediments, measured as biogenic silica, was correlated with loss-on-ignition organic matter and sorbed ammonium, suggesting that diatoms can be used to identify locations where POM has been retained and processed over long timescales, regardless of whether the POM remains intact. In addition, by modeling the upstream sources of hyporheic diatom assemblages, we found that POM was predominantly derived from N-fixing microbial mats of the genus Nostoc. In terms of spatial variability, we conclude that the hyporheic sediments adjacent to the stream channel that are regularly inundated by daily flood pulses are where the most POM has been retained over long timescales. Autochthonous POM is retained in hyporheic zones of low-nutrient streams beyond the MDVs, and we suggest that biogenic silica and diatom composition can be used to identify locations where this transfer is most prevalent.</t>
  </si>
  <si>
    <t>[Heindel, Ruth C.; Darling, Josh P.; Singley, Joel G.; Bergstrom, Anna J.; McKnight, Diane M.; Lukkari, Braeden M.; Welch, Kathleen A.; Gooseff, Michael N.] Univ Colorado, Inst Arctic &amp; Alpine Res, Boulder, CO 80309 USA; [Heindel, Ruth C.] Kenyon Coll, Environm Studies Program, Gambier, OH 43022 USA; [Darling, Josh P.; Singley, Joel G.] Univ Colorado, Environm Studies Program, Boulder, CO 80309 USA; [Bergstrom, Anna J.] Boise State Univ, Dept Geosci, Boise, ID 83725 USA</t>
  </si>
  <si>
    <t>University of Colorado System; University of Colorado Boulder; University System of Ohio; Kenyon College; University of Colorado System; University of Colorado Boulder; Idaho; Boise State University</t>
  </si>
  <si>
    <t>Heindel, RC (corresponding author), Univ Colorado, Inst Arctic &amp; Alpine Res, Boulder, CO 80309 USA.;Heindel, RC (corresponding author), Kenyon Coll, Environm Studies Program, Gambier, OH 43022 USA.</t>
  </si>
  <si>
    <t>heindel1@kenyon.edu</t>
  </si>
  <si>
    <t>Gooseff, Michael N/N-6087-2015</t>
  </si>
  <si>
    <t>Gooseff, Michael N/0000-0003-4322-8315; Welch, Kathleen/0000-0003-1028-3086; Darling, Joshua/0000-0001-9074-4617; Bergstrom, Anna/0000-0002-9684-4018; Heindel, Ruth/0000-0001-6292-2076; MCKNIGHT, DIANE/0000-0002-4171-1533; Singley, Joel/0000-0002-7906-8491</t>
  </si>
  <si>
    <t>U.S. National Science Foundation [OPP-1637708]</t>
  </si>
  <si>
    <t>Funding for this work was provided by a U.S. National Science Foundation grant to the McMurdo Dry Valleys Long-Term Ecological Research project (Grant no. #OPP-1637708). The authors would like to thank the Antarctic Support Contract and Petroleum Helicopters, Inc. for logistics support and transportation that made this fieldwork possible.</t>
  </si>
  <si>
    <t>e2020JG006097</t>
  </si>
  <si>
    <t>10.1029/2020JG006097</t>
  </si>
  <si>
    <t>QQ3GY</t>
  </si>
  <si>
    <t>WOS:000624413700016</t>
  </si>
  <si>
    <t>Bull, CYS; Jenkins, A; Jourdain, NC; Vanková, I; Holland, PR; Mathiot, P; Hausmann, U; Sallée, JB</t>
  </si>
  <si>
    <t>Bull, Christopher Y. S.; Jenkins, Adrian; Jourdain, Nicolas C.; Vankova, Irena; Holland, Paul R.; Mathiot, Pierre; Hausmann, Ute; Sallee, Jean-Baptiste</t>
  </si>
  <si>
    <t>Remote Control of Filchner-Ronne Ice Shelf Melt Rates by the Antarctic Slope Current</t>
  </si>
  <si>
    <t>Antarctica; Antarctic Slope Current; Filchner‐ Ronne; ice shelf; NEMO; Weddell Sea</t>
  </si>
  <si>
    <t>SEA CONTINENTAL-SHELF; WEDDELL SEA; SOUTHERN-OCEAN; SHEET; MODEL; BENEATH; CIRCULATION; IMPACT; CAVITY; TIDES</t>
  </si>
  <si>
    <t>Recent work on the Filchner-Ronne Ice Shelf (FRIS) system has shown that a redirection of the coastal current in the southeastern Weddell Sea could lead to a regime change in which an intrusion of warm Modified Circumpolar Deep Water results in large increases in the basal melt rate. Work to date has mostly focused on how increases in the Modified Circumpolar Deep Water crossing the continental shelf break leads directly to heat driven changes in melting in the ice-shelf cavity. In this study, we introduce a Weddell Sea regional ocean model configuration with static ice shelves. We evaluate a reference simulation against radar observations of melting, and find good agreement between the simulated and observed mean melt rates. We analyze 28 sensitivity experiments that simulate the influence of changes in remote water properties of the Antarctic Slope Current on basal melting in the FRIS. We find that remote changes in salinity quasi-linearly modulate the mean FRIS net melt rate. Changes in remote temperature quadratically vary the FRIS net melt rate. In both salinity and temperature perturbations, the response is rapid and transient, with a recovery time-scale of 5-15 years dependent on the size/type of perturbation. We show that the two types of perturbations lead to different changes on the continental shelf, and that ultimately different factors modulate the melt rates in the FRIS cavity. We discuss how these results, are relevant for ocean hindcast simulations, sea level, and melt rate projections of the FRIS.</t>
  </si>
  <si>
    <t>[Bull, Christopher Y. S.; Jenkins, Adrian; Vankova, Irena; Holland, Paul R.] British Antarctic Survey, Cambridge, England; [Bull, Christopher Y. S.; Jenkins, Adrian] Northumbria Univ, Dept Geog &amp; Environm Sci, Newcastle Upon Tyne, Tyne &amp; Wear, England; [Jourdain, Nicolas C.; Mathiot, Pierre] Univ Grenoble Alpes, CNRS, IRD, G INP,IGE, Grenoble, France; [Mathiot, Pierre] Met Off, Exeter, Devon, England; [Hausmann, Ute; Sallee, Jean-Baptiste] Sorbonne Univ, CNRS, LOCEAN UMR 7159, IRD,MNHN, Paris, France</t>
  </si>
  <si>
    <t>UK Research &amp; Innovation (UKRI); Natural Environment Research Council (NERC); NERC British Antarctic Survey; Northumbria University; Institut de Recherche pour le Developpement (IRD); Communaute Universite Grenoble Alpes; Universite Grenoble Alpes (UGA); Centre National de la Recherche Scientifique (CNRS); Met Office - UK; Sorbonne Universite; Institut de Recherche pour le Developpement (IRD); Centre National de la Recherche Scientifique (CNRS); CNRS - National Institute for Earth Sciences &amp; Astronomy (INSU); Museum National d'Histoire Naturelle (MNHN)</t>
  </si>
  <si>
    <t>Bull, CYS (corresponding author), British Antarctic Survey, Cambridge, England.;Bull, CYS (corresponding author), Northumbria Univ, Dept Geog &amp; Environm Sci, Newcastle Upon Tyne, Tyne &amp; Wear, England.</t>
  </si>
  <si>
    <t>christopher.bull@northumbria.ac.uk</t>
  </si>
  <si>
    <t>Jenkins, Adrian/IUN-2406-2023; Holland, Paul R/G-2796-2012; SALLEE, Jean baptiste/HDO-5355-2022; Jourdain, Nicolas/B-6899-2015</t>
  </si>
  <si>
    <t>Mathiot, Pierre/0000-0002-2001-0762; Bull, Christopher/0000-0001-8362-3446; Jenkins, Adrian/0000-0002-9117-0616; Jourdain, Nicolas/0000-0002-1372-2235; Hausmann, Ute/0000-0003-2753-5710</t>
  </si>
  <si>
    <t>UK Natural Environment Research Council (NERC) through the Filchner Ice Shelf System project [NE/L013770/1]; European Union [820575]; French National Research Agency (ANR) through the TROIS-AS project [ANR-15-CE01-0005-01]; European Union's Horizon 2020 research and innovation programme under the Marie Sklodowska-Curie grant [790062]; European Research Council (ERC) under the European Union`s Horizon 2020 research and innovation program [637770]; CNES; JWCRP Joint Marine Modelling Programme; NERC [NE/L013770/1, bas0100033] Funding Source: UKRI; Marie Curie Actions (MSCA) [790062] Funding Source: Marie Curie Actions (MSCA)</t>
  </si>
  <si>
    <t>UK Natural Environment Research Council (NERC) through the Filchner Ice Shelf System project(UK Research &amp; Innovation (UKRI)Natural Environment Research Council (NERC)); European Union(European Union (EU)); French National Research Agency (ANR) through the TROIS-AS project(Agence Nationale de la Recherche (ANR)); European Union's Horizon 2020 research and innovation programme under the Marie Sklodowska-Curie grant(Marie Curie Actions); European Research Council (ERC) under the European Union`s Horizon 2020 research and innovation program(European Research Council (ERC)); CNES(Centre National D'etudes Spatiales); JWCRP Joint Marine Modelling Programme; NERC(UK Research &amp; Innovation (UKRI)Natural Environment Research Council (NERC)); Marie Curie Actions (MSCA)(Marie Curie Actions)</t>
  </si>
  <si>
    <t>The authors would like to thank David R. Munday, Antony Siahaan, and Xylar Asay-Davis for helpful discussions while setting up the modelling configuration and running G07-JRA. This research was supported by the UK Natural Environment Research Council (NERC) through the Filchner Ice Shelf System project (NE/L013770/1) and the European Union's Horizon 2020 research and innovation programme under grant agreement no. 820575 (TiPACCs). N. Jourdain is funded by the French National Research Agency (ANR) through the TROIS-AS project (ANR-15-CE01-0005-01). I. Vankova received funding from the European Union's Horizon 2020 research and innovation programme under the Marie Sklodowska-Curie grant (agreement 790062). J. B. Sallee and U. Hausmann were funded by the European Research Council (ERC) under the European Union`s Horizon 2020 research and innovation program (grant agreement 637770). U. Hausmann moreover acknowledges funding by CNES. The authors also acknowledge the JWCRP Joint Marine Modelling Programme for providing support and access to model configurations and output. The authors thank Ronja Reese for advice on the use of buttressing flux response numbers from Reese, Gudmundsson et al. (2018) and Jeremie Mouginot for kindly sharing data from (Rignot et al., 2013). The authors thank Xylar Asay-Davis for his detailed review feedback and interest, which contributed to the quality of this manuscript. The authors also thank an anonymous reviewer for their constructive comments.</t>
  </si>
  <si>
    <t>e2020JC016550</t>
  </si>
  <si>
    <t>10.1029/2020JC016550</t>
  </si>
  <si>
    <t>QQ3NA</t>
  </si>
  <si>
    <t>WOS:000624429800016</t>
  </si>
  <si>
    <t>Khan, SS; Echevarria, ER; Hemer, MA</t>
  </si>
  <si>
    <t>Khan, S. S.; Echevarria, E. R.; Hemer, M. A.</t>
  </si>
  <si>
    <t>Ocean Swell Comparisons Between Sentinel-1 and WAVEWATCH III Around Australia</t>
  </si>
  <si>
    <t>Australia; climate; SAR; seasonal variability; Southern Ocean; waves</t>
  </si>
  <si>
    <t>SEASONAL VARIABILITY; WAVE SPECTRA; WIND-WAVES; MODEL; PROPAGATION; UNSTEADY; ISLANDS; IMPACT; ICE</t>
  </si>
  <si>
    <t>An intercomparison between directional wave spectra derived from Sentinel-1 Synthetic Aperture Radar (SAR) satellites and a WAVEWATCH III model hindcast in the wider Australian region is presented. The coastal buoy network around Australia is considerably sparse, and only a handful of buoy measurements exist in deeper oceans. National and regional scale wave models require validation and verification through intercomparisons with available observations to be confidently adopted and improved. In the absence of dense in-situ measurements, satellite-derived surface wave data provide an invaluable and independent source of observations. Satellite altimeters provide well-calibrated significant wave height data, but do not resolve wave directions, and are also not the platform of choice for resolving wave periods. SAR satellites that routinely map ocean surface waves fill this gap as they are able to measure directional wind-wave spectra of long period waves. This constitutes an important satellite data stream for better understanding the propagation of swell waves across ocean basins, and for comparisons with national and down-scaled wave models. However, both SAR wave measurements as well as wave models do not represent the truth and need qualification before regarding them as reliable data sets. The aim of this article is to perform an intercomparison of a wave model hindcast with SAR-derived wave information in the wider Australian region. The comparisons are done in the context of mean wave climate and its seasonal variability, and demonstrate good agreement for wave heights and periods. Valuable insights into possible sources of disagreement are given.</t>
  </si>
  <si>
    <t>[Khan, S. S.] CSIRO, Oceans &amp; Atmosphere, Aspendale, Vic, Australia; [Echevarria, E. R.] Univ Tasmania, Inst Marine &amp; Antarctic Studies, Hobart, Tas, Australia; [Echevarria, E. R.] Univ Tasmania, Ctr Excellence Climate Extremes, Australian Res Council, Hobart, Tas, Australia; [Echevarria, E. R.; Hemer, M. A.] CSIRO, Oceans &amp; Atmosphere, Hobart, Tas, Australia</t>
  </si>
  <si>
    <t>Commonwealth Scientific &amp; Industrial Research Organisation (CSIRO); University of Tasmania; University of Tasmania; Commonwealth Scientific &amp; Industrial Research Organisation (CSIRO)</t>
  </si>
  <si>
    <t>Khan, SS (corresponding author), CSIRO, Oceans &amp; Atmosphere, Aspendale, Vic, Australia.</t>
  </si>
  <si>
    <t>salmansaeed.khan@csiro.au</t>
  </si>
  <si>
    <t>Echevarria, Emilio/AFW-5225-2022; Khan, Salman Saeed/AAU-7135-2021; Hemer, Mark/M-1905-2013</t>
  </si>
  <si>
    <t>Khan, Salman Saeed/0000-0001-6592-0068; Hemer, Mark/0000-0002-7725-3474; Echevarria, Emilio/0000-0003-1267-2587</t>
  </si>
  <si>
    <t>Australian Government Pacific-Australia Climate Change Science and Adaptation Program; IMOS Satellite Remote Sensing Surface Waves subfacility; UTAS-CSIRO Quantitative Marine Science Program; Institute for Marine and Antarctic Studies; CSIRO Office of the Chief Executive top-up scholarship</t>
  </si>
  <si>
    <t>Australian Government Pacific-Australia Climate Change Science and Adaptation Program(Australian Government); IMOS Satellite Remote Sensing Surface Waves subfacility; UTAS-CSIRO Quantitative Marine Science Program; Institute for Marine and Antarctic Studies; CSIRO Office of the Chief Executive top-up scholarship</t>
  </si>
  <si>
    <t>The authors thank the two anonymous reviewers and associate editor for their suggestions, which have helped in vastly improving the manuscript. The authors also acknowledge the European Copernicus program and Copernicus Australasia regional data hub for making Sentinel-1 data freely available. The derived Sentinel-1 data used here have been sourced from Australian Ocean Data Network (AODN) Portal of the Integrated Marine Observing System (IMOS) of Australia. The authors also acknowledge the availability of the CAWCR hindcast, funded through the Australian Government Pacific-Australia Climate Change Science and Adaptation Program. The authors also acknowledge relevant discussions via different media with Alexis Mouche and Antoine Grouazel. S. Khan and M. Hemer are supported by IMOS Satellite Remote Sensing Surface Waves subfacility. E. Echevarria is supported by funding from the UTAS-CSIRO Quantitative Marine Science Program, the Institute for Marine and Antarctic Studies, and a CSIRO Office of the Chief Executive top-up scholarship.</t>
  </si>
  <si>
    <t>e2020JC016265</t>
  </si>
  <si>
    <t>10.1029/2020JC016265</t>
  </si>
  <si>
    <t>WOS:000624429800037</t>
  </si>
  <si>
    <t>Manta, G; Speich, S; Karstensen, J; Hummels, R; Kersalé, M; Laxenaire, R; Piola, A; Chidichimo, MP; Sato, OT; da Cunha, LC; Ansorge, I; Lamont, T; van den Berg, MA; Schuster, U; Tanhua, T; Kerr, R; Guerrero, R; Campos, E; Meinen, CS</t>
  </si>
  <si>
    <t>Manta, G.; Speich, S.; Karstensen, J.; Hummels, R.; Kersale, M.; Laxenaire, R.; Piola, A.; Chidichimo, M. P.; Sato, O. T.; Cotrim da Cunha, L.; Ansorge, I.; Lamont, T.; van den Berg, M. A.; Schuster, U.; Tanhua, T.; Kerr, R.; Guerrero, R.; Campos, E.; Meinen, C. S.</t>
  </si>
  <si>
    <t>The South Atlantic Meridional Overturning Circulation and Mesoscale Eddies in the First GO-SHIP Section at 34.5°S</t>
  </si>
  <si>
    <t>ANTARCTIC INTERMEDIATE WATER; TRANSPORT VARIABILITY; TEMPORAL VARIABILITY; HEAT-TRANSPORT; DECADAL VARIABILITY; INTERBASIN EXCHANGE; BOUNDARY CURRENT; AGULHAS RINGS; OCEAN HEAT; DEEP-WATER</t>
  </si>
  <si>
    <t>The variability of the Atlantic meridional overturning circulation (AMOC) has considerable impacts on the global climate system. Past studies have shown that changes in the South Atlantic control the stability of the AMOC and drive an important part of its variability. That is why significant resources have been invested in a South (S)AMOC observing system. In January 2017, the RV Maria S. Merian conducted the first GO-SHIP hydrographic transect along the SAMOC-Basin Wide Array (SAMBA) line at 34.5 degrees S in the South Atlantic. This paper presents estimates of meridional volume, freshwater (MFT), and heat (MHT) transports through the line using the slow varying geostrophic density field and direct velocity observations. An upper and an abyssal overturning cell are identified with a strength of 15.64 +/- 1.39 Sv and 2.4 +/- 1.6 Sv, respectively. The net northward MHT is 0.27 +/- 0.10 PW, increasing by 0.12 PW when we remove the observed mesoscale eddies with a climatology derived from the Argo floats data set. We attribute this change to an anomalous predominance of cold core eddies during the cruise period. The highest velocities are observed in the western boundary, within the Brazil and the Deep Western Boundary currents. These currents appear as a continuous deep jet located 150 km off the slope squeezed between two cyclonic eddies. The zonal changes in water masses properties and velocity denote the imprint of exchange pathways with both the Southern and the Indian oceans. Plain Language Summary The Atlantic meridional overturning circulation (AMOC) is a crucial element of the global ocean circulation and climate. It connects the Southern Ocean to the northern North Atlantic, and is responsible for the interhemispheric northward transport of heat and freshwater. The South Atlantic is a crossroad for water masses from the Southern, the Indian and the North Atlantic oceans. This paper analyzes the first full-ocean-depth trans-basin measurements of the southern most enclosed section of the Atlantic between South Africa and Brazil along 34.5 degrees S. Our results confirm a northward transport of heat at this latitude. We also found a complex water mass structure and dynamics, characterized by intense boundary currents and mesoscale eddies. It is the sum of these elements that is not only crucial for the Atlantic but also for the global ocean circulation and climate.</t>
  </si>
  <si>
    <t>[Manta, G.; Speich, S.] CNRS, Ecole Polytech, LMD IPSL, Lab Meteorol Dynam,ENS, Paris, France; [Manta, G.] Univ Republica, Fac Ciencias, Dept Ciencias Atmosfera, Montevideo, Uruguay; [Karstensen, J.; Hummels, R.; Tanhua, T.] GEOMAR Helmholtz Ctr Ocean Res Kiel, Kiel, Germany; [Kersale, M.] Univ Miami, Cooperat Inst Marine &amp; Atmospher Studies, Miami, FL USA; [Kersale, M.; Meinen, C. S.] NOAA, Atlantic Oceanog &amp; Meteorol Lab, Miami, FL 33149 USA; [Laxenaire, R.] Florida State Univ, Ctr Ocean Atmospher Predict Studies, Tallahassee, FL 32306 USA; [Piola, A.; Chidichimo, M. P.] Serv Hidrog Naval SHN, Dept Oceanog, Buenos Aires, DF, Argentina; [Piola, A.] Univ Buenos Aires, Dept Ciencias Atmosfera &amp; Oceanos, Buenos Aires, DF, Argentina; [Piola, A.; Chidichimo, M. P.] Consejo Nacl Invest Cient &amp; Tecn, Buenos Aires, DF, Argentina; [Piola, A.; Chidichimo, M. P.] CNRS, CONICET, UBA, Inst Franco Argentino Estudios Clima &amp; Sus Impact, Buenos Aires, DF, Argentina; [Sato, O. T.; Campos, E.] Univ Sao Paulo, Oceanog Inst, Sao Paulo, Brazil; [Cotrim da Cunha, L.] Univ Estado Rio De Janeiro, Fac Oceanog, BrOA, Rio De Janeiro, Brazil; [Ansorge, I.; Lamont, T.] Univ Cape Town, Oceanog Dept, Cape Town, South Africa; [Lamont, T.; van den Berg, M. A.] Dept Environm Forestry &amp; Fisheries, Oceans &amp; Coasts Res Branch, Cape Town, South Africa; [Lamont, T.] Bayworld Ctr Res &amp; Educ, Cape Town, South Africa; [Schuster, U.] Univ Exeter, Coll Life &amp; Environm Sci, Exeter, Devon, England; [Kerr, R.] Univ Fed Rio Grande FURG, Inst Oceanog, Lab Estudos Oceanos &amp; Clima, Rio Grande, Brazil; [Guerrero, R.] Univ Nacl Mar del Plata, Fac Ciencias Exactas &amp; Nat, Dept Ciencias Marinas, Funes, Argentina; [Campos, E.] Amer Univ Sharjah, Coll Arts &amp; Sci, Dept Biol Chem &amp; Environm Sci, Sharjah, U Arab Emirates</t>
  </si>
  <si>
    <t>Sorbonne Universite; Universite PSL; Ecole Normale Superieure (ENS); Centre National de la Recherche Scientifique (CNRS); Ecole des Ponts ParisTech; Universidad de la Republica, Uruguay; Helmholtz Association; GEOMAR Helmholtz Center for Ocean Research Kiel; University of Miami; National Oceanic Atmospheric Admin (NOAA) - USA; Atlantic Oceanographic &amp; Meteorological Laboratory (AOML); State University System of Florida; Florida State University; Servicio de Hidrografia Naval; University of Buenos Aires; Consejo Nacional de Investigaciones Cientificas y Tecnicas (CONICET); University of Buenos Aires; Consejo Nacional de Investigaciones Cientificas y Tecnicas (CONICET); Universidade de Sao Paulo; Universidade do Estado do Rio de Janeiro; University of Cape Town; University of Exeter; Universidade Federal do Rio Grande; National University of Mar del Plata; American University of Sharjah</t>
  </si>
  <si>
    <t>Manta, G (corresponding author), CNRS, Ecole Polytech, LMD IPSL, Lab Meteorol Dynam,ENS, Paris, France.;Manta, G (corresponding author), Univ Republica, Fac Ciencias, Dept Ciencias Atmosfera, Montevideo, Uruguay.</t>
  </si>
  <si>
    <t>gaston.manta@lmd.ens.fr</t>
  </si>
  <si>
    <t>Piola, Alberto R/O-2280-2013; Kersalé, Marion/L-2975-2015; Karstensen, Johannes/A-8534-2013; Meinen, Christopher S/G-1902-2012; Tanhua, Toste/HLX-5402-2023; Hummels, Rebecca/A-3631-2015; Piola, Alberto/HZI-5475-2023; Laxenaire, Rémi/HTM-5210-2023; Sato, Olga T/G-3656-2013; Cotrim da Cunha, Leticia/F-5732-2010; Speich, Sabrina/L-3780-2014; Kerr, Rodrigo/I-2494-2012</t>
  </si>
  <si>
    <t>Karstensen, Johannes/0000-0001-5044-7079; Hummels, Rebecca/0000-0002-3746-6213; Cotrim da Cunha, Leticia/0000-0001-8035-1430; Speich, Sabrina/0000-0002-5452-8287; Kerr, Rodrigo/0000-0002-2632-3137; Ansorge, Isabelle/0000-0001-7071-8147; Manta, Gaston/0000-0002-3089-4733; Chidichimo, Maria Paz/0000-0002-4745-9017; Lamont, Tarron/0000-0001-8464-891X</t>
  </si>
  <si>
    <t>European Union's Horizon 2020 research and innovation program [633211, 817578]; TOEddies CNES-TOSCA research grant; South African NRF [UID 110733, 118901]; ANII-Campus France [POS_CFRA_2017_1_146868]; Cooperative Institute for Marine and Atmospheric Studies (CIMAS), a Cooperative Institute of the University of Miami; National Oceanic and Atmospheric Administration (NOAA) [NA20OAR4320472]; NOAA Atlantic Oceanographic and Meteorological Laboratory; German Federal Ministry of Education and Research [03F0605 B, 03F0824 C]; European Union [817578]; Sao Paulo State Research Foundation (FAPESP) [2011/50552-4, 2017/09659-6]; South African National Research Foundation [110733]; Department of Environment, Forestry and Fisheries</t>
  </si>
  <si>
    <t>European Union's Horizon 2020 research and innovation program(Horizon 2020); TOEddies CNES-TOSCA research grant; South African NRF(National Research Foundation - South Africa); ANII-Campus France; Cooperative Institute for Marine and Atmospheric Studies (CIMAS), a Cooperative Institute of the University of Miami; National Oceanic and Atmospheric Administration (NOAA)(National Oceanic Atmospheric Admin (NOAA) - USA); NOAA Atlantic Oceanographic and Meteorological Laboratory(National Oceanic Atmospheric Admin (NOAA) - USA); German Federal Ministry of Education and Research(Federal Ministry of Education &amp; Research (BMBF)); European Union(European Union (EU)); Sao Paulo State Research Foundation (FAPESP)(Fundacao de Amparo a Pesquisa do Estado de Sao Paulo (FAPESP)); South African National Research Foundation(National Research Foundation - South Africa); Department of Environment, Forestry and Fisheries</t>
  </si>
  <si>
    <t>The authors declare to have no conflict of interest and deeply acknowledge all the people on board MSM60, the SAMOC-SAMBAR team, and all the open access datasets. This work was supported by the European Union's Horizon 2020 research and innovation program under grant agreements no. 633211 (AtlantOS) and no. 817578 (TRIATLAS), the TOEddies CNES-TOSCA research grant. In addition, this work was further supported under the South African NRF grants UID 110733 and 118901. G. Manta received funding from bourse ANII-Campus France (POS_CFRA_2017_1_146868). M. Kersale was supported in part under the auspices of the Cooperative Institute for Marine and Atmospheric Studies (CIMAS), a Cooperative Institute of the University of Miami and the National Oceanic and Atmospheric Administration (NOAA), cooperative agreement NA20OAR4320472. M. Kersale and C. S. Meinen also acknowledge additional support from the NOAA Atlantic Oceanographic and Meteorological Laboratory. R. Hummels acknowledges support from the German Federal Ministry of Education and Research as part of the cooperative project RACE (03F0605 B, 03F0824 C) and the European Union's Horizon 2020 research and innovation program under grant agreement 817578 TRIATLAS project. SAMBAR Project is funded by the Sao Paulo State Research Foundation (FAPESP, grants 2011/50552-4 and 2017/09659-6). T. Lamont, M.A. van den Berg, and I. Ansorge received funding from the South African National Research Foundation (no. 110733) as well as the Department of Environment, Forestry and Fisheries. The authors also acknowledge the mesoscale calculation server CICLAD (http://ciclad-web.ipsl.jussieu.fr) dedicated to Institut Pierre Simon Laplace modeling and data analyses effort for technical and computational support.</t>
  </si>
  <si>
    <t>e2020JC016962</t>
  </si>
  <si>
    <t>10.1029/2020JC016962</t>
  </si>
  <si>
    <t>WOS:000624429800057</t>
  </si>
  <si>
    <t>Marin, M; Feng, M; Phillips, HE; Bindoff, NL</t>
  </si>
  <si>
    <t>Marin, Maxime; Feng, Ming; Phillips, Helen E.; Bindoff, Nathaniel L.</t>
  </si>
  <si>
    <t>A Global, Multiproduct Analysis of Coastal Marine Heatwaves: Distribution, Characteristics, and Long-Term Trends</t>
  </si>
  <si>
    <t>coastal; ensemble approach; internal variability; long‐ term trends; marine heatwaves (MHW)</t>
  </si>
  <si>
    <t>SEA-SURFACE-TEMPERATURE; NINGALOO NINO; PACIFIC; SATELLITE; OCEAN; INTENSIFICATION; VARIABILITY; MECHANISMS; AUSTRALIA; PATTERNS</t>
  </si>
  <si>
    <t>Major marine heatwave (MHW) events have caused catastrophic impacts on coastal marine ecosystems. However, to date there has not been a global assessment of MHWs in coastal areas where rich marine ecosystems are at risk. Here, we combine four satellite Sea Surface Temperature (SST) products to quantify the distribution, characteristics, and decadal trend of coastal MHWs, using an ensemble approach. Hotspots of MHW stress, defined as yearly cumulative intensity, were found to be concentrated in mid latitude coasts like the Mediterranean Sea, Japan Sea, and Tasman Sea, as well as the north-eastern coast of the United States. We found a global increase in coastal MHW frequency and duration during the past 25 years by 1-2 events per decade and 5-10 days per decade, respectively, with regional distribution closely related to decadal climate variability. Increases in frequency and duration of MHWs has led to large increases of cumulative intensity and yearly cumulative intensity, particularly in mid-latitudes and hotspot regions. Long-term changes in mean SST were the main driver of the observed trends of coastal MHWs, while internal variability was important for explaining local decreases in MHW metrics such as along the south-eastern Pacific coast. MHW average metrics and trends were consistent across all four products used in this analysis, giving high confidence in the results. However, important differences between products were observed for MHW mean intensity, which was well correlated to SST variability, suggesting sensitivity of this metric to the specific SST data set and demonstrating a need for an ensemble approach to MHW analysis.</t>
  </si>
  <si>
    <t>[Marin, Maxime; Phillips, Helen E.; Bindoff, Nathaniel L.] Univ Tasmania, Inst Marine &amp; Antarctic Studies, Hobart, Tas, Australia; [Marin, Maxime; Phillips, Helen E.; Bindoff, Nathaniel L.] ARC Ctr Excellence Climate Extremes, Hobart, Tas, Australia; [Marin, Maxime; Feng, Ming] CSIRO Oceans &amp; Atmosphere, Indian Ocean Marine Res Ctr, Crawley, WA, Australia; [Feng, Ming] Ctr Southern Hemisphere Oceans Res, Hobart, Tas, Australia; [Phillips, Helen E.; Bindoff, Nathaniel L.] Australian Antarctic Program Partnership, Hobart, Tas, Australia; [Bindoff, Nathaniel L.] CSIRO Oceans &amp; Atmosphere, Hobart, Tas, Australia</t>
  </si>
  <si>
    <t>University of Tasmania; University of Western Australia; Commonwealth Scientific &amp; Industrial Research Organisation (CSIRO); Commonwealth Scientific &amp; Industrial Research Organisation (CSIRO)</t>
  </si>
  <si>
    <t>Marin, M (corresponding author), Univ Tasmania, Inst Marine &amp; Antarctic Studies, Hobart, Tas, Australia.;Marin, M (corresponding author), ARC Ctr Excellence Climate Extremes, Hobart, Tas, Australia.;Marin, M (corresponding author), CSIRO Oceans &amp; Atmosphere, Indian Ocean Marine Res Ctr, Crawley, WA, Australia.</t>
  </si>
  <si>
    <t>Maxime.Marin@csiro.au</t>
  </si>
  <si>
    <t>Marin, Maxime/AAJ-1887-2021; Bindoff, Nathaniel Lee/IVV-0333-2023; Bindoff, Nathaniel Lee/C-8050-2011; Phillips, Helen/I-3761-2013; Feng, Ming/F-5411-2010</t>
  </si>
  <si>
    <t>Marin, Maxime/0000-0001-7209-4454; Bindoff, Nathaniel Lee/0000-0001-5662-9519; Bindoff, Nathaniel Lee/0000-0001-5662-9519; Phillips, Helen/0000-0002-2941-7577; Feng, Ming/0000-0002-2855-7092</t>
  </si>
  <si>
    <t>CAS-CSIRO collaboration project on comparative studies of marine ecosystems; Earth Systems and Climate Change Hub of the Australian Government's National Environmental Science Program; Centre for Southern Hemisphere Oceans Research (CSHOR)</t>
  </si>
  <si>
    <t>The authors acknowledge agencies and organizations responsible for providing data. Maxime Marin and Ming Feng are partly supported by a CAS-CSIRO collaboration project on comparative studies of marine ecosystems between Australia and China.; Helen E. Phillips and Nathaniel L. Bindoff acknowledge funding from the Earth Systems and Climate Change Hub of the Australian Government's National Environmental Science Program.; Ming Feng is also supported by the Centre for Southern Hemisphere Oceans Research (CSHOR), which is a joint initiative between the Qingdao National Laboratory for Marine Science and Technology (QNLM), CSIRO, University of New South Wales and University of Tasmania.</t>
  </si>
  <si>
    <t>e2020JC016708</t>
  </si>
  <si>
    <t>10.1029/2020JC016708</t>
  </si>
  <si>
    <t>WOS:000624429800055</t>
  </si>
  <si>
    <t>Twelves, AG; Goldberg, DN; Henley, SF; Mazloff, MR; Jones, DC</t>
  </si>
  <si>
    <t>Twelves, A. G.; Goldberg, D. N.; Henley, S. F.; Mazloff, M. R.; Jones, D. C.</t>
  </si>
  <si>
    <t>Self-Shading and Meltwater Spreading Control the Transition From Light to Iron Limitation in an Antarctic Coastal Polynya</t>
  </si>
  <si>
    <t>Amundsen Sea; colimitation; meltwater; NPP; phytoplankton; self‐ shading</t>
  </si>
  <si>
    <t>Dotson Ice Shelf (DIS) in West Antarctica is undergoing rapid basal melting driven by intrusions of warm, saline Circumpolar Deep Water (CDW) onto the continental shelf. Meltwater from DIS is thought to influence biology in the adjacent Amundsen Sea Polynya (ASP), which exhibits the highest net primary productivity (NPP) per unit area of any coastal polynya in the Southern Ocean. However, the relative importance of iron and light in colimiting the spring phytoplankton bloom in the ASP remains poorly understood. In this modeling study we first investigate the mechanisms by which ice shelves impact NPP, then map spatio-temporal patterns in iron-light colimitation, and finally examine the environmental drivers of iron and light supply. We find that ice shelf melting leads to greater upper ocean iron concentrations, both directly due to release of iron from sediments entrained at the glacier bed, and indirectly via a buoyancy-driven overturning circulation which pulls iron from CDW to the surface. Both of these mechanisms increase NPP compared to experiments where ice shelf melt is suppressed. We then show that the phytoplankton self-shading feedback delays the bloom and reduces peak NPP by 80% compared to experiments where light penetration is independent of chlorophyll. Compared to light limitation, iron limitation due to phytoplankton uptake is more important a) later in the season, b) higher in the water column, and c) further from the ice shelf. Finally, sensitivity experiments show that variability in CDW intrusion influences NPP by controlling the horizontal spreading of iron-rich meltwater.</t>
  </si>
  <si>
    <t>[Twelves, A. G.; Goldberg, D. N.; Henley, S. F.] Univ Edinburgh, Sch Geosci, Edinburgh, Midlothian, Scotland; [Mazloff, M. R.] Scripps Inst Oceanog, La Jolla, CA USA; [Jones, D. C.] British Antarctic Survey, NERC, UKRI, Cambridge, England</t>
  </si>
  <si>
    <t>University of Edinburgh; University of California System; University of California San Diego; Scripps Institution of Oceanography; UK Research &amp; Innovation (UKRI); Natural Environment Research Council (NERC); NERC British Antarctic Survey</t>
  </si>
  <si>
    <t>Twelves, AG (corresponding author), Univ Edinburgh, Sch Geosci, Edinburgh, Midlothian, Scotland.</t>
  </si>
  <si>
    <t>andrew.twelves@ed.ac.uk</t>
  </si>
  <si>
    <t>Jones, Dani/0000-0002-8701-4506; Twelves, Andrew/0000-0001-9995-1532; Henley, Sian Frances/0000-0003-1221-1983</t>
  </si>
  <si>
    <t>UK Natural Environment Research Council (NERC) [NE/L002558/1]; NERC [NE/K010034/1]; North Atlantic Climate System Integrated Study (ACSIS) (NERC) [NE/N018028/1]; NASA [80NSSC20K1076]; NSF [OCE-1658001, OCE-1924388, PLR-1425989, OPP-1936222]; FLF [MR/T020822/1] Funding Source: UKRI; NERC [NE/N018001/1, NE/V013130/1, NE/K010034/1, bas0100033] Funding Source: UKRI</t>
  </si>
  <si>
    <t>UK Natural Environment Research Council (NERC)(UK Research &amp; Innovation (UKRI)Natural Environment Research Council (NERC)); NERC(UK Research &amp; Innovation (UKRI)Natural Environment Research Council (NERC)); North Atlantic Climate System Integrated Study (ACSIS) (NERC); NASA(National Aeronautics &amp; Space Administration (NASA)); NSF(National Science Foundation (NSF)); FLF; NERC(UK Research &amp; Innovation (UKRI)Natural Environment Research Council (NERC))</t>
  </si>
  <si>
    <t>This work was supported by a UK Natural Environment Research Council (NERC) doctoral training partnership grant (NE/L002558/1). S. F. Henley was supported by NERC grant NE/K010034/1. D. C. Jones is supported by The North Atlantic Climate System Integrated Study (ACSIS) (NERC grant NE/N018028/1). M. R. Mazloff acknowledges support from NASA Grant 80NSSC20K1076 and NSF Grants OCE-1658001, OCE-1924388, PLR-1425989, and OPP-1936222. The authors would like to thank Ariane Verdy for guidance in using the BLING model and Manfredi Manizza for conversations around bio-optical feedbacks; also David Bett and Paul Holland for useful exchanges on ice-ocean interactions.</t>
  </si>
  <si>
    <t>e2020JC016636</t>
  </si>
  <si>
    <t>10.1029/2020JC016636</t>
  </si>
  <si>
    <t>Green Accepted, Green Submitted, hybrid</t>
  </si>
  <si>
    <t>WOS:000624429800018</t>
  </si>
  <si>
    <t>Hanna, KLD; Bowles, NE; Warren, TJ; Hamilton, VE; Schrader, DL; McCoy, TJ; Temple, J; Clack, A; Calcutt, S; Lauretta, DS</t>
  </si>
  <si>
    <t>Donaldson Hanna, K. L.; Bowles, N. E.; Warren, T. J.; Hamilton, V. E.; Schrader, D. L.; McCoy, T. J.; Temple, J.; Clack, A.; Calcutt, S.; Lauretta, D. S.</t>
  </si>
  <si>
    <t>Spectral Characterization of Bennu Analogs Using PASCALE: A New Experimental Set-Up for Simulating the Near-Surface Conditions of Airless Bodies</t>
  </si>
  <si>
    <t>JOURNAL OF GEOPHYSICAL RESEARCH-PLANETS</t>
  </si>
  <si>
    <t>airless bodies; Bennu; laboratory; spectroscopy; thermal infrared</t>
  </si>
  <si>
    <t>INFRARED-EMISSION SPECTROSCOPY; M REFLECTANCE SPECTRA; OPTICAL-CONSTANTS; ROCK TYPES; MINERALS; DIVINER; MOON; DISRUPTION; SILICATES; ASTEROIDS</t>
  </si>
  <si>
    <t>We describe the capabilities, radiometric stability, and calibration of a custom vacuum environment chamber capable of simulating the near-surface conditions of airless bodies. Here we demonstrate the collection of spectral measurements of a suite of fine particulate asteroid analogs made using the Planetary Analogue Surface Chamber for Asteroid and Lunar Environments (PASCALE) under conditions like those found on Earth and on airless bodies. The sample suite includes anhydrous and hydrated physical mixtures, and chondritic meteorites (CM, CI, CV, CR, and L5) previously characterized under Earth- and asteroid-like conditions. And for the first time, we measure the terrestrial and extra-terrestrial mineral end members used in the olivine- and phyllosilicate-dominated physical mixtures under the same conditions as the mixtures and meteorites allowing us better understand how minerals combine spectrally when mixed intimately. Our measurements highlight the sensitivity of thermal infrared emissivity spectra to small amounts of low albedo materials and the composition of the sample materials. As the albedo of the sample decreases, we observe smaller differences between Earth- and asteroid-like spectra, which results from a reduced thermal gradient in the upper hundreds of microns in the sample. These spectral measurements can be compared to thermal infrared emissivity spectra of asteroid (101955) Bennu's surface in regions where similarly fine particulate materials may be observed to infer surface compositions.</t>
  </si>
  <si>
    <t>[Donaldson Hanna, K. L.] Univ Cent Florida, Dept Phys, Orlando, FL 32816 USA; [Donaldson Hanna, K. L.; Bowles, N. E.; Warren, T. J.; Temple, J.; Clack, A.; Calcutt, S.] Univ Oxford, Atmospher Ocean &amp; Planetary Phys, Oxford, England; [Hamilton, V. E.] Southwest Res Inst, Dept Space Sci, Boulder, CO USA; [Schrader, D. L.] Arizona State Univ, Ctr Meteorite Studies, Tempe, AZ USA; [McCoy, T. J.] Smithsonian Natl Museum Nat Hist, Washington, DC USA; [Lauretta, D. S.] Univ Arizona, Lunar &amp; Planetary Lab, Tucson, AZ 85721 USA</t>
  </si>
  <si>
    <t>State University System of Florida; University of Central Florida; University of Oxford; Southwest Research Institute; Arizona State University; Arizona State University-Tempe; Smithsonian Institution; Smithsonian National Museum of Natural History; University of Arizona</t>
  </si>
  <si>
    <t>Hanna, KLD (corresponding author), Univ Cent Florida, Dept Phys, Orlando, FL 32816 USA.;Hanna, KLD (corresponding author), Univ Oxford, Atmospher Ocean &amp; Planetary Phys, Oxford, England.</t>
  </si>
  <si>
    <t>Kerri.DonaldsonHanna@ucf.edu</t>
  </si>
  <si>
    <t>Schrader, Devin L/H-6293-2012; Hanna, Kerri Donaldson/AAC-9941-2020</t>
  </si>
  <si>
    <t>Schrader, Devin/0000-0001-5282-232X; Donaldson Hanna, Kerri/0000-0001-5592-4292; McCoy, Timothy/0000-0002-4573-3553</t>
  </si>
  <si>
    <t>National Aeronautics and Space Administration [NNM10AA11C]; NSF; NASA; Leverhulme Trust; UK Space Agency through an Aurora Research Fellowship; UK Science and Technology Facilities Council</t>
  </si>
  <si>
    <t>National Aeronautics and Space Administration(National Aeronautics &amp; Space Administration (NASA)); NSF(National Science Foundation (NSF)); NASA(National Aeronautics &amp; Space Administration (NASA)); Leverhulme Trust(Leverhulme Trust); UK Space Agency through an Aurora Research Fellowship; UK Science and Technology Facilities Council(UK Research &amp; Innovation (UKRI)Science &amp; Technology Facilities Council (STFC))</t>
  </si>
  <si>
    <t>We thank the reviewers, Melissa Lane and Karen Stockstill-Cahill, for their thorough and thoughtful edits. This manuscript is based upon work supported by the National Aeronautics and Space Administration under Contract NNM10AA11C issued through the New Frontiers Program. We thank the Smithsonian Institution, NSF, NASA, Paul Pohwat (Smithsonian), and the Arizona State University Center for Meteorite Studies Meteorite Collection for supplying the samples that were necessary for this work. The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Donaldson Hanna thanks the Leverhulme Trust for their support through a postdoctoral fellowship and the UK Space Agency for their support through an Aurora Research Fellowship. Donaldson Hanna, Bowles, Warren, Temple, Clack, and Calcutt thank the UK Science and Technology Facilities Council for supporting the University of Oxford's Planetary Spectroscopy Facility.</t>
  </si>
  <si>
    <t>2169-9097</t>
  </si>
  <si>
    <t>2169-9100</t>
  </si>
  <si>
    <t>J GEOPHYS RES-PLANET</t>
  </si>
  <si>
    <t>J. Geophys. Res.-Planets</t>
  </si>
  <si>
    <t>e2020JE006624</t>
  </si>
  <si>
    <t>10.1029/2020JE006624</t>
  </si>
  <si>
    <t>QQ2TH</t>
  </si>
  <si>
    <t>WOS:000624377600018</t>
  </si>
  <si>
    <t>Pardo-Gandarillas, MC; Díaz-Santana-Iturrios, M; Fenwick, M; Villanueva, R; Ibáñez, CM</t>
  </si>
  <si>
    <t>Cecilia Pardo-Gandarillas, M.; Diaz-Santana-Iturrios, Mariana; Fenwick, Mark; Villanueva, Roger; Ibanez, Christian M.</t>
  </si>
  <si>
    <t>REDESCRIPTION OF THE FLAPJACK OCTOPOD, OPISTHOTEUTHIS BRUUNI (CEPHALOPODA: OPISTHOTEUTHIDAE), FROM THE SOUTHEASTERN PACIFIC OCEAN AND EVOLUTIONARY RELATIONSHIPS OF CIRRATE OCTOPODS</t>
  </si>
  <si>
    <t>MALACOLOGIA</t>
  </si>
  <si>
    <t>16S; cirrata; finned octopods; cephalopods; morphology</t>
  </si>
  <si>
    <t>COLEOID CEPHALOPODS; PHYLOGENETIC-RELATIONSHIPS; MOLLUSCA; SYSTEMATICS; BIOLOGY; DNA; ATLANTIC; ECOLOGY</t>
  </si>
  <si>
    <t>Cirrate octopods are considered to resemble the ancestor of all octopuses. Cirrates inhabit the deep ocean and are characterized by the presence of fins, a cartilaginous inner shell and a single row of suckers alternating with pairs of cirri thus comprising uniserial suckers and biserial cirri. The objective of this contribution is to improve the taxonomy of Opisthoteuthis bruuni from the southeastern Pacific Ocean and to suggest a new hypothesis of cirrate phylogeny. Given that the most complete molecular data set for cirrates available in public databases is comprised almost exclusively of 16S rRNA gene sequences, we compared the morphological and mitochondrial gene 16S rRNA data generated in this study from the genus Opisthoteuthis from the southeastern Pacific Ocean. Additionally, we sequenced Opisthoteuthis chathamensis, Opisthoteuthis mero and Luteuthis dentatus from the southwestern Pacific, as along with Cirroctopus mawsoni from Antarctic waters. The morphological data and the phylogenetic analysis confirm the status of Opisthoteuthis bruuni as a member of genus Opisthoteuthis and the family Opisthoteuthidae. This re-description includes the first morphological characterization of the male and female adult stage of O. bruuni, in addition to reporting geographic and bathymetric range extensions. Opisthoteuthis bruuni presents conspicuous morphological features (small terminal fins, short cirri and U-shaped shell). Our phylogenetic tree supports three families: Cirroctopodidae, Cirroteuthidae and Opisthoteuthidae, which is different from the phylogenetic arrangements previously reported.</t>
  </si>
  <si>
    <t>[Cecilia Pardo-Gandarillas, M.] Univ Chile, Fac Ciencias, Dept Ciencias Ecol, Santiago 3425, Chile; [Diaz-Santana-Iturrios, Mariana; Ibanez, Christian M.] Univ Andres Bello, Fac Ciencias Vida, Dept Ecol &amp; Biodiversidad, Ave Republ 440, Santiago, Chile; [Fenwick, Mark] Natl Inst Water &amp; Atmospher Res Ltd, Wellington, New Zealand; [Villanueva, Roger] CSIC, Inst Ciencies Mar, Passeig Maritim Barceloneta 37-49, E-08003 Barcelona, Spain</t>
  </si>
  <si>
    <t>Universidad de Chile; Universidad Andres Bello; National Institute of Water &amp; Atmospheric Research (NIWA) - New Zealand; Consejo Superior de Investigaciones Cientificas (CSIC); CSIC - Centro Mediterraneo de Investigaciones Marinas y Ambientales (CMIMA); CSIC - Instituto de Ciencias del Mar (ICM)</t>
  </si>
  <si>
    <t>Pardo-Gandarillas, MC (corresponding author), Univ Chile, Fac Ciencias, Dept Ciencias Ecol, Santiago 3425, Chile.</t>
  </si>
  <si>
    <t>pardogandarillas@gmail.com</t>
  </si>
  <si>
    <t>Ibáñez, Christian/AGK-8830-2022; Fenwick, Mark/HCG-8860-2022; Pardo-Gandarillas, Maria C/L-3790-2017; Villanueva, Roger/D-6911-2011</t>
  </si>
  <si>
    <t>Ibáñez, Christian/0000-0002-7390-2617; Fenwick, Mark/0000-0003-3954-0074; Villanueva, Roger/0000-0001-8122-3449; Diaz-Santana-Iturrios, Mariana/0000-0002-5253-5395</t>
  </si>
  <si>
    <t>INACH [RG 50-18]; CONACYT</t>
  </si>
  <si>
    <t>INACH; CONACYT(Consejo Nacional de Ciencia y Tecnologia (CONACyT))</t>
  </si>
  <si>
    <t>This work was funded with resources provided by INACH RG 50-18 project. Authors thank Oscar Galvez and David Lopez for their support to review the specimens from the Museum of Natural History of Santiago, Chile (MNHNCL). Authors are also grateful to Diana Parraga (IFOP), Darren Stevens (NIWA) and Stephanny Curaz (UNAB) for donating samples and providing laboratory support. Mariana DiazSantana-Iturrios wishes to thank CONACYT for the grant provided during the postdoctoral stay within the framework of the call Estancias Posdoctorales en el Extranjero_2019.</t>
  </si>
  <si>
    <t>INST MALACOL</t>
  </si>
  <si>
    <t>ANN ARBOR</t>
  </si>
  <si>
    <t>2415 SOUTH CIRCLE DR, ANN ARBOR, MI 48103 USA</t>
  </si>
  <si>
    <t>0076-2997</t>
  </si>
  <si>
    <t>2168-9075</t>
  </si>
  <si>
    <t>Malacologia</t>
  </si>
  <si>
    <t>10.4002/040.063.0201</t>
  </si>
  <si>
    <t>QQ5JE</t>
  </si>
  <si>
    <t>WOS:000624558800001</t>
  </si>
  <si>
    <t>Traversa, G; Fugazza, D; Senese, A; Frezzotti, M</t>
  </si>
  <si>
    <t>Traversa, Giacomo; Fugazza, Davide; Senese, Antonella; Frezzotti, Massimo</t>
  </si>
  <si>
    <t>Landsat 8 OLI Broadband Albedo Validation in Antarctica and Greenland</t>
  </si>
  <si>
    <t>albedo; remote sensing; Landsat; cryosphere; polar regions; Antarctica; Greenland</t>
  </si>
  <si>
    <t>STELVIO NATIONAL-PARK; HAUT-GLACIER-DAROLLA; SOLAR ZENITH ANGLE; SURFACE ALBEDO; FORNI GLACIER; SNOW-ALBEDO; BLUE-ICE; ETM PLUS; RADIATION; MODEL</t>
  </si>
  <si>
    <t>The albedo is a fundamental component of the processes that govern the energy budget, and particularly important in the context of climate change. However, a satellite-based high-resolution (30 m) albedo product which can be used in the polar regions up to 82.5 degrees latitude during the summer seasons is lacking. To cover this gap, in this study we calculate satellite-based broadband albedo from Landsat 8 OLI and validate it against broadband albedo measurements from in situ stations located on the Antarctic and Greenland icesheets. The model to derive the albedo from raw satellite data includes an atmospheric and topographic correction and conversion from narrow-band to broadband albedo, and at each step different options were taken into account, in order to provide the best combination of corrections. Results, after being cleaned from anomalous data, show a good agreement with in situ albedo measurements, with a mean absolute error between in situ and satellite albedo of 0.021, a root mean square error of 0.026, a standard deviation of 0.015, a correlation coefficient of 0.995 (p &lt; 0.01) and a bias estimate of -0.005. Considering the structure of the model, it could be applied to data from previous sensors of the Landsat family and help construct a record to analyze albedo variations in the polar regions.</t>
  </si>
  <si>
    <t>[Traversa, Giacomo] Univ Siena, Dept Phys Sci Earth &amp; Environm DSFTA, I-53100 Siena, Italy; [Traversa, Giacomo; Fugazza, Davide; Senese, Antonella] Univ Milan, Dept Environm Sci &amp; Policy ESP, I-20133 Milan, Italy; [Frezzotti, Massimo] Univ Roma Tre, Dept Sci, I-00146 Rome, Italy</t>
  </si>
  <si>
    <t>University of Siena; University of Milan; Roma Tre University; Italfarmaco</t>
  </si>
  <si>
    <t>Fugazza, D (corresponding author), Univ Milan, Dept Environm Sci &amp; Policy ESP, I-20133 Milan, Italy.</t>
  </si>
  <si>
    <t>giacomo.traversa@student.unisi.it; davide.fugazza@unimi.it; antonella.senese@unimi.it; massimo.frezzotti@uniroma3.it</t>
  </si>
  <si>
    <t>Senese, Antonella/AFN-4831-2022; Traversa, Giacomo/HPC-6524-2023; FREZZOTTI, Massimo/AAK-7275-2020; Fugazza, Davide/ABD-4914-2020</t>
  </si>
  <si>
    <t>Senese, Antonella/0000-0001-7190-3272; Traversa, Giacomo/0000-0003-3108-887X; FREZZOTTI, Massimo/0000-0002-2461-2883; Fugazza, Davide/0000-0003-4523-9085</t>
  </si>
  <si>
    <t>MNA-National Antarctic Museumof Italy; DARA-Department for Regional Affairs and Autonomies-of the Italian Presidency of the Council of Ministers; Sanpellegrino Levissima Spa</t>
  </si>
  <si>
    <t>Researchers involved in the study were supported by: MNA-National Antarctic Museumof Italy (PhD Scholarship of G. Traversa), DARA-Department for Regional Affairs and Autonomies-of the Italian Presidency of the Council of Ministers and by Sanpellegrino Levissima Spa.</t>
  </si>
  <si>
    <t>10.3390/rs13040799</t>
  </si>
  <si>
    <t>QQ3MV</t>
  </si>
  <si>
    <t>WOS:000624429300001</t>
  </si>
  <si>
    <t>Guo, ZH; Yao, YB; Kong, J; Chen, G; Zhou, C; Zhang, Q; Shan, LL; Liu, C</t>
  </si>
  <si>
    <t>Guo, Zihuai; Yao, Yibin; Kong, Jian; Chen, Gang; Zhou, Chen; Zhang, Qi; Shan, Lulu; Liu, Chen</t>
  </si>
  <si>
    <t>Accuracy Analysis of International Reference Ionosphere 2016 and NeQuick2 in the Antarctic</t>
  </si>
  <si>
    <t>International Reference Ionosphere model; NeQuick model; Antarctic; GNSS STEC; accuracy analysis</t>
  </si>
  <si>
    <t>Global navigation satellite system (GNSS) can provide dual-frequency observation data, which can be used to effectively calculate total electron content (TEC). Numerical studies have utilized GNSS-derived TEC to evaluate the accuracy of ionospheric empirical models, such as the International Reference Ionosphere model (IRI) and the NeQuick model. However, most studies have evaluated vertical TEC rather than slant TEC (STEC), which resulted in the introduction of projection error. Furthermore, since there are few GNSS observation stations available in the Antarctic region and most are concentrated in the Antarctic continent edge, it is difficult to evaluate modeling accuracy within the entire Antarctic range. Considering these problems, in this study, GNSS STEC was calculated using dual-frequency observation data from stations that almost covered the Antarctic continent. By comparison with GNSS STEC, the accuracy of IRI-2016 and NeQuick2 at different latitudes and different solar radiation was evaluated during 2016-2017. The numerical results showed the following. (1) Both IRI-2016 and NeQuick2 underestimated the STEC. Since IRI-2016 utilizes new models to represent the F2-peak height (hmF2) directly, the IRI-2016 STEC is closer to GNSS STEC than NeQuick2. This conclusion was also confirmed by the Constellation Observing System for Meteorology Ionosphere and Climate (COSMIC) occultation data. (2) The differences in STEC of the two models are both normally distributed, and the NeQuick2 STEC is systematically biased as solar radiation increases. (3) The root mean square error (RMSE) of the IRI-2016 STEC is smaller than that of the NeQuick2 model, and the RMSE of the two modeling STEC increases with solar radiation intensity. Since IRI-2016 relies on new hmF2 models, it is more stable than NeQuick2.</t>
  </si>
  <si>
    <t>[Guo, Zihuai; Yao, Yibin; Zhang, Qi; Shan, Lulu; Liu, Chen] Wuhan Univ, Sch Geodesy &amp; Geomat, Wuhan 430079, Peoples R China; [Yao, Yibin] Wuhan Univ, Minist Educ, Key Lab Geospace Enviroment &amp; Geodesy, Wuhan 430079, Peoples R China; [Yao, Yibin] Collaborat Innovat Ctr Geospatial Technol, Wuhan 430079, Peoples R China; [Kong, Jian] Chinese Antarctic Ctr Surveying &amp; Mapping, Wuhan 430079, Peoples R China; [Chen, Gang] China Univ Geosci, Coll Marine Sci &amp; Technol, Wuhan 430074, Peoples R China; [Zhou, Chen] Wuhan Univ, Sch Elect Informat, Wuhan 430072, Peoples R China</t>
  </si>
  <si>
    <t>Wuhan University; Wuhan University; China University of Geosciences; Wuhan University</t>
  </si>
  <si>
    <t>Yao, YB (corresponding author), Wuhan Univ, Sch Geodesy &amp; Geomat, Wuhan 430079, Peoples R China.;Yao, YB (corresponding author), Wuhan Univ, Minist Educ, Key Lab Geospace Enviroment &amp; Geodesy, Wuhan 430079, Peoples R China.;Yao, YB (corresponding author), Collaborat Innovat Ctr Geospatial Technol, Wuhan 430079, Peoples R China.</t>
  </si>
  <si>
    <t>whugzh@whu.edu.cn; ybyao@whu.edu.cn; jkong@whu.edu.cn; ddwhcg@cug.edu.cn; chenzhou@whu.edu.cn; qizhangsgg@whu.edu.cn; llshan@whu.edu.cn; lcahqy@whu.edu.cn</t>
  </si>
  <si>
    <t>Qi, Zhang/IVX-0110-2023; Yao, Yibin/B-1395-2013</t>
  </si>
  <si>
    <t>Qi, Zhang/0000-0003-2449-9566; Zhou, chen/0000-0003-2692-9451; Yao, Yibin/0000-0002-7723-4601</t>
  </si>
  <si>
    <t>10.3390/s21041551</t>
  </si>
  <si>
    <t>QQ6OZ</t>
  </si>
  <si>
    <t>WOS:000624643800001</t>
  </si>
  <si>
    <t>Pasik, M; Bakula, K; Rózycki, S; Ostrowski, W; Kowalska, ME; Fijalkowska, A; Rajner, M; Lapinski, S; Sobota, I; Kejna, M; Osinska-Skotak, K</t>
  </si>
  <si>
    <t>Pasik, Mariusz; Bakula, Krzysztof; Rozycki, Sebastian; Ostrowski, Wojciech; Kowalska, Maria Elzbieta; Fijalkowska, Anna; Rajner, Marcin; Lapinski, Slawomir; Sobota, Ireneusz; Kejna, Marek; Osinska-Skotak, Katarzyna</t>
  </si>
  <si>
    <t>Glacier Geometry Changes in the Western Shore of Admiralty Bay, King George Island over the Last Decades</t>
  </si>
  <si>
    <t>glacier recession; glacier; glacier elevation change; glacier thickness change; climate change; DEM; image matching; archival images</t>
  </si>
  <si>
    <t>This paper presents changes in the range and thickness of glaciers in Antarctic Specially Protected Area (ASPA) No. 128 on King George Island in the period 1956-2015. The research indicates an intensification of the glacial retreat process over the last two decades, with the rate depending on the type of glacier front. In the period 2001-2015, the average recession rate of the ice cliffs of the Ecology Glacier and the northern part of the Baranowski Glacier was estimated to be approximately 15-25 m a(-1) and 10-20 m a(-1), respectively. Fronts of Sphinx Glacier and the southern part of the Baranowski Glacier, characterized by a gentle descent onto land, show a significantly lower rate of retreat (up to 5-10 m a(-1) 1). From 2001 to 2013, the glacier thickness in these areas decreased at an average rate of 1.7-2.5 m a(-1) for the Ecology Glacier and the northern part of the Baranowski Glacier and 0.8-2.5 m a(-1) for the southern part of the Baranowski Glacier and Sphinx Glacier. The presented deglaciation processes are related to changes of mass balance caused by the rapid temperature increase (1.0 degrees C since 1948). The work also contains considerations related to the important role of the longitudinal slope of the glacier surface in the connection of the glacier thickness changes and the front recession.</t>
  </si>
  <si>
    <t>[Pasik, Mariusz; Bakula, Krzysztof; Rozycki, Sebastian; Ostrowski, Wojciech; Kowalska, Maria Elzbieta; Fijalkowska, Anna; Rajner, Marcin; Lapinski, Slawomir; Osinska-Skotak, Katarzyna] Warsaw Univ Technol, Fac Geodesy &amp; Cartog, Pl Politech 1, PL-00661 Warsaw, Poland; [Sobota, Ireneusz] Nicolaus Copernicus Univ, Fac Earth Sci &amp; Spatial Management, Dept Hydrol &amp; Water Management, Polar Res Ctr, Lwowska 1, PL-87100 Torun, Poland; [Kejna, Marek] Nicolaus Copernicus Univ, Fac Earth Sci &amp; Spatial Management, Dept Meteorol &amp; Climatol, Lwowska 1, PL-87100 Torun, Poland</t>
  </si>
  <si>
    <t>Warsaw University of Technology; Nicolaus Copernicus University; Nicolaus Copernicus University</t>
  </si>
  <si>
    <t>Lapinski, S (corresponding author), Warsaw Univ Technol, Fac Geodesy &amp; Cartog, Pl Politech 1, PL-00661 Warsaw, Poland.</t>
  </si>
  <si>
    <t>mariusz.pasik@pw.edu.pl; krzysztof.bakula@pw.edu.pl; sebastian.rozycki@pw.edu.pl; wojciech.ostrowski@pw.edu.pl; maria.kowalska@pw.edu.pl; anna.fijalkowska@pw.edu.pl; marcin.rajner@pw.edu.pl; slawomir.lapinski@pw.edu.pl; irso@umk.pl; makej@umk.pl; katarzyna.osinska-skotak@pw.edu.pl</t>
  </si>
  <si>
    <t>Różycki, Sebastian/AAA-1332-2021; Fijałkowska, Anna/AAI-1577-2021; Sobota, Ireneusz/JCO-3029-2023; Sobota, Ireneusz/L-7768-2013; Rajner, Marcin/B-4618-2019; Osinska-Skotak, Katarzyna/D-5195-2019; Ostrowski, Wojciech/R-2932-2016</t>
  </si>
  <si>
    <t>Różycki, Sebastian/0000-0002-6316-8084; Fijałkowska, Anna/0000-0002-0567-9863; Sobota, Ireneusz/0000-0001-5983-7049; Lapinski, Slawomir/0000-0003-0403-7911; Rajner, Marcin/0000-0001-6105-6487; Osinska-Skotak, Katarzyna/0000-0003-2602-4281; Kowalska, Maria/0000-0002-4434-7829; Kejna, Marek/0000-0003-4815-9312; Bakula, Krzysztof/0000-0001-7137-1667; Ostrowski, Wojciech/0000-0003-2103-1546</t>
  </si>
  <si>
    <t>Ministry of Science and Higher Education of Poland [504/02719/1060/40.00010X]</t>
  </si>
  <si>
    <t>Ministry of Science and Higher Education of Poland(Ministry of Science and Higher Education, Poland)</t>
  </si>
  <si>
    <t>This study was funded within statutory activities No. 504/02719/1060/40.00010X of the Ministry of Science and Higher Education of Poland.</t>
  </si>
  <si>
    <t>10.3390/s21041532</t>
  </si>
  <si>
    <t>QQ6ZF</t>
  </si>
  <si>
    <t>WOS:000624670700001</t>
  </si>
  <si>
    <t>Bartlett, JC; Radcliffe, RJ; Convey, P; Hughes, KA; Hayward, SAL</t>
  </si>
  <si>
    <t>Bartlett, Jesamine C.; Radcliffe, Richard James; Convey, Pete; Hughes, Kevin A.; Hayward, Scott A. L.</t>
  </si>
  <si>
    <t>The effectiveness of Virkon® S disinfectant against an invasive insect and implications for Antarctic biosecurity practices</t>
  </si>
  <si>
    <t>biosecurity; Chironomidae; invertebrate control; Signy Island; species management</t>
  </si>
  <si>
    <t>ERETMOPTERA-MURPHYI; CHEMICAL DISINFECTION; BIOLOGICAL INVASIONS; EFFICACY; SPORES; BOOTS; MIDGE; LIFE</t>
  </si>
  <si>
    <t>The flightless midge Eretmoptera murphyi is thought to be continuing its invasion of Signy Island via the treads of personnel boots. Current boot-wash biosecurity protocols in the Antarctic region rely on microbial biocides, primarily Virkon (R) S. As pesticides have limited approval for use in the Antarctic Treaty area, we investigated the efficacy of Virkon (R) S in controlling the spread of E. murphyi using boot-wash simulations and maximum threshold exposures. We found that E. murphyi tolerates over 8 h of submergence in 1% Virkon (R) S. Higher concentrations increased effectiveness, but larvae still exhibited &gt; 50% survival after 5 h in 10% Virkon (R) S. Salt and hot water treatments (without Virkon (R) S) were explored as possible alternatives. Salt water proved ineffective, with mortality only in first-instar larvae across multi-day exposures. Larvae experienced 100% mortality when exposed for 10 s to 50 degrees C water, but they showed complete survival at 45 degrees C. Given that current boot-wash protocols alone are an ineffective control of this invasive insect, we advocate hot water (&gt; 50 degrees C) to remove soil, followed by Virkon (R) S as a microbial biocide on 'clean' boots. Implications for the spread of invasive invertebrates as a result of increased human activity in the Antarctic region are discussed.</t>
  </si>
  <si>
    <t>[Bartlett, Jesamine C.; Radcliffe, Richard James; Hayward, Scott A. L.] Univ Birmingham, Sch Biosci, Edgbaston B15 2TT, England; [Bartlett, Jesamine C.; Convey, Pete; Hughes, Kevin A.] British Antarctic Survey, Cambridge CB3 0ET, England; [Bartlett, Jesamine C.] Norwegian Inst Nat Res, Hgsk Ringen 9, N-7034 Trondheim, Norway</t>
  </si>
  <si>
    <t>University of Birmingham; UK Research &amp; Innovation (UKRI); Natural Environment Research Council (NERC); NERC British Antarctic Survey; Norwegian Institute Nature Research</t>
  </si>
  <si>
    <t>Bartlett, JC (corresponding author), Univ Birmingham, Sch Biosci, Edgbaston B15 2TT, England.;Bartlett, JC (corresponding author), British Antarctic Survey, Cambridge CB3 0ET, England.;Bartlett, JC (corresponding author), Norwegian Inst Nat Res, Hgsk Ringen 9, N-7034 Trondheim, Norway.</t>
  </si>
  <si>
    <t>jesamine.bartlett@nina.no</t>
  </si>
  <si>
    <t>Hughes, Kevin/JVZ-0793-2024</t>
  </si>
  <si>
    <t>Hayward, Scott/0000-0002-1899-6630; Radcliffe, Richard James/0000-0002-9863-3919; Bartlett, Jesamine/0000-0001-7464-5440</t>
  </si>
  <si>
    <t>Natural Environment Research Council (NERC) through the Central England NERC Training Alliance (CENTA DTP) [RRBN19276]; University of Birmingham; British Antarctic Survey (BAS); NERC; NERC [bas0100036, bas010011] Funding Source: UKRI</t>
  </si>
  <si>
    <t>Natural Environment Research Council (NERC) through the Central England NERC Training Alliance (CENTA DTP); University of Birmingham; British Antarctic Survey (BAS); NERC(UK Research &amp; Innovation (UKRI)Natural Environment Research Council (NERC)); NERC(UK Research &amp; Innovation (UKRI)Natural Environment Research Council (NERC))</t>
  </si>
  <si>
    <t>J.C. Bartlett was funded by Natural Environment Research Council (NERC) through the Central England NERC Training Alliance (CENTA DTP) (RRBN19276). Her PhD studentship was supported by the University of Birmingham and the British Antarctic Survey (BAS). P. Convey and K.A. Hughes are supported by NERC core funding to the BAS 'Biodiversity, Evolution and Adaptation' Team and Environment Office, respectively.</t>
  </si>
  <si>
    <t>PII S0954102020000413</t>
  </si>
  <si>
    <t>10.1017/S0954102020000413</t>
  </si>
  <si>
    <t>QO8XJ</t>
  </si>
  <si>
    <t>WOS:000623420200001</t>
  </si>
  <si>
    <t>Landaeta, MF; Villegas, A; Hüne, M</t>
  </si>
  <si>
    <t>Landaeta, Mauricio F.; Villegas, Ariel; Hune, Mathias</t>
  </si>
  <si>
    <t>Shape, condition and diet of the pike icefish Champsocephalus esox (Teleostei: Channichthyidae): evidence of phenotypic plasticity?</t>
  </si>
  <si>
    <t>geometric morphometrics; morphospace; Patagonia; trophic ecology</t>
  </si>
  <si>
    <t>BIOLOGY</t>
  </si>
  <si>
    <t>The shape (derived from landmark-based geometric morphometrics), condition (Fulton index) and diet (determined through gut content analysis) were described for the pike icefish Champsocephalus esox (Channichthyidae) from ultima Esperanza sound, south-west Patagonia, Chile. Based on the length-weight relationship, females were heavier at length than males. Nevertheless, the Fulton index was similar between males and females. The morphospace of C. esox showed high intraspecific variability in the dorsoventral position of the tip of the snout, anus and the ventral insertion of the pectoral fin, as well as the anteroposterior position of the premaxilla, opercle and anus. This indicates the existence of phenotypic plasticity, leading to specimens with larger jaws and heads but shorter trunks, or specimens with shorter jaws and heads but larger trunks. This phenotypic plasticity was independent of size and sex. The feeding incidence was similar between sexes (34.1% and 47.2% for males and females, respectively). Diets consisted of only fish, small notothenioids of the genus Patagonotothen (P. tessellata, P. cornucola and P. sima), showing similarities between males and females. Finally, C. esox is the second notothenioid species, and the first outside of Antarctica, to display phenotypic plasticity in its body shape.</t>
  </si>
  <si>
    <t>[Landaeta, Mauricio F.; Villegas, Ariel] Univ Valparaiso, Fac Ciencias Mar &amp; Recursos Nat, Lab Ictioplancton LABITI, Escuela Biol Marina, Valparaiso, Chile; [Landaeta, Mauricio F.] Univ Valparaiso, Ctr Observac Marino Estudios Impacto Ambiente Cos, Valparaiso, Chile; [Hune, Mathias] Fdn Ictiol, Santiago, Chile; [Hune, Mathias] Ctr Invest Conservac Ecosistemas Australes ICEA, Punta Arenas, Chile</t>
  </si>
  <si>
    <t>Universidad de Valparaiso; Universidad de Valparaiso</t>
  </si>
  <si>
    <t>Landaeta, MF (corresponding author), Univ Valparaiso, Fac Ciencias Mar &amp; Recursos Nat, Lab Ictioplancton LABITI, Escuela Biol Marina, Valparaiso, Chile.;Landaeta, MF (corresponding author), Univ Valparaiso, Ctr Observac Marino Estudios Impacto Ambiente Cos, Valparaiso, Chile.</t>
  </si>
  <si>
    <t>mauricio.landaeta@uv.cl</t>
  </si>
  <si>
    <t>LANDAETA, MAURICIO/X-4293-2019; Hüne, Mathias/ABE-6000-2020</t>
  </si>
  <si>
    <t>LANDAETA, MAURICIO/0000-0002-5199-5103; Hune, Mathias/0000-0003-0089-7623</t>
  </si>
  <si>
    <t>PII S0954102020000425</t>
  </si>
  <si>
    <t>10.1017/S0954102020000425</t>
  </si>
  <si>
    <t>WOS:000623420200002</t>
  </si>
  <si>
    <t>Ainley, DG; Cziko, PA; Nur, N; Rotella, JJ; Eastman, JT; Larue, M; Stirling, I; Abrams, PA</t>
  </si>
  <si>
    <t>Ainley, David G.; Cziko, Paul A.; Nur, Nadav; Rotella, Jay J.; Eastman, Joseph T.; Larue, Michelle; Stirling, Ian; Abrams, Peter A.</t>
  </si>
  <si>
    <t>Further evidence that Antarctic toothfish are important to Weddell seals</t>
  </si>
  <si>
    <t>CCAMLR Ecosystem Monitoring Program; competition; intraguild predation; McMurdo Sound; precautionary catch levels; Ross Sea; toothfish harvest rules</t>
  </si>
  <si>
    <t>Antarctic toothfish Dissostichus mawsoni and Weddell seals Leptonychotes weddellii are important mesopredators in the waters of the Antarctic continental shelf. They compete with each other for prey, yet the seals also prey upon toothfish. Such intraguild predation means that prevalence and respective demographic rates may be negatively correlated, but quantification is lacking. Following a review of their natural histories, we initiate an approach to address this deficiency by analysing scientific fishing catch per unit effort (CPUE; 1975-2011 plus sporadic effort to 2018) in conjunction with an annual index of seal abundance in McMurdo Sound, Ross Sea. We correlated annual variation in scientific CPUE to seal numbers over a 43 year period (1975-2018), complementing an earlier study in the same locality showing CPUE to be negatively correlated with spatial proximity to abundant seals. The observed relationship (more seals with lower CPUE, while controlling for annual trends in each) indicates the importance of toothfish as a dietary item to Weddell seals and highlights the probable importance of intra- and inter-specific competition as well as intraguild predation in seal-toothfish dynamics. Ultimately, it may be necessary to supplement fishery management with targeted ecosystem monitoring to prevent the fishery from having adverse effects on dependent species.</t>
  </si>
  <si>
    <t>[Ainley, David G.] HT Harvey &amp; Associates Ecol Consultants, Los Gatos, CA 95032 USA; [Cziko, Paul A.] Univ Oregon, Inst Ecol &amp; Evolut, Eugene, OR 97403 USA; [Nur, Nadav] Point Blue Conservat Sci, Petaluma, CA 94954 USA; [Rotella, Jay J.] Montana State Univ, Dept Ecol, Bozeman, MT 59717 USA; [Eastman, Joseph T.] Ohio Univ, Dept Biomed Sci, Athens, OH 45701 USA; [Larue, Michelle] Univ Minnesota, Dept Earth Sci, Minneapolis, MN 55455 USA; [Larue, Michelle] Univ Canterbury, Sch Earth &amp; Environm, Christchurch 8041, New Zealand; [Stirling, Ian] Univ Alberta, Dept Biol Sci, Dept Environm, Wildlife Res Div, Edmonton, AB T6G 2E9, Canada; [Abrams, Peter A.] Univ Toronto, Dept Ecol &amp; Evolutionary Biol, Toronto, ON M5S 3G5, Canada</t>
  </si>
  <si>
    <t>University of Oregon; Montana State University System; Montana State University Bozeman; University System of Ohio; Ohio University; University of Minnesota System; University of Minnesota Twin Cities; University of Canterbury; University of Alberta; University of Toronto</t>
  </si>
  <si>
    <t>dainley@penguinscience.com</t>
  </si>
  <si>
    <t>Eastman, Joseph T./O-6150-2019; Abrams, Peter/A-5240-2008</t>
  </si>
  <si>
    <t>Eastman, Joseph T./0000-0003-3868-261X; Nur, Nadav/0000-0002-3451-2640; Rotella, Jay/0000-0001-7014-7524; Stirling, Ian/0000-0002-1610-9305; Abrams, Peter/0000-0002-1828-326X</t>
  </si>
  <si>
    <t>National Science Foundation [PLR 1543541]; NSF [ANT 1141326, 1640481, OPP 1142158, OPP 1645087, OPP 1644196]; Directorate For Geosciences; Office of Polar Programs (OPP) [1640481] Funding Source: National Science Foundation</t>
  </si>
  <si>
    <t>National Science Foundation(National Science Foundation (NSF)); NSF(National Science Foundation (NSF)); Directorate For Geosciences; Office of Polar Programs (OPP)(National Science Foundation (NSF)NSF - Directorate for Geosciences (GEO))</t>
  </si>
  <si>
    <t>Preparation for this work was principally provided by National Science Foundation grant PLR 1543541 to DGA. Weddell seal data collection was most recently supported by NSF grants ANT 1141326 and 1640481 to JJR, R.A. Garrott and D.B. Siniff, and prior NSF Grants to JJR, R.A. Garrott, D.B. Siniff and J.W. Testa. Acquiring toothfish catch data was most recently supported by NSF Awards OPP 1142158 (to C.-H. Christina Cheng and Arthur L. DeVries), OPP 1645087 (to C.-H. Christina Cheng and J. Catchen) and OPP 1644196 (to PAC and Arthur L. DeVries), and prior NSF grants to Arthur L. DeVries and C.-H. Christina Cheng.</t>
  </si>
  <si>
    <t>PII S0954102020000437</t>
  </si>
  <si>
    <t>10.1017/S0954102020000437</t>
  </si>
  <si>
    <t>WOS:000623420200003</t>
  </si>
  <si>
    <t>Câmara, PEAS; Barros-Platiau, AF; Andrade, ID; Hillebrand, GRL</t>
  </si>
  <si>
    <t>Camara, Paulo E. A. S.; Barros-Platiau, Ana F.; Andrade, Israel De Oliveira; Hillebrand, Giovanni R. L.</t>
  </si>
  <si>
    <t>Brazil in Antarctica: 40 years of science</t>
  </si>
  <si>
    <t>Antarctic Treaty; Comandante Ferraz Station; PROANTAR; strategic diplomacy</t>
  </si>
  <si>
    <t>In 2021, Brazilian scientific research in Antarctica will reach its 40 anniversary, and in that period it has experienced good and bad times. How has Brazilian scientific research evolved since its first scientific mission to Antarctica? What were the conditions that enabled this research? How will Brazilian researchers work in the brand-new scientific station? Using an interdisciplinary approach, this article identifies tipping points and the national policy network that led to unstable funding policies. This article highlights four phases of Brazilian Antarctic science and states that there is a clear disconnect between the geopolitical and scientific priorities on one side and the political priorities, including the executive and the legislative powers, on the other.</t>
  </si>
  <si>
    <t>[Camara, Paulo E. A. S.] Univ Brasilia, Inst Biol, Campus Univ Darcy Ribeiro, BR-70900910 Brasilia, DF, Brazil; [Barros-Platiau, Ana F.] Univ Brasilia, Brasilia Res Ctr Earth Syst Governance, Inst Int Relat, Campus Univ Darcy Ribeiro, BR-70900910 Brasilia, DF, Brazil; [Andrade, Israel De Oliveira; Hillebrand, Giovanni R. L.] Inst Appl Econ Res IPEA, SBS Quadra 1,Bloco J,Ed BNDES IPEA,Sala 920, BR-70076900 Brasilia, DF, Brazil</t>
  </si>
  <si>
    <t>Universidade de Brasilia; Universidade de Brasilia; Instituto de Pesquisa Economica Aplicada (IPEA)</t>
  </si>
  <si>
    <t>Câmara, PEAS (corresponding author), Univ Brasilia, Inst Biol, Campus Univ Darcy Ribeiro, BR-70900910 Brasilia, DF, Brazil.</t>
  </si>
  <si>
    <t>paducamara@gmail.com</t>
  </si>
  <si>
    <t>Camara, Paulo/GPP-2054-2022; Andrade, Israel/JWA-2642-2024</t>
  </si>
  <si>
    <t>Camara, Paulo/0000-0002-3944-996X; Barros-Platiau, Ana Flavia/0000-0002-8804-0378; Hillebrand, Giovanni/0000-0003-4338-9047; de Oliveira Andrade, Israel/0000-0002-8628-415X</t>
  </si>
  <si>
    <t>Brazilian Navy; CNPq; PROANTAR</t>
  </si>
  <si>
    <t>Brazilian Navy; CNPq(Conselho Nacional de Desenvolvimento Cientifico e Tecnologico (CNPQ)); PROANTAR</t>
  </si>
  <si>
    <t>We thank the Brazilian Navy, PROANTAR, CNPq and MCTI civil servants for their support. We also thank Dr Jefferson Simoes (UFRGS), Dr Luiz Henrique Rosa (UFMG), Dr Rosalinda Montone (USP) and Dr Andrea Cruz-Kaled (MCTI). Finally, we thank anonmymous reviewers for helping to improve the manuscript.</t>
  </si>
  <si>
    <t>PII S0954102020000449</t>
  </si>
  <si>
    <t>10.1017/S0954102020000449</t>
  </si>
  <si>
    <t>WOS:000623420200004</t>
  </si>
  <si>
    <t>Saucède, T; Eléaume, M; Jossart, Q; Moreau, C; Downey, R; Bax, N; Sands, C; Mercado, B; Gallut, C; Vignes-Lebbe, R</t>
  </si>
  <si>
    <t>Saucede, Thomas; Eleaume, Marc; Jossart, Quentin; Moreau, Camille; Downey, Rachel; Bax, Narissa; Sands, Chester; Mercado, Borja; Gallut, Cyril; Vignes-Lebbe, Regine</t>
  </si>
  <si>
    <t>Taxonomy 2.0: computer-aided identification tools to assist Antarctic biologists in the field and in the laboratory</t>
  </si>
  <si>
    <t>database; field guides; knowledge base; software; taxonomic key; Xper3</t>
  </si>
  <si>
    <t>EVOLUTIONARY HISTORY; DATA PAPER; BIODIVERSITY; ODONTASTERIDAE; ASTEROIDEA; ECHINOIDS</t>
  </si>
  <si>
    <t>Species inventories are essential to the implementation of conservation policies to mitigate biodiversity loss and maintain ecosystem services and their value to the society. This is particularly topical with respect to climate change and direct anthropogenic effects on Antarctic biodiversity, with the identification of the most at-risk taxa and geographical areas becoming a priority. Identification tools are often neglected and considered helpful only for taxonomists. However, the development of new online information technologies and computer-aided identification tools provides an opportunity to promote them to a wider audience, especially considering the emerging generation of scientists who apply an integrative approach to taxonomy. This paper aims to clarify essential concepts and provide convenient and accessible tools, tips and suggested systems to use and develop knowledge bases (KBs). The software Xper3 was selected as an example of a user-friendly KB management system to give a general overview of existing tools and functionalities through two applications: the 'Antarctic Echinoids' and 'Odontasteridae Southern Ocean (Asteroids)' KBs. We highlight the advantages provided by KBs over more classical tools, and future potential uses are highlighted, including the production of field guides to aid in the compilation of species inventories for biodiversity conservation purposes.</t>
  </si>
  <si>
    <t>[Saucede, Thomas; Moreau, Camille] Univ Bourgogne Franche Comte, Biogeosci, UMR 6282, CNRS,EPHE, 6 Blvd Gabriel, F-21000 Dijon, France; [Eleaume, Marc; Gallut, Cyril; Vignes-Lebbe, Regine] Univ Antilles, Sorbonne Univ, Museum Natl Hist Nat,CNRS,EPHE, Inst Systemat,Evolut,Biodiversite ISYEB UMR 7205, 57 Rue Cuvier, F-75005 Paris, France; [Jossart, Quentin; Moreau, Camille] Univ Libre Bruxelles ULB, Marine Biol Lab, CP160-15,50 Av FD Roosevelt, B-1050 Brussels, Belgium; [Downey, Rachel] Australian Natl Univ, Fenner Sch Environm &amp; Soc, Linnaeus Way, Canberra, ACT 2601, Australia; [Bax, Narissa] Univ Tasmania, Inst Marine &amp; Antarctic Studies, Hobart, Tas, Australia; [Bax, Narissa] Ctr Marine Socioecol, Hobart, Tas, Australia; [Sands, Chester] British Antarctic Survey, Madingley Rd, Cambridge CB3 0ET, England; [Mercado, Borja] Univ Valencia, Cavanilles Inst Biodivers &amp; Evolutionary Biol ICB, Biodivers &amp; Cnidarians Evolut Grp, Valencia 46071, Spain</t>
  </si>
  <si>
    <t>Universite PSL; Ecole Pratique des Hautes Etudes (EPHE); Centre National de la Recherche Scientifique (CNRS); Universite de Bourgogne; Sorbonne Universite; Museum National d'Histoire Naturelle (MNHN); Universite PSL; Ecole Pratique des Hautes Etudes (EPHE); Centre National de la Recherche Scientifique (CNRS); CNRS - Institute of Ecology &amp; Environment (INEE); Universite Libre de Bruxelles; Australian National University; University of Tasmania; UK Research &amp; Innovation (UKRI); Natural Environment Research Council (NERC); NERC British Antarctic Survey; University of Valencia</t>
  </si>
  <si>
    <t>Saucède, T (corresponding author), Univ Bourgogne Franche Comte, Biogeosci, UMR 6282, CNRS,EPHE, 6 Blvd Gabriel, F-21000 Dijon, France.</t>
  </si>
  <si>
    <t>thomas.saucede@u-bourgogne.fr</t>
  </si>
  <si>
    <t>Downey, Rachel/Q-4156-2019</t>
  </si>
  <si>
    <t>Bax, Narissa/0000-0002-4338-1080; Jossart, Quentin/0000-0002-2280-243X; Moreau, Camille/0000-0002-0981-7442; Gallut, Cyril/0000-0002-6486-0179</t>
  </si>
  <si>
    <t>'Refugia and Ecosystem Tolerance in the Southern Ocean' project (RECTO) - 'Belgian Science Policy Office' (BELSPO) [BR/154/A1/RECTO]; NERC [bas0100036] Funding Source: UKRI</t>
  </si>
  <si>
    <t>'Refugia and Ecosystem Tolerance in the Southern Ocean' project (RECTO) - 'Belgian Science Policy Office' (BELSPO); NERC(UK Research &amp; Innovation (UKRI)Natural Environment Research Council (NERC))</t>
  </si>
  <si>
    <t>TS benefited from the support of the 'Refugia and Ecosystem Tolerance in the Southern Ocean' project (RECTO; BR/154/A1/RECTO) funded by the 'Belgian Science Policy Office' (BELSPO). The participation of NB was made possible thanks to support from David Barnes from the British Antarctic Survey and the Antarctic Seabed Carbon Capture Change project.</t>
  </si>
  <si>
    <t>PII S0954102020000462</t>
  </si>
  <si>
    <t>10.1017/S0954102020000462</t>
  </si>
  <si>
    <t>WOS:000623420200005</t>
  </si>
  <si>
    <t>Baba, S; Hokada, T; Kamei, A; Kitano, I; Motoyoshi, Y; Nantasin, P; Setiawan, NI; Dashbaatar, DO</t>
  </si>
  <si>
    <t>Baba, Sotaro; Hokada, Tomokazu; Kamei, Atsushi; Kitano, Ippei; Motoyoshi, Yoichi; Nantasin, Prayath; Setiawan, Nugroho Imam; Dashbaatar, Davaa-Ochir</t>
  </si>
  <si>
    <t>Tectono-metamorphic evolution and significance of shear-zone lithologies in Akebono Rock, Lutzow-Holm Complex, East Antarctica</t>
  </si>
  <si>
    <t>L-tectonite; mylonite; P-T-d path; sigmoidal garnet</t>
  </si>
  <si>
    <t>SRI-LANKA; BIOTITE; OROGEN; GEOTHERMOMETRY; GEOBAROMETERS; GEOCHRONOLOGY; CONSTRAINTS; COLLISION; GROWTH</t>
  </si>
  <si>
    <t>We describe a major shear zone exposed at Akebono Rock and discuss its deformation and metamorphic history, with a view to providing a better understanding of the geological history of the Liitzow-Holm Complex. Three deformation episodes are recognized: D1 produced open folds (F1), boudinage and a regional ductile foliation, whilst the related metamorphic facies is characterized by stable garnet. F1 folding is dominantly preserved in the eastern part of the study area. During D2, an isoclinal to tight asymmetric F2 folds developed mainly in the west part of the region, accompanied by an S2 shear, under biotite facies retrograde metamorphism. The D3 episode involved the formation of the major shear zone, characterized by mylonite and L-tectonite fabrics, which took place at similar to 610-660 degrees C and 4-5 kbar. Large, sigmoidal garnet core domains have S-shaped inclusion trails, suggesting that syntectonic garnet growth occurred before the formation of the shear zone. Estimated P T conditions suggest that the sigmoidal garnet-bearing amphibolite was recrystallized at a deeper crustal level and was brought to a higher level during the formation of the shear zone. Crustal-scale deformation involving syntectonic recrystallization and shearing of Akebono Rock is a key issue for reconsidering the evolution of the Liitzow-Holm Complex.</t>
  </si>
  <si>
    <t>[Baba, Sotaro] Univ Ryukyus, Dept Sci Educ, Okinawa 9030213, Japan; [Hokada, Tomokazu; Motoyoshi, Yoichi] Natl Inst Polar Res, Tokyo 1908518, Japan; [Hokada, Tomokazu] Grad Univ Adv Studies SOKENDAI, Dept Polar Sci, Tokyo 1908518, Japan; [Kamei, Atsushi] Shimane Univ, Dept Geosci, Matsue, Shimane 6908504, Japan; [Kitano, Ippei] Kyushu Univ, Fac Social &amp; Cultural Studies, Div Earth Sci, Fukuoka 8190395, Japan; [Nantasin, Prayath] Kasetsart Univ, Dept Earth Sci, Fac Sci, Bangkok 10900, Thailand; [Setiawan, Nugroho Imam] Univ Gadjah Mada, Engn Fac, Geol Engn Dept, Di Yogyakarta 55281, Indonesia; [Dashbaatar, Davaa-Ochir] Mongolian Univ Sci &amp; Technol, Ulaanbaatar 14191, Mongolia</t>
  </si>
  <si>
    <t>University of the Ryukyus; Research Organization of Information &amp; Systems (ROIS); National Institute of Polar Research (NIPR) - Japan; Graduate University for Advanced Studies - Japan; Shimane University; Kyushu University; Kasetsart University; Gadjah Mada University; Mongolian University of Science &amp; Technology</t>
  </si>
  <si>
    <t>Baba, S (corresponding author), Univ Ryukyus, Dept Sci Educ, Okinawa 9030213, Japan.</t>
  </si>
  <si>
    <t>baba@edu.u-ryukyu.ac.jp</t>
  </si>
  <si>
    <t>Baba, Sotaro/H-3107-2013; Setiawan, Nugroho Imam/GOE-4033-2022; Baba, Sotaro/AGX-7968-2022; Baba, Sotaro/HGU-7234-2022</t>
  </si>
  <si>
    <t>Baba, Sotaro/0000-0003-2969-9575; Setiawan, Nugroho Imam/0000-0002-8969-7259; Baba, Sotaro/0000-0003-2969-9575; Baba, Sotaro/0000-0003-2969-9575</t>
  </si>
  <si>
    <t>National Institute of Polar Research [25-17]; Research Organization of Information and Systems [ROIS-DS-JOINT 004RP2018]; Japan Society for the Promotion of Science (JSPS) [15K05346, 17H02976, 18H01313]; Grants-in-Aid for Scientific Research [18H01313, 15K05346, 17H02976, 21H01182] Funding Source: KAKEN</t>
  </si>
  <si>
    <t>National Institute of Polar Research(National Institute of Polar Research (NIPR) - Japan); Research Organization of Information and Systems;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</si>
  <si>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partly supported by the National Institute of Polar Research (General Collaboration Projects 25-17), the Research Organization of Information and Systems (ROIS-DS-JOINT 004RP2018) and the Japan Society for the Promotion of Science (JSPS) (15K05346 to SB, 17H02976 to TH and 18H01313 to AK).</t>
  </si>
  <si>
    <t>10.1017/S0954102020000450</t>
  </si>
  <si>
    <t>WOS:000623420200006</t>
  </si>
  <si>
    <t>Peters, NJ; Oppenheimer, C; Jones, B; Rose, M; Kyle, P</t>
  </si>
  <si>
    <t>Peters, Nial J.; Oppenheimer, Clive; Jones, Bryn; Rose, Michael; Kyle, Philip</t>
  </si>
  <si>
    <t>Harnessing Erebus volcano's thermal energy to power year-round monitoring</t>
  </si>
  <si>
    <t>Antarctica; Seebeck effect; thermoelectric generator; volcanic monitoring</t>
  </si>
  <si>
    <t>Year-round monitoring of Erebus volcano (Ross Island) has proved challenging due to the difficulties of maintaining continuous power for scientific instruments, especially through the Antarctic winter. We sought a potential solution involving the harvesting of thermal energy dissipated close to the summit crater of the volcano in a zone of diffuse hot gas emissions. We designed, constructed and tested a power generator based on the Seebeck effect, converting thermal energy to electrical power, which could, in principle, be used to run monitoring devices year round. We report here on the design of the generator and the results of an 11 day trial deployment on Erebus volcano in December 2014. The generator produced a mean output power of 270 mW, although we identified some technical issues that had impaired its efficiency. Nevertheless, this is already sufficient power for some monitoring equipment and, with design improvements, such a generator could provide a viable solution to powering a larger suite of instrumentation.</t>
  </si>
  <si>
    <t>[Peters, Nial J.] UCL, Dept Elect &amp; Elect Engn, Torrington Pl, London WC1E 7JE, England; [Oppenheimer, Clive] Univ Cambridge, Dept Geog, Downing Pl, Cambridge CB2 3EN, England; [Jones, Bryn] Univ Sheffield, Dept Automat Control &amp; Syst Engn, Portobello St, Sheffield S1 3JD, S Yorkshire, England; [Rose, Michael] British Antarctic Survey, Madingley Rd, Cambridge CB3 0ET, England; [Kyle, Philip] New Mexico Inst Min &amp; Technol, Dept Earth &amp; Environm Sci, Socorro, NM 87801 USA</t>
  </si>
  <si>
    <t>University of London; University College London; University of Cambridge; University of Sheffield; UK Research &amp; Innovation (UKRI); Natural Environment Research Council (NERC); NERC British Antarctic Survey; New Mexico Institute of Mining Technology</t>
  </si>
  <si>
    <t>Peters, NJ (corresponding author), UCL, Dept Elect &amp; Elect Engn, Torrington Pl, London WC1E 7JE, England.</t>
  </si>
  <si>
    <t>uceenpe@ucl.ac.uk</t>
  </si>
  <si>
    <t>Oppenheimer, Clive/G-9881-2013</t>
  </si>
  <si>
    <t>Peters, Nial/0000-0001-6817-6262</t>
  </si>
  <si>
    <t>Antarctic Science International Bursary from Antarctic Science Ltd.; Natural Environment Research Council [NE/N009312/1]; National Science Foundation (United States Antarctic Program) [ANT1142083]; NERC [NE/N009312/1, bas010011] Funding Source: UKRI</t>
  </si>
  <si>
    <t>Antarctic Science International Bursary from Antarctic Science Ltd.; Natural Environment Research Council(UK Research &amp; Innovation (UKRI)Natural Environment Research Council (NERC)); National Science Foundation (United States Antarctic Program); NERC(UK Research &amp; Innovation (UKRI)Natural Environment Research Council (NERC))</t>
  </si>
  <si>
    <t>NJP acknowledges the support of an Antarctic Science International Bursary from Antarctic Science Ltd. NJP and CO acknowledge support from the Natural Environment Research Council (grant #NE/N009312/1). Field support was provided by the National Science Foundation (United States Antarctic Program) under award ANT1142083.</t>
  </si>
  <si>
    <t>PII S0954102020000553</t>
  </si>
  <si>
    <t>10.1017/S0954102020000553</t>
  </si>
  <si>
    <t>WOS:000623420200007</t>
  </si>
  <si>
    <t>Davydenko, S; Mörs, T; Gol'din, P</t>
  </si>
  <si>
    <t>Davydenko, Svitozar; Mors, Thomas; Gol'din, Pavel</t>
  </si>
  <si>
    <t>A small whale reveals diversity of the Eocene cetacean fauna of Antarctica</t>
  </si>
  <si>
    <t>divergence; evolution; morphology; Neoceti; Priabonian; Seymour Island</t>
  </si>
  <si>
    <t>Cetacean fossils have been recorded from middle and late Eocene deposits on Seymour Island since the beginning of the twentieth century and include fully aquatic Basilosauridae and stem Neoceti. Here, we report a small cetacean vertebra tentatively referred to as Neoceti from the late Eocene of Seymour Island. It shows a mosaic of traits, some of which are characteristic of early Neoceti (anteroposteriorly long transverse processes; a ventral keel on the ventral side of the centrum; thin pedicles of the neural arch), whereas others are shared with Basilosauridae (low-placed bases of the transverse processes). However, some traits are unique and may be autapomorphic: presence of separate prezygapophyses on the vertebra at the thoracic/lumbar boundary and a proportionally short centrum. Both traits imply a fast swimming style, which is characteristic of modern dolphins rather than Eocene cetaceans. Thus, this specimen can be identified as Neoceti indet., with some hypothetical odontocete affinities. Along with a few other Eocene whale taxa, it seems to be among the earliest known members of Neoceti on Earth. The finding of small and fast-swimming Neoceti in Antarctica also demonstrates early diversification of cetaceans and ecological niche partitioning by them dating back as early as the late Eocene.</t>
  </si>
  <si>
    <t>[Davydenko, Svitozar; Gol'din, Pavel] Natl Acad Sci Ukraine, Schmalhausen Inst Zool, 15 Bogdan Khmelnytskyi St, UA-01030 Kiev, Ukraine; [Mors, Thomas] Swedish Museum Nat Hist, Dept Palaeobiol, POB 50007, SE-10405 Stockholm, Sweden</t>
  </si>
  <si>
    <t>National Academy of Sciences Ukraine; Schmalhausen Institute of Zoology of NASU; Swedish Museum of Natural History</t>
  </si>
  <si>
    <t>Mörs, T (corresponding author), Swedish Museum Nat Hist, Dept Palaeobiol, POB 50007, SE-10405 Stockholm, Sweden.</t>
  </si>
  <si>
    <t>thomas.moers@nrm.se</t>
  </si>
  <si>
    <t>Gol'din, Pavel/C-2061-2016</t>
  </si>
  <si>
    <t>Gol'din, Pavel/0000-0001-6118-1384; Mors, Thomas/0000-0003-2268-5824; Davydenko, Svitozar/0000-0002-4780-5338</t>
  </si>
  <si>
    <t>Swedish Research Council (VR) [2009-4447]</t>
  </si>
  <si>
    <t>Swedish Research Council (VR)(Swedish Research Council)</t>
  </si>
  <si>
    <t>Financial support from the Swedish Research Council (VR Grant 2009-4447) to TM is gratefully acknowledged.</t>
  </si>
  <si>
    <t>PII S0954102020000516</t>
  </si>
  <si>
    <t>10.1017/S0954102020000516</t>
  </si>
  <si>
    <t>WOS:000623420200008</t>
  </si>
  <si>
    <t>Ray, RD; Larson, KM; Haines, BJ</t>
  </si>
  <si>
    <t>Ray, Richard D.; Larson, Kristine M.; Haines, Bruce J.</t>
  </si>
  <si>
    <t>New determinations of tides on the north-western Ross Ice Shelf</t>
  </si>
  <si>
    <t>Antarctic tides; Cape Roberts; Ross Sea tides; Scott Base; seasonal modulations; third-degree tides</t>
  </si>
  <si>
    <t>New determinations of ocean tides are extracted from high-rate Global Positioning System (GPS) solutions at nine stations sitting on the Ross Ice Shelf. Five are multi-year time series. Three older time series are only 2-3 weeks long. These are not ideal, but they are still useful because they provide the only in situ tide observations in that sector of the ice shelf. The long tide-gauge observations from Scott Base and Cape Roberts are also reanalysed. They allow determination of some previously neglected tidal phenomena in this region, such as third-degree tides, and they provide context for analysis of the shorter datasets. The semidiurnal tides are small at all sites, yet M-2 undergoes a clear seasonal cycle, which was first noted by Sir George Darwin while studying measurements from the Discovery expedition. Darwin saw a much larger modulation than we observe, and we consider possible explanations - instrumental or climatic - for this difference.</t>
  </si>
  <si>
    <t>[Ray, Richard D.] NASA, Goddard Space Flight Ctr, Greenbelt, MD 20771 USA; [Larson, Kristine M.] Univ Colorado, Boulder, CO 80309 USA; [Haines, Bruce J.] CALTECH, Jet Prop Lab, Pasadena, CA USA</t>
  </si>
  <si>
    <t>National Aeronautics &amp; Space Administration (NASA); NASA Goddard Space Flight Center; University of Colorado System; University of Colorado Boulder; California Institute of Technology; National Aeronautics &amp; Space Administration (NASA); NASA Jet Propulsion Laboratory (JPL)</t>
  </si>
  <si>
    <t>Ray, RD (corresponding author), NASA, Goddard Space Flight Ctr, Greenbelt, MD 20771 USA.</t>
  </si>
  <si>
    <t>richard.ray@nasa.gov</t>
  </si>
  <si>
    <t>LARSON, KRISTINE/J-7623-2018</t>
  </si>
  <si>
    <t>LARSON, KRISTINE/0000-0003-4666-8885</t>
  </si>
  <si>
    <t>National Science Foundation; NASA under NSF [EAR-1724794]</t>
  </si>
  <si>
    <t>National Science Foundation(National Science Foundation (NSF)); NASA under NSF</t>
  </si>
  <si>
    <t>A portion of the work was performed at the Jet Propulsion Laboratory, California Institute of Technology, under contract with NASA. Sea-level data for Cape Roberts are available from Land Information New Zealand. We thank Glen Rowe of LINZ for sending hourly data and for notes about data quality. Modern data at Scott Base were obtained from the University of Hawaii Sea Level Center . The Nevada GPS data are available at . The raw GPS data are provided by the GAGE Facility, operated by UNAVCO, Inc., with support from the National Science Foundation and NASA under NSF Cooperative Agreement EAR-1724794. We thank Thomas Nylen for information about the GPS sites. We thank Laurie Padman for helpful comments on the paper. The first author is indebted to the late George Platzman for (among many other things) his copy of the collected papers of Sir George Darwin, which include Darwin's study of the Discovery measurements.</t>
  </si>
  <si>
    <t>PII S0954102020000498</t>
  </si>
  <si>
    <t>10.1017/S0954102020000498</t>
  </si>
  <si>
    <t>WOS:000623420200009</t>
  </si>
  <si>
    <t>Charton, J; Jomelli, V; Schimmelpfennig, I; Verfaillie, D; Favier, V; Mokadem, F; Gilbert, A; Brun, F; Aumaître, G; Bourlès, DL; Keddadouche, K</t>
  </si>
  <si>
    <t>Charton, Joanna; Jomelli, Vincent; Schimmelpfennig, Irene; Verfaillie, Deborah; Favier, Vincent; Mokadem, Fatima; Gilbert, Adrien; Brun, Fanny; Aumaitre, Georges; Bourles, Didier L.; Keddadouche, Karim</t>
  </si>
  <si>
    <t>A debris-covered glacier at Kerguelen (49°S, 69°E) over the past 15 000 years</t>
  </si>
  <si>
    <t>Antarctic Cold Reversal; glacier fluctuations; Holocene; in situ cosmogenic chlorine-36 dating; palaeoclimate; sub-Antarctic</t>
  </si>
  <si>
    <t>Debris-covered glaciers constitute a large part of the world's cryosphere. However, little is known about their long-term response to multi-millennial climate variability, in particular in the Southern Hemisphere. Here, we provide first insights into the response of a debris-covered glacier to multi-millennial climate variability in the sub-Antarctic Kerguelen Archipelago, which can be compared to that of recently investigated debris-free glaciers. We focus on the Gentil Glacier and present 13 new Cl-36 cosmic-ray exposure ages from moraine boulders. The Gentil Glacier experienced at least two glacial advances: the first one during the Late Glacial (19.0-11.6 ka) at similar to 14.3 ka and the second one during the Late Holocene at similar to 2.6 ka. Both debris-covered and debris-free glaciers advanced broadly synchronously during the Late Glacial, most probably during the Antarctic Cold Reversal event (14.5-12.9 ka). This suggests that both glacier types at Kerguelen were sensitive to abrupt temperature changes recorded in Antarctic ice cores, associated with increased moisture. However, during the Late Holocene, the advance at similar to 2.6 ka was not observed in other glaciers and seems to be an original feature of the debris-covered Gentil Glacier, related to either distinct dynamics or to distinct sensitivity to precipitation changes.</t>
  </si>
  <si>
    <t>[Charton, Joanna; Jomelli, Vincent; Mokadem, Fatima] Univ Paris 1 Pantheon Sorbonne, CNRS Lab Geog Phys, F-92195 Meudon, France; [Charton, Joanna; Jomelli, Vincent; Schimmelpfennig, Irene; Aumaitre, Georges; Bourles, Didier L.; Keddadouche, Karim] Aix Marseille Univ, CNRS, IRD, INRAE,Coll France,UM CEREGE 34, F-13545 Aix En Provence, France; [Verfaillie, Deborah] Catholic Univ Louvain, Earth &amp; Life Inst, B-1348 Louvain La Neuve, Belgium; [Favier, Vincent; Gilbert, Adrien; Brun, Fanny] Univ Grenoble Alpes, IGE, CNRS, F-38058 Grenoble, France; [Aumaitre, Georges; Bourles, Didier L.; Keddadouche, Karim] ASTER Team, Paris, France</t>
  </si>
  <si>
    <t>Universite Paris-Est-Creteil-Val-de-Marne (UPEC); Centre National de la Recherche Scientifique (CNRS); INRAE; Universite PSL; College de France; Aix-Marseille Universite; Institut de Recherche pour le Developpement (IRD); Centre National de la Recherche Scientifique (CNRS); Universite Catholique Louvain; Centre National de la Recherche Scientifique (CNRS); Communaute Universite Grenoble Alpes; Universite Grenoble Alpes (UGA)</t>
  </si>
  <si>
    <t>Charton, J (corresponding author), Univ Paris 1 Pantheon Sorbonne, CNRS Lab Geog Phys, F-92195 Meudon, France.;Charton, J (corresponding author), Aix Marseille Univ, CNRS, IRD, INRAE,Coll France,UM CEREGE 34, F-13545 Aix En Provence, France.</t>
  </si>
  <si>
    <t>joanna.charton@gmail.com</t>
  </si>
  <si>
    <t>Gilbert, Adrien/F-9354-2018; Charton, Joanna/ABB-9286-2021; Favier, Vincent/T-1936-2017</t>
  </si>
  <si>
    <t>Gilbert, Adrien/0000-0001-9009-5143; Charton, Joanna/0000-0002-2625-8793; Favier, Vincent/0000-0001-6024-9498; Schimmelpfennig, Irene/0000-0001-8145-9160</t>
  </si>
  <si>
    <t>LabEx DynamiTe Les Envahisseurs as part of the 'Investissements d'Avenir' programme [ANR-11-LABX-0046]; French INSU LEFE Glacepreker project; IPEV Kesaaco 1048 project; INSU/CNRS; ANR through the 'Projets thematiques d'excellence' programme; IRD; Agence Nationale de la Recherche (ANR) [ANR-11-LABX-0046] Funding Source: Agence Nationale de la Recherche (ANR)</t>
  </si>
  <si>
    <t>LabEx DynamiTe Les Envahisseurs as part of the 'Investissements d'Avenir' programme(Agence Nationale de la Recherche (ANR)); French INSU LEFE Glacepreker project; IPEV Kesaaco 1048 project; INSU/CNRS(Centre National de la Recherche Scientifique (CNRS)); ANR through the 'Projets thematiques d'excellence' programme(Agence Nationale de la Recherche (ANR)); IRD; Agence Nationale de la Recherche (ANR)(Agence Nationale de la Recherche (ANR))</t>
  </si>
  <si>
    <t>This work has received financial support from the LabEx DynamiTe (ANR-11-LABX-0046) Les Envahisseurs as part of the 'Investissements d'Avenir' programme. This paper was also supported by the French INSU LEFE Glacepreker project and by the IPEV Kesaaco 1048 project. The 36Cl measurements were performed at the ASTER national accelerator mass spectrometry facility (CEREGE, Aix-en-Provence) that is supported by the INSU/CNRS, the ANR through the 'Projets thematiques d'excellence' programme for the 'Equipements d'excellence' ASTER-CEREGE action and IRD.</t>
  </si>
  <si>
    <t>10.1017/S0954102020000541</t>
  </si>
  <si>
    <t>WOS:000623420200010</t>
  </si>
  <si>
    <t>Lambert, E; Le Bars, D; Goelzer, H; van de Wal, RSW</t>
  </si>
  <si>
    <t>Lambert, Erwin; Le Bars, Dewi; Goelzer, Heiko; van de Wal, Roderik S. W.</t>
  </si>
  <si>
    <t>Correlations Between Sea-Level Components Are Driven by Regional Climate Change</t>
  </si>
  <si>
    <t>EARTHS FUTURE</t>
  </si>
  <si>
    <t>correlations; model ensemble; projections; regional climate; sea level; uncertainty</t>
  </si>
  <si>
    <t>GREENLAND ICE-SHEET; SURFACE MASS-BALANCE; PROJECTIONS; RISE; 21ST-CENTURY</t>
  </si>
  <si>
    <t>The accurate quantification of uncertainties in regional sea-level projections is essential for guiding policy makers. As climate models do not currently simulate total sea level, these uncertainties must be quantified through summation of uncertainties in individual sea-level components. This summation depends on the correlation between the components, which has previously been prescribed or derived from each individual component's dependence on global mean surface temperature. In this study, we quantify, for the first time, regional correlations between sea-level components based on regional climate change projections. We compute regional sea-level projections consistent with climate projections from an ensemble of 14 Earth System Models. From the multi-model spread, we estimate the uncertainty in the regional climate's response to greenhouse forcing. To quantify the total uncertainty, we add the uncertainty in the response of sea-level components to this regional climate change. This approach reveals how regional climate processes impose correlations between sea-level components, affecting the total uncertainty. One example is an anti-correlation between North Atlantic sterodynamic change and Antarctic dynamic mass loss, suggesting a teleconnection established by the large-scale ocean circulation. We find that prescribed correlations, applied in the fifth assessment report of the Intergovernmental Panel on Climate Change, lead to a global overestimation in the uncertainty in regional sea-level projections on the order of 20%. Regionally, this overestimation exceeds 100%. We conclude that accurate uncertainty estimates of regional sea-level change must be based on projections of regional climate change and cannot be derived from global indicators such as global mean surface temperature.</t>
  </si>
  <si>
    <t>[Lambert, Erwin; Goelzer, Heiko; van de Wal, Roderik S. W.] Univ Utrecht, Inst Marine &amp; Atmospher Res Utrecht, Utrecht, Netherlands; [Lambert, Erwin; Le Bars, Dewi] Meteorol Inst KNMI, De Bilt, Netherlands; [Goelzer, Heiko] Univ Libre Bruxelles, Lab Glaciol, Brussels, Belgium; [Goelzer, Heiko] Bjerknes Ctr Climate Res, NORCE Norwegian Res Ctr, Bergen, Norway; [van de Wal, Roderik S. W.] Univ Utrecht, Dept Phys Geog, Utrecht, Netherlands</t>
  </si>
  <si>
    <t>Utrecht University; Universite Libre de Bruxelles; Bjerknes Centre for Climate Research; Norwegian Research Centre (NORCE); Utrecht University</t>
  </si>
  <si>
    <t>Lambert, E (corresponding author), Univ Utrecht, Inst Marine &amp; Atmospher Res Utrecht, Utrecht, Netherlands.;Lambert, E (corresponding author), Meteorol Inst KNMI, De Bilt, Netherlands.</t>
  </si>
  <si>
    <t>erwin.lambert@knmi.nl</t>
  </si>
  <si>
    <t>Le Bars, Dewi/AAK-8631-2020; Goelzer, Heiko/M-2367-2016; Lambert, Erwin/AAJ-6730-2020; van de wal, roderik/D-1705-2011</t>
  </si>
  <si>
    <t>Le Bars, Dewi/0000-0002-1175-4225; Goelzer, Heiko/0000-0002-5878-9599; Lambert, Erwin/0000-0001-7537-6385; van de wal, roderik/0000-0003-2543-3892</t>
  </si>
  <si>
    <t>INSeaPTION project, ERA4CS, an ERA-NET; JPI Climate; NWO; European Union [690462, 820712]; Netherlands Earth System Science Center (NESSC) - Dutch Ministry of Education, Culture and Science (OCW) [024.002.001]</t>
  </si>
  <si>
    <t>INSeaPTION project, ERA4CS, an ERA-NET; JPI Climate; NWO(Netherlands Organization for Scientific Research (NWO)); European Union(European Union (EU)); Netherlands Earth System Science Center (NESSC) - Dutch Ministry of Education, Culture and Science (OCW)</t>
  </si>
  <si>
    <t>Erwin Lambert has received funding from the INSeaPTION project which is part of ERA4CS, an ERA-NET initiated by JPI Climate, and funded by NWO with co-funding by the European Union (Grant 690462). Dewi Le Bars received funding from the European Union's Horizon 2020 research and innovation programme under the grant agreement RECEIPT No 820712. Heiko Goelzer has received funding from the programme of the Netherlands Earth System Science Center (NESSC), financially supported by the Dutch Ministry of Education, Culture and Science (OCW), under grant no. 024.002.001. The authors thank T. Frederikse for providing output from the GRD model. Finally, the authors thank two anonymous reviewers for their constructive comments.</t>
  </si>
  <si>
    <t>2328-4277</t>
  </si>
  <si>
    <t>Earth Future</t>
  </si>
  <si>
    <t>e2020EF001825</t>
  </si>
  <si>
    <t>10.1029/2020EF001825</t>
  </si>
  <si>
    <t>QP4OU</t>
  </si>
  <si>
    <t>WOS:000623816500006</t>
  </si>
  <si>
    <t>Teoh, CP; Lavin, P; Najimudin, N; Lee, PC; Iancu, L; Purcarea, C; Wong, CMVL</t>
  </si>
  <si>
    <t>Teoh, Chui Peng; Lavin, Paris; Najimudin, Nazalan; Lee, Ping Chin; Iancu, Lavinia; Purcarea, Cristina; Wong, Clemente Michael Vui Ling</t>
  </si>
  <si>
    <t>Draft Genome Sequence of Flavobacterium sp. Strain PL002, Isolated from Antarctic Porphyra Algae</t>
  </si>
  <si>
    <t>Here, we report the draft genome sequence of Flavobacterium sp. strain PL002, isolated from Antarctic Porphyra algae. The 4,299,965-bp genome sequence is assembled into 170 contigs, has 32.92% GC content, and 3,734 predicted genes.</t>
  </si>
  <si>
    <t>[Teoh, Chui Peng; Wong, Clemente Michael Vui Ling] Univ Malaysia Sabah, Biotechnol Res Inst, Kota Kinabalu, Sabah, Malaysia; [Lavin, Paris] Univ Antofagasta, Fac Ciencias Mar &amp; Recursos Biol, Dept Biotecnol, Antofagasta, Chile; [Lavin, Paris] Univ Antofagasta, Inst Antofagasta, Lab Complejidad Microbiana &amp; Ecol Func, Antofagasta, Chile; [Najimudin, Nazalan] Univ Sains Malaysia, Sch Biol Sci, Bayan Lepas, Penang, Malaysia; [Lee, Ping Chin] Univ Malaysia Sabah, Fac Sci &amp; Nat Resources, Kota Kinabalu, Sabah, Malaysia; [Iancu, Lavinia; Purcarea, Cristina] Inst Biol, Dept Microbiol, Bucharest, Romania</t>
  </si>
  <si>
    <t>Universiti Malaysia Sabah; Universidad de Antofagasta; Universidad de Antofagasta; Universiti Sains Malaysia; Universiti Malaysia Sabah; Universiti Kebangsaan Malaysia; Institute of Biology Bucharest</t>
  </si>
  <si>
    <t>Lavin, P (corresponding author), Univ Antofagasta, Fac Ciencias Mar &amp; Recursos Biol, Dept Biotecnol, Antofagasta, Chile.;Lavin, P (corresponding author), Univ Antofagasta, Inst Antofagasta, Lab Complejidad Microbiana &amp; Ecol Func, Antofagasta, Chile.</t>
  </si>
  <si>
    <t>palavin@gmail.com</t>
  </si>
  <si>
    <t>Wong, Clemente Michael Vui Ling/M-8372-2013; Lee, Ping Chin/AGV-4612-2022; Teoh, Chui Peng/AAM-9640-2021; Najimudin, Nazalan/B-2952-2011; Lavin, Paris/HPH-3612-2023; Purcarea, Cristina/HKO-6092-2023</t>
  </si>
  <si>
    <t>Wong, Clemente Michael Vui Ling/0000-0003-3431-8896; Lee, Ping Chin/0000-0002-4280-0829; Teoh, Chui Peng/0000-0003-1261-4600; Lavin, Paris/0000-0002-8893-526X; Purcarea, Cristina/0000-0001-5784-8545</t>
  </si>
  <si>
    <t>Iniciacion de la Investigacion de Nuevos Investigadores de la Universidad de Antofagasta, Chile [1308]; Ministry of Science, Technology, and Innovation (MOSTI), Malaysia [FP1213E036]; UEFISCDI [PN-III-P2-2.1-PED-2019-2746]</t>
  </si>
  <si>
    <t>Iniciacion de la Investigacion de Nuevos Investigadores de la Universidad de Antofagasta, Chile; Ministry of Science, Technology, and Innovation (MOSTI), Malaysia(Ministry of Energy, Science, Technology, Environment and Climate Change (MESTECC), Malaysia); UEFISCDI(Consiliul National al Cercetarii Stiintifice (CNCS)Unitatea Executiva pentru Finantarea Invatamantului Superior, a Cercetarii, Dezvoltarii si Inovarii (UEFISCDI))</t>
  </si>
  <si>
    <t>This research was supported by project VRII-No1308, Iniciacion de la Investigacion de Nuevos Investigadores de la Universidad de Antofagasta, Chile; the Ministry of Science, Technology, and Innovation (MOSTI), Malaysia, under the Antarctica Flagship Programme (subproject 1, FP1213E036); and grant PN-III-P2-2.1-PED-2019-2746 (UEFISCDI).</t>
  </si>
  <si>
    <t>e00063-21</t>
  </si>
  <si>
    <t>10.1128/MRA.00063-21</t>
  </si>
  <si>
    <t>QP2OF</t>
  </si>
  <si>
    <t>WOS:000623676400004</t>
  </si>
  <si>
    <t>Dai, YH; Yu, JM; Rafter, P</t>
  </si>
  <si>
    <t>Dai, Yuhao; Yu, Jimin; Rafter, Patrick</t>
  </si>
  <si>
    <t>Deglacial Ventilation Changes in the Deep Southwest Pacific</t>
  </si>
  <si>
    <t>carbon cycle; deglaciation; radiocarbon; Southern Ocean; ventilation</t>
  </si>
  <si>
    <t>Processes underlying changes in the oceanic carbon storage during the Last Glacial Maximum and the subsequent deglaciation are not fully understood. Here, we present a new high-resolution radiocarbon reconstruction (expressed as delta R-14) at the depth of the modern Lower Circumpolar Deep Water from the Pacific Sector of the Southern Ocean. Our record shows delta R-14 increases during Heinrich Stadial 1 and the Younger Dryas that agree with the deep-to-shallow transfer of old carbon in the Southern Ocean during these two periods. Our record also shows, for the first time, a clear similar to 80 parts per thousand decline in delta R-14 during the Antarctic Cold Reversal (ACR), indicating the development of poorly ventilated conditions in the deep Southwest Pacific. These conditions are consistent with the increased Southern Ocean sea-ice and associated stratification between Upper and Lower Circumpolar Deep Waters. This enhanced stratification in the deep South Pacific possibly facilitated greater carbon storage in the ocean interior during the ACR, effectively limiting oceanic CO2 release and contributing to the atmospheric CO2 plateau as observed in ice cores at that time.</t>
  </si>
  <si>
    <t>[Dai, Yuhao; Yu, Jimin] Australian Natl Univ, Res Sch Earth Sci, Canberra, ACT, Australia; [Rafter, Patrick] Univ Calif Irvine, Dept Earth Syst Sci, Irvine, CA USA; [Dai, Yuhao] Lund Univ, Dept Geol, Lund, Sweden</t>
  </si>
  <si>
    <t>Australian National University; University of California System; University of California Irvine; Lund University</t>
  </si>
  <si>
    <t>Dai, YH; Yu, JM (corresponding author), Australian Natl Univ, Res Sch Earth Sci, Canberra, ACT, Australia.;Dai, YH (corresponding author), Lund Univ, Dept Geol, Lund, Sweden.</t>
  </si>
  <si>
    <t>yuhao.dai@geol.lu.se; jimin.yu@anu.edu.au</t>
  </si>
  <si>
    <t>Rafter, Patrick A/I-3301-2012; Yu, Jimin/I-7770-2012</t>
  </si>
  <si>
    <t>Dai, Yuhao/0000-0001-7727-4315; Yu, Jimin/0000-0002-3896-1777</t>
  </si>
  <si>
    <t>NSFC [41676026]; ARC Future Fellowship [FT140100993]; ARC Discovery Project [DP190100894]; US National Science Foundation [1635610, 1838751, 2015647]; Directorate For Geosciences [2015647] Funding Source: National Science Foundation; Directorate For Geosciences; Division Of Ocean Sciences [1635610] Funding Source: National Science Foundation; Division Of Ocean Sciences [2015647] Funding Source: National Science Foundation</t>
  </si>
  <si>
    <t>NSFC(National Natural Science Foundation of China (NSFC)); ARC Future Fellowship(Australian Research Council); ARC Discovery Project(Australian Research Council); US National Science Foundation(National Science Foundation (NSF));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t>
  </si>
  <si>
    <t>We thank Bradley Opdyke and William Howard for providing sediment samples. We thank three reviewers for their constructive comments, which immensely improved this manuscript. Jimin Yu designed this study. Yuhao Dai made trace element measurements, picked foraminifera shells for radiocarbon analyses, and analyzed model output data. Patrick A. Rafter performed radiocarbon analyses. Yuhao Dai wrote the paper with contributions from Jimin Yu and Patrick A. Rafter. This research is supported by NSFC (41676026), ARC Future Fellowship (FT140100993), and ARC Discovery Project (DP190100894) to Jimin Yu, and US National Science Foundation (1635610, 1838751, and 2015647) to Patrick A. Rafter.</t>
  </si>
  <si>
    <t>e2020PA004172</t>
  </si>
  <si>
    <t>10.1029/2020PA004172</t>
  </si>
  <si>
    <t>QP8YT</t>
  </si>
  <si>
    <t>WOS:000624116800008</t>
  </si>
  <si>
    <t>Reilly, BT; Tauxe, L; Brachfeld, S; Raymo, M; Bailey, I; Hemming, S; Weber, ME; Williams, T; Garcia, M; Guitard, M; Martos, YM; Pérez, LF; Zheng, XF; Armbrecht, L; Cardillo, FG; Du, ZH; Fauth, G; Glueder, A; Gutjahr, M; Hernández-Almeida, I; Hoem, FS; Hwang, JH; Iizuka, M; Kato, Y; Kenlee, B; O'Connell, S; Peck, V; Ronge, TA; Seki, O; Tripathi, S; Warnock, J</t>
  </si>
  <si>
    <t>Reilly, Brendan T.; Tauxe, Lisa; Brachfeld, Stefanie; Raymo, Maureen; Bailey, Ian; Hemming, Sidney; Weber, Michael E.; Williams, Trevor; Garcia, Marga; Guitard, Michelle; Martos, Yasmina M.; Perez, Lara F.; Zheng, Xufeng; Armbrecht, Linda; Cardillo, Fabricio G.; Du, Zhiheng; Fauth, Gerson; Glueder, Anna; Gutjahr, Marcus; Hernandez-Almeida, Ivan; Hoem, Frida S.; Hwang, Ji-Hwan; Iizuka, Mutsumi; Kato, Yuji; Kenlee, Bridget; O'Connell, Suzanne; Peck, Victoria; Ronge, Thomas A.; Seki, Osamu; Tripathi, Shubham; Warnock, Jonathan</t>
  </si>
  <si>
    <t>New Magnetostratigraphic Insights From Iceberg Alley on the Rhythms of Antarctic Climate During the Plio-Pleistocene</t>
  </si>
  <si>
    <t>Antarctica; Dove Basin; Iceberg Alley; International Ocean Discovery Program (IODP); magnetostratigraphy; Scotia Sea</t>
  </si>
  <si>
    <t>International Ocean Discovery Program (IODP) Expedition 382 in the Scotia Sea's Iceberg Alley recovered among the most continuous and highest resolution stratigraphic records in the Southern Ocean near Antarctica spanning the last 3.3 Myr. Sites drilled in Dove Basin (U1536/U1537) have well-resolved magnetostratigraphy and a strong imprint of orbital forcing in their lithostratigraphy. All magnetic reversals of the last 3.3 Myr are identified, providing a robust age model independent of orbital tuning. During the Pleistocene, alternation of terrigenous versus diatomaceous facies shows power in the eccentricity and obliquity frequencies comparable to the amplitude modulation of benthic delta O-18 records. This suggests that variations in Dove Basin lithostratigraphy during the Pleistocene reflect a similar history as globally integrated ice volume at these frequencies. However, power in the precession frequencies over the entire similar to 3.3 Myr record does not match the amplitude modulation of benthic delta O-18 records, suggesting Dove Basin contains a unique record at these frequencies. Comparing the position of magnetic reversals relative to local facies changes in Dove Basin and the same magnetic reversals relative to benthic delta O-18 at North Atlantic IODP Site U1308, we demonstrate Dove Basin facies change at different times than benthic delta O-18 during intervals between similar to 3 and 1 Ma. These differences are consistent with precession phase shifts and suggest climate signals with a Southern Hemisphere summer insolation phase were recorded around Antarctica. If Dove Basin lithology reflects local Antarctic ice volume changes, these signals could represent ice sheet precession-paced variations not captured in benthic delta O-18 during the 41-kyr world.</t>
  </si>
  <si>
    <t>[Reilly, Brendan T.; Tauxe, Lisa] Univ Calif San Diego, Scripps Inst Oceanog, La Jolla, CA 92093 USA; [Brachfeld, Stefanie] Montclair State Univ, Earth &amp; Environm Studies, Montclair, NJ USA; [Raymo, Maureen; Hemming, Sidney] Columbia Univ, Lamont Doherty Earth Observ, Palisades, NY USA; [Bailey, Ian] Univ Exeter, Camborne Sch Mines, Penryn Campus, Penryn, Cornwall, England; [Weber, Michael E.] Univ Bonn, Inst Geosci, Bonn, Germany; [Williams, Trevor] Texas A&amp;M Univ, Int Ocean Discovery Program, College Stn, TX USA; [Garcia, Marga] Spanish Inst Oceanog IEO, Oceanog Ctr Cadiz, Cadiz, Spain; [Guitard, Michelle] Univ S Florida, Coll Marine Sci, St Petersburg, FL USA; [Martos, Yasmina M.] NASA, Planetary Magnetospheres Lab, Goddard Space Flight Ctr, Greenbelt, MD USA; [Martos, Yasmina M.] Univ Maryland, Dept Astron, College Pk, MD 20742 USA; [Perez, Lara F.; Peck, Victoria] British Antarctic Survey, Cambridge, England; [Zheng, Xufeng] Chinese Acad Sci, South China Sea Inst Oceanol, Guangzhou, Peoples R China; [Armbrecht, Linda] Univ Adelaide, Australian Ctr Ancient DNA, Dept Ecol &amp; Evolutionary Biol, Adelaide, SA, Australia; [Cardillo, Fabricio G.] Serv Hidrog Naval, Dept Oceanog, Buenos Aires, DF, Argentina; [Du, Zhiheng] Chinese Acad Sci, Northwest Inst Ecoenvironm &amp; Resources, State Key Lab Cryospher Sci, Lanzhou, Peoples R China; [Fauth, Gerson] Univ Vale Rio dos Sinos, Geol Program, Sao Leopoldo, RS, Brazil; [Glueder, Anna] Oregon State Univ, Coll Earth Ocean &amp; Atmospher Sci, Corvallis, OR 97331 USA; [Gutjahr, Marcus] GEOMAR Helmholtz Ctr Ocean Res Kiel, Kiel, Germany; [Hernandez-Almeida, Ivan] Swiss Fed Inst Technol, Dept Earth Sci, Zurich, Switzerland; [Hoem, Frida S.] Univ Utrecht, Dept Earth Sci Marine Palynol &amp; Paleoceanog, Utrecht, Netherlands; [Hwang, Ji-Hwan] Korea Basic Sci Inst, Earth Environm Sci, Cheongju, South Korea; [Iizuka, Mutsumi] Tokyo City Univ, Knowledge Engn, Setagaya Ku, Tokyo, Japan; [Kato, Yuji] Kochi Univ, Ctr Adv Marine Core Res, Nankoku, Kochi, Japan; [Kenlee, Bridget] Univ Calif Riverside, Dept Earth Sci, Riverside, CA 92521 USA; [O'Connell, Suzanne] Wesleyan Univ, Dept Earth &amp; Environm Sci, Middletown, CT USA; [Ronge, Thomas A.] Alfred Wegener Inst, Helmholtz Ctr Polar &amp; Marine Res, Bremerhaven, Germany; [Seki, Osamu] Hokkaido Univ, Inst Low Temp Sci, Sapporo, Hokkaido, Japan; [Tripathi, Shubham] Minist Earth Sci, Natl Ctr Polar &amp; Ocean Res, Marine Stable Isotope Lab, Vasco Da Gama, India; [Warnock, Jonathan] Indiana Univ Penn, Dept Geosci, Indiana, PA USA</t>
  </si>
  <si>
    <t>University of California System; University of California San Diego; Scripps Institution of Oceanography; Montclair State University; Columbia University; University of Exeter; University of Bonn; Texas A&amp;M University System; Texas A&amp;M University College Station; State University System of Florida; University of South Florida; National Aeronautics &amp; Space Administration (NASA); NASA Goddard Space Flight Center; University System of Maryland; University of Maryland College Park; UK Research &amp; Innovation (UKRI); Natural Environment Research Council (NERC); NERC British Antarctic Survey; Chinese Academy of Sciences; South China Sea Institute of Oceanology, CAS; University of Adelaide; Servicio de Hidrografia Naval; Chinese Academy of Sciences; Universidade do Vale do Rio dos Sinos (Unisinos); Oregon State University; Helmholtz Association; GEOMAR Helmholtz Center for Ocean Research Kiel; Swiss Federal Institutes of Technology Domain; ETH Zurich; Utrecht University; Korea Basic Science Institute (KBSI); Tokyo City University; Kochi University; University of California System; University of California Riverside; Wesleyan University; Helmholtz Association; Alfred Wegener Institute, Helmholtz Centre for Polar &amp; Marine Research; Hokkaido University; Ministry of Earth Sciences (MoES) - India; National Centre for Polar and Ocean Research (NCPOR); Pennsylvania State System of Higher Education (PASSHE); Indiana University of Pennsylvania</t>
  </si>
  <si>
    <t>Reilly, BT (corresponding author), Univ Calif San Diego, Scripps Inst Oceanog, La Jolla, CA 92093 USA.</t>
  </si>
  <si>
    <t>btreilly@ucsd.edu</t>
  </si>
  <si>
    <t>Pérez, Lara F./H-3572-2015; Zheng, Xufeng/HPC-4252-2023; Armbrecht, Linda/GZB-0547-2022; Fauth, Gerson/AAE-3353-2021; Gutjahr, Marcus/L-9158-2013; Williams, Trevor/L-7670-2014; Tripathi, Shubham/AAU-9384-2020; Bailey, Ian/G-4707-2010; ALMEIDA, IVAN HERNANDEZ/G-3134-2015; 郑, 旭/JAO-2624-2023; Garcia, Marga/L-7410-2014; Weber, Michael E/G-8707-2012</t>
  </si>
  <si>
    <t>Pérez, Lara F./0000-0002-6229-4564; Gutjahr, Marcus/0000-0003-2556-2619; Tripathi, Shubham/0000-0002-0676-4744; Bailey, Ian/0000-0001-5150-5437; ALMEIDA, IVAN HERNANDEZ/0000-0002-9329-8357; Garcia, Marga/0000-0003-2632-6132; Brachfeld, Stefanie/0000-0003-4612-2866; Reilly, Brendan/0000-0003-3666-4338; Weber, Michael E/0000-0003-2175-8980; Kato, Yuji/0000-0001-9420-487X; Hemming, Sidney/0000-0001-8117-2303; Glueder, Anna/0000-0002-2829-1204; Tauxe, Lisa/0000-0002-4837-8200</t>
  </si>
  <si>
    <t>US Science Support Program; Columbia University (National Science Foundation [NSF]) [OCE 1450528]; IODP JRSO (NSF) [1326927]; NSF [1547263]; Natural Environmental Research Council; UK IODP [NE/T006609/1]; EU project MARINEFF (Interreg VA France-(Channel)-England Programme project) [162]; Marie Skodowska-Curie grant [792773 WAMSISE]; UK-IODP program [NEB1782]; NOW Polar Programs [ALW.2016.001]; Australia-New Zealand IODP Consortium (ANZIC); Grants-in-Aid for Scientific Research [20H00626] Funding Source: KAKEN; Division Of Earth Sciences; Directorate For Geosciences [1547263] Funding Source: National Science Foundation; NERC [bas0100030, NE/T010908/1, NE/T013648/1, NE/T006609/1] Funding Source: UKRI</t>
  </si>
  <si>
    <t>US Science Support Program; Columbia University (National Science Foundation [NSF])(National Science Foundation (NSF)); IODP JRSO (NSF); NSF(National Science Foundation (NSF)); Natural Environmental Research Council(UK Research &amp; Innovation (UKRI)Natural Environment Research Council (NERC)); UK IODP; EU project MARINEFF (Interreg VA France-(Channel)-England Programme project); Marie Skodowska-Curie grant; UK-IODP program; NOW Polar Programs; Australia-New Zealand IODP Consortium (ANZIC); Grants-in-Aid for Scientific Research(Ministry of Education, Culture, Sports, Science and Technology, Japan (MEXT)Japan Society for the Promotion of ScienceGrants-in-Aid for Scientific Research (KAKENHI)); Division Of Earth Sciences; Directorate For Geosciences(National Science Foundation (NSF)NSF - Directorate for Geosciences (GEO)); NERC(UK Research &amp; Innovation (UKRI)Natural Environment Research Council (NERC))</t>
  </si>
  <si>
    <t>The authors are grateful to the captain, crew, and IODP staff that made IODP Expedition 382 successful. All samples and data were provided by IODP. The authors thank J. Channell for providing U1308 paleomagnetic data. B. Reilly thanks the Scripps Institution of Oceanography for support. US participants on Expedition 382 acknowledge support from the US Science Support Program and Columbia University (National Science Foundation [NSF] award OCE 1450528). L. Tauxe acknowledges support from NSF award EAR 1547263. T. Williams acknowledges support from the IODP JRSO (NSF award 1326927) I. Bailey thanks the Natural Environmental Research Council for financial support for his participation in IODP Exp. 382 (UK IODP Grant NE/T006609/1) and acknowledges additional support from the EU project MARINEFF (Interreg VA France-(Channel)-England Programme project #162). L. F. Perez has received funding from the Marie Skodowska-Curie grant agreement No 792773 WAMSISE and the UK-IODP program through the grant NEB1782. F. S. Hoem acknowledges funding through NOW Polar Programs grant ALW.2016.001. L. Armbrecht thanks the Australia-New Zealand IODP Consortium (ANZIC) for their support. We thank Lorraine Lisiecki and Lucas Lourens for insightful reviews of this manuscript.</t>
  </si>
  <si>
    <t>e2020PA003994</t>
  </si>
  <si>
    <t>10.1029/2020PA003994</t>
  </si>
  <si>
    <t>Green Published, Bronze, Green Accepted, Green Submitted</t>
  </si>
  <si>
    <t>WOS:000624116800011</t>
  </si>
  <si>
    <t>Kim, J; Kim, J; Lee, W; Karanovic, I</t>
  </si>
  <si>
    <t>Kim, Jeongho; Kim, Jaehyun; Lee, Wonchoel; Karanovic, Ivana</t>
  </si>
  <si>
    <t>The First Insight into the Patterns of Size and Shape Variation of a Microcerberid Isopod</t>
  </si>
  <si>
    <t>crustacean; cryptic species; integrative taxonomy; marine interstitial; peracarida; reverse taxonomy</t>
  </si>
  <si>
    <t>Cryptic species are a biological phenomenon only recently recognized due to progress in molecular studies. They pose a significant challenge to conventional taxonomic work since these species manifest low morphological differences, but considerable genetic disparity. New taxonomic methods are in development but have yet to be tested for many animal groups. Isopods belonging to the suborder Microcerberidea are one such group. The Asian microcerberid isopod, Coxicerberus fukudai (Ito, 1974), is a major component of marine interstitial fauna with suspected cryptic species inhabiting Japan and Korea. We chose six Korean populations with high molecular interpopulations divergence and applied 2D landmark-based geometric morphometrics to cephalic sensilla, pleonal points, and male pleopod II. This quantitative approach allowed us to study interpopulation size and shape variations, morphospace structure, and whether the morphological pattern mirrored the genetic species. We determined that a high degree of interpopulation size variation significantly influences shape changes. Once we removed the allometric effect, the size-corrected male pleopod II shape variations yielded a new species, C. jangsaensis sp. nov. At the same time, we were able to resolve the C. fukadai species complex.</t>
  </si>
  <si>
    <t>[Kim, Jeongho; Kim, Jaehyun; Lee, Wonchoel; Karanovic, Ivana] Hanyang Univ, Dept Life Sci, Wangsimni Ro 222, Seoul 04763, South Korea; [Karanovic, Ivana] Univ Tasmania, Inst Marine &amp; Antarctic Studies, Hobart, Tas 7001, Australia</t>
  </si>
  <si>
    <t>Hanyang University; University of Tasmania</t>
  </si>
  <si>
    <t>Lee, W; Karanovic, I (corresponding author), Hanyang Univ, Dept Life Sci, Wangsimni Ro 222, Seoul 04763, South Korea.;Karanovic, I (corresponding author), Univ Tasmania, Inst Marine &amp; Antarctic Studies, Hobart, Tas 7001, Australia.</t>
  </si>
  <si>
    <t>gazergazer86@naver.com; jhcjn2sd@naver.com; wlee@hanyang.ac.kr; ivana@hanyang.ac.kr</t>
  </si>
  <si>
    <t>Lee, Wonchoel/L-9822-2018</t>
  </si>
  <si>
    <t>Lee, Wonchoel/0000-0002-9873-1033; Kim, Jeongho/0000-0002-4858-9163</t>
  </si>
  <si>
    <t>National Institute of Biological Resources (NIBR); Ministry of Environment (MOE) of the Republic of Korea [NIBR201839201]; National Research Foundation of Korea (NRF) [2016R1D1A1B01009806, 2018R1D1A1B07050117]; Marine Biotechnology Program of the Korea Institute of Marine Science and Technology Promotion (KIMST) [20170431]; Ministry of Oceans and Fisheries (MOF)</t>
  </si>
  <si>
    <t>National Institute of Biological Resources (NIBR); Ministry of Environment (MOE) of the Republic of Korea; National Research Foundation of Korea (NRF)(National Research Foundation of Korea); Marine Biotechnology Program of the Korea Institute of Marine Science and Technology Promotion (KIMST); Ministry of Oceans and Fisheries (MOF)</t>
  </si>
  <si>
    <t>The study was supported by four grants: 2018 Graduate Program of Undiscovered Taxa from the National Institute of Biological Resources (NIBR), funded by the Ministry of Environment (MOE) of the Republic of Korea (NIBR201839201), National Research Foundation of Korea (NRF) grant (2016R1D1A1B01009806), the Marine Biotechnology Program of the Korea Institute of Marine Science and Technology Promotion (KIMST, No. 20170431), funded by the Ministry of Oceans and Fisheries (MOF) to the Marine Biodiversity Institute of Korea (MABIK), and National Research Foundation of Korea (NRF) grant (2018R1D1A1B07050117).</t>
  </si>
  <si>
    <t>10.3390/w13040515</t>
  </si>
  <si>
    <t>QR0AE</t>
  </si>
  <si>
    <t>WOS:000624877000001</t>
  </si>
  <si>
    <t>González-Ballesteros, N; Rodríguez-Argüelles, MC; Lastra-Valdor, M</t>
  </si>
  <si>
    <t>Gonzalez-Ballesteros, N.; Rodriguez-Arguelles, M. C.; Lastra-Valdor, M.</t>
  </si>
  <si>
    <t>Evaluation of the Antioxidant Capacities of Antarctic Macroalgae and Their Use for Nanoparticles Production</t>
  </si>
  <si>
    <t>Desmarestia antarctica; Iridaea cordata; green synthesis; gold nanoparticles; silver nanoparticles; reducing power; total phenolic content; DPPH scavenging activity</t>
  </si>
  <si>
    <t>Macroalgae are sources of bioactive compounds that are interesting from both a chemical and a medical point of view. Although their use in biomedicine has increased significantly in recent years, tests conducted to date have been mostly related to species from temperate latitudes, with the potential application of Antarctic biodiversity being minor. The wide variety of algae species present on Antarctic coastal areas can be a source of new antioxidants. Bearing this in mind, the brown macroalgae Desmarestia antarctica (DA) and the red Iridaea cordata (IC) were selected for the preparation of aqueous extracts with the aim of analyzing their antioxidant activity. This analysis was performed by determining reducing power, total phenolic content, and 2,2-diphenyl-1-picrylhydrazyl free radical scavenging activity. Furthermore, both extracts were employed to synthesize gold and silver nanoparticles. The nanomaterials were fully characterized by means of UV-Visible spectroscopy, transmission electron microscopy, Z potential measurements, and Fourier transform infrared spectroscopy, which confirmed the formation of stable, spherical nanoparticles with mean diameters of 13.7 +/- 3.1 and 17.5 +/- 3.7 nm for Ag@DA and Ag@IC and 12.6 +/- 1.9 and 12.3 +/- 1.6 nm for Au@DA and Au@IC. Antioxidant assays were performed after the synthesis of the nanomaterials to evaluate their possible synergistic effect with the extracts. The results suggest that polysaccharides and proteins may play a key role in the process of reduction and stabilization. Finally, for the sake of comparison, the results obtained for the Antarctic macroalgae Desmarestia menziesii and Palmaria decipiens have also been considered in the present work.</t>
  </si>
  <si>
    <t>[Gonzalez-Ballesteros, N.; Rodriguez-Arguelles, M. C.] Univ Vigo, Dept Quim Inorgan, CINBIO, Vigo 36310, Spain; [Lastra-Valdor, M.] Univ Vigo, Ctr Invest Marina, Vigo 36331, Spain</t>
  </si>
  <si>
    <t>Universidade de Vigo; CINBIO; Universidade de Vigo; CIM UVIGO</t>
  </si>
  <si>
    <t>Rodríguez-Argüelles, MC (corresponding author), Univ Vigo, Dept Quim Inorgan, CINBIO, Vigo 36310, Spain.</t>
  </si>
  <si>
    <t>noeliagb@uvigo.es; mcarmen@uvigo.es; mlastra@uvigo.es</t>
  </si>
  <si>
    <t>González-Ballesteros, Noelia/D-7849-2018; Rodriguez-Arguelles, M Carmen/G-9341-2015</t>
  </si>
  <si>
    <t>González-Ballesteros, Noelia/0000-0001-5514-1984; Rodriguez-Arguelles, M Carmen/0000-0003-4415-3204</t>
  </si>
  <si>
    <t>Xunta de Galicia [ED431C 2017/46-GRC, ED431C 2018/54 -GRC]</t>
  </si>
  <si>
    <t>Xunta de Galicia(Xunta de Galicia)</t>
  </si>
  <si>
    <t>This work has been supported by the Xunta de Galicia (Ref.: ED431C 2017/46-GRC and ED431C 2018/54 -GRC).</t>
  </si>
  <si>
    <t>10.3390/molecules26041182</t>
  </si>
  <si>
    <t>QP9TD</t>
  </si>
  <si>
    <t>WOS:000624170400001</t>
  </si>
  <si>
    <t>Moraes, MM; Mendes, TT; Arantes, RME</t>
  </si>
  <si>
    <t>Moraes, Michele M.; Mendes, Thiago T.; Arantes, Rosa M. E.</t>
  </si>
  <si>
    <t>Smart Wearables for Cardiac Autonomic Monitoring in Isolated, Confined and Extreme Environments: A Perspective from Field Research in Antarctica</t>
  </si>
  <si>
    <t>cardiovascular; cold; isolation; polar; portable devices</t>
  </si>
  <si>
    <t>Antarctica is a space-analog ICE (isolated, cold, and extreme) environment. Cardiovascular and heart autonomic adjustments are key-adaptive physiological responses to Antarctica, both in summer camps and in research stations winter-over. Research fieldwork in ICE environments imposes limitations such as energy restriction, the need for portable and easy-to-handle resources, and resistance of materials to cold and snow/water. Herein, we present the methods we use for cardiac monitoring in the Antarctic field, the limitations of the equipment currently available, and the specific demands for smart wearables to physiological and health tracking in ICE environments, including the increased remote monitoring demand due to COVID-19 restrictions.</t>
  </si>
  <si>
    <t>[Moraes, Michele M.; Arantes, Rosa M. E.] Univ Fed Minas Gerais, Inst Biol Sci, Dept Pathol, BR-31270901 Belo Horizonte, MG, Brazil; [Mendes, Thiago T.] Univ Fed Maranhao, Ctr Nat &amp; Human Sci Hlth &amp; Technol, BR-65200000 Pinheiro, Maranhao, Brazil</t>
  </si>
  <si>
    <t>Universidade Federal de Minas Gerais; Universidade Federal do Maranhao</t>
  </si>
  <si>
    <t>Arantes, RME (corresponding author), Univ Fed Minas Gerais, Inst Biol Sci, Dept Pathol, BR-31270901 Belo Horizonte, MG, Brazil.</t>
  </si>
  <si>
    <t>michelemmoraes@ufmg.br; thiagotemendes@gmail.com; rosa.esteves.arantes@gmail.com</t>
  </si>
  <si>
    <t>MORAES, MICHELE/W-4042-2019; Mendes, Thiago Teixeira/GWZ-5533-2022; ARANTES, ROSA MARIA ESTEVES/C-5749-2013</t>
  </si>
  <si>
    <t>MORAES, MICHELE/0000-0003-4707-6099; Mendes, Thiago Teixeira/0000-0003-1644-4020; ARANTES, ROSA MARIA ESTEVES/0000-0003-1428-9717</t>
  </si>
  <si>
    <t>CNPq/MCTIC/CAPES/FNDCT/PROANTAR [442645/2018-0]; Fundacao de Amparo a Pesquisa do Estado deMinas Gerais (FAPEMIG) [AEC-00017-18, CDS-PPM 000304/16, CBB-APQ-01419-14]; Pro-Reitoria de Pesquisa da Universidade Federal de Minas Gerais (PRPq UFMG); Conselho Nacional de Desenvolvimento Cientifico e Tecnologico (CNPq) [305952/2017-0]; Coordenacao de Aperfeicoamento de Pessoal de Nivel Superior, Brasil (CAPES) [001]; CAPES/BRASIL [88887.321687/2019-00]</t>
  </si>
  <si>
    <t>CNPq/MCTIC/CAPES/FNDCT/PROANTAR; Fundacao de Amparo a Pesquisa do Estado deMinas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Brasil (CAPES)(Coordenacao de Aperfeicoamento de Pessoal de Nivel Superior (CAPES)); CAPES/BRASIL(Coordenacao de Aperfeicoamento de Pessoal de Nivel Superior (CAPES))</t>
  </si>
  <si>
    <t>This researchwas funded by CNPq/MCTIC/CAPES/FNDCT/PROANTAR [442645/2018-0]; Fundacao de Amparo a Pesquisa do Estado deMinas Gerais (FAPEMIG) [AEC-00017-18, CDS-PPM 000304/16, and CBB-APQ-01419-14], and Pro-Reitoria de Pesquisa da Universidade Federal de Minas Gerais (PRPq UFMG). RMEA received a research fellowship from Conselho Nacional de Desenvolvimento Cientifico e Tecnologico (CNPq) [305952/2017-0]. This study was financed in part by the Coordenacao de Aperfeicoamento de Pessoal de Nivel Superior, Brasil (CAPES) (Finance Code 001) and M.M.M.'s post-doctoral fellowship, CAPES/BRASIL [88887.321687/2019-00].</t>
  </si>
  <si>
    <t>10.3390/s21041303</t>
  </si>
  <si>
    <t>QQ7JV</t>
  </si>
  <si>
    <t>WOS:000624698500001</t>
  </si>
  <si>
    <t>Dubrasquet, H; Garrido, I; Bruning, P; Reyes, J; Guillemin, ML</t>
  </si>
  <si>
    <t>Dubrasquet, Helene; Garrido, Ignacio; Bruning, Paulina; Reyes, Janette; Guillemin, Marie-Laure</t>
  </si>
  <si>
    <t>Building-up knowledge on green marine macroalgae diversity in the Western Antarctic Peninsula: data from two molecular markers reveals numerous species with amphipolar distribution</t>
  </si>
  <si>
    <t>CRYPTOGAMIE ALGOLOGIE</t>
  </si>
  <si>
    <t>Antarctic; Chlorophyta; barcoding; tufA and rbc; amphipolar distribution; endemism</t>
  </si>
  <si>
    <t>SOUTH SHETLAND ISLANDS; ALGA CAULERPA TAXIFOLIA; POTTER COVE; CHLOROPHYTA; PHYLOGENY; TREBOUXIOPHYCEAE; BIODIVERSITY; DISTANCE; TUFA; PHYLODIVERSITY</t>
  </si>
  <si>
    <t>Low levels of diversity and endemism, when compared to red or brown algae, have been reported for Antarctic green marine macroalgae (Chlorophyta). However, recent studies including the use of molecular markers have allowed us to revisit the taxonomical status of species thought to be well known, underlying the existence of unexpected Antarctic flora diversity at local and regional scale. In the present study, samples of green macroalgae along the Western Antarctic Peninsula (from the 62 degrees S down to the 66 degrees S) were sequenced for two genetic markers regularly used for species determination and barcoding in Chlorophyta (i.e., the plastid genes tufA and rbcL). From the 122 specimens of Chlorophyta sampled, 85 were sequenced for the gene tufA and 16 for the gene rbcL. Using the NCBI Nucleotide Blast Tool to compare our sequences to the ones available in public data depositories allowed the identification of 11 species. Three new species were reported for the area: Rosenvingiella radicans (Katz.) Rindi, L.Mclvor &amp; Guiry, Urospora wormskioldii (Mertens) Rosenvinge and Ulvella islandica R.Nielsen &amp; K.Gunnarsson. Furthermore, molecular identification revealed strong match (&gt; 95%) between our Antarctic sequences and the ones obtained for samples from the northern hemisphere for Acrosiphonia arcta (Dillwyn) Gain, Prasiola crispa (Lightfoot) Kutzing, Prasiola antarctica Kutzing 1849, R. radicans, Ulva sp. A-GW, U. islandica, Urospora penicilliformis (Roth) Areschoug and U. wormskioldii confirming the amphipolar distribution of various taxa of Antarctic Trebouxiophyceae and Ulvophyceae. Amphipolar distribution seems more common in green than red or brown Antarctic seaweeds, so here we hypothesize that recurrent occurrence of long dispersal events could explain the low level of endemism observed for this phylum along the Antarctic coasts.</t>
  </si>
  <si>
    <t>[Dubrasquet, Helene; Reyes, Janette; Guillemin, Marie-Laure] Univ Austral Chile, Fac Ciencias, Inst Ciencias Ambientales &amp; Evolut, Casilla 567, Valdivia, Chile; [Garrido, Ignacio; Bruning, Paulina] Laval Univ, Dept Biol, Quebec City, PQ, Canada; [Garrido, Ignacio; Bruning, Paulina] Laval Univ, Quebec Ocean, Quebec City, PQ, Canada; [Garrido, Ignacio] Univ Austral Chile, Fac Ciencias, Lab Costero Recursos Acudt Calfuco, Valdivia, Chile; [Garrido, Ignacio; Bruning, Paulina; Guillemin, Marie-Laure] Univ Austral Chile, Ctr FONDAP Invest Dinam Ecosistemas Marinos Altas, Valdivia, Region De Los R, Chile; [Guillemin, Marie-Laure] Sorbonne Univ, Stn Biol Roscoff, UC,UACH, IRL EBEA 3614,Evolutionary Biol &amp; Ecol Algae,CNRS, Pl Georges Teissier, F-29688 Roscoff, France</t>
  </si>
  <si>
    <t>Universidad Austral de Chile; Laval University; Laval University; Universidad Austral de Chile; Universidad Austral de Chile; Sorbonne Universite; Centre National de la Recherche Scientifique (CNRS)</t>
  </si>
  <si>
    <t>Guillemin, ML (corresponding author), Univ Austral Chile, Fac Ciencias, Inst Ciencias Ambientales &amp; Evolut, Casilla 567, Valdivia, Chile.</t>
  </si>
  <si>
    <t>marielaure.guillemin@gmail.com</t>
  </si>
  <si>
    <t>Bruning, Paulina/0000-0002-2064-719X</t>
  </si>
  <si>
    <t>Instituto Antartico Chileno (INACH) [T_16-11, RG_15-16]; ANID Agencia Nacional de Investigacion y Desarrollo [ART1101]; Centro FONDAP IDEAL [15150003]</t>
  </si>
  <si>
    <t>Instituto Antartico Chileno (INACH); ANID Agencia Nacional de Investigacion y Desarrollo; Centro FONDAP IDEAL</t>
  </si>
  <si>
    <t>This research was supported by the Instituto Antartico Chileno (INACH) T_16-11 and RG_15-16 projects and sampling in King George Island was funded by the Project Anillo ART1101 from the ex Comision Nacional de Investigacion Cientifica y Tecnologica, now ANID Agencia Nacional de Investigacion y Desarrollo. Additional support came from the Centro FONDAP IDEAL no. 15150003. The authors thank J. L. Kappes, T. Heran, Y. Henriquez and L. Vallejos for their help in the field and C. Cardenas Quilapan for her help in the lab and Enzo Mardones for the seaweed illustrations in Figure 2. We thank Maria E. Ramirez (Museo Nacional de Historia Natural, Area Botanica, Santiago, Chile) for her help in the morphological identification of the green algae specimens. The authors would also like to thank the Chilean Navy (especially the captain and crew of the ships Almirante Oscar Viel and Lautaro), the staff from the Chilean Army in the O'Higgins base and the Air Force of Chile (FACh) for the logistic support of our fieldwork in sub-Antarctica and Antarctica. We thank the editor, one anonymous reviewer and Olivier de Clerck for their comments and efforts towards improving our manuscript.</t>
  </si>
  <si>
    <t>ADAC-CRYPTOGAMIE</t>
  </si>
  <si>
    <t>PARIS</t>
  </si>
  <si>
    <t>12 RUE DE BUFFON, 75005 PARIS, FRANCE</t>
  </si>
  <si>
    <t>0181-1568</t>
  </si>
  <si>
    <t>1776-0984</t>
  </si>
  <si>
    <t>CRYPTOGAMIE ALGOL</t>
  </si>
  <si>
    <t>Cryptogam. Algol.</t>
  </si>
  <si>
    <t>10.5252/cryptogamie-algologie2021v42a2</t>
  </si>
  <si>
    <t>QL2VC</t>
  </si>
  <si>
    <t>WOS:000620938200001</t>
  </si>
  <si>
    <t>Verasoundarapandian, G; Wong, CY; Shaharuddin, NA; Gomez-Fuentes, C; Zulkharnain, A; Ahmad, SA</t>
  </si>
  <si>
    <t>Verasoundarapandian, Gayathiri; Wong, Chiew-Yen; Shaharuddin, Noor Azmi; Gomez-Fuentes, Claudio; Zulkharnain, Azham; Ahmad, Siti Aqlima</t>
  </si>
  <si>
    <t>A Review and Bibliometric Analysis on Applications of Microbial Degradation of Hydrocarbon Contaminants in Arctic Marine Environment at Metagenomic and Enzymatic Levels</t>
  </si>
  <si>
    <t>INTERNATIONAL JOURNAL OF ENVIRONMENTAL RESEARCH AND PUBLIC HEALTH</t>
  </si>
  <si>
    <t>hydrocarbon degradation; microbial community; Arctic marine; review; bibliometric analysis</t>
  </si>
  <si>
    <t>POLYCYCLIC AROMATIC-HYDROCARBONS; OIL-SPILL; CRUDE-OIL; PETROLEUM-HYDROCARBONS; ANAEROBIC DEGRADATION; BACTERIAL COMMUNITIES; DIESEL; BIODEGRADATION; WATER; BIOREMEDIATION</t>
  </si>
  <si>
    <t>The globe is presently reliant on natural resources, fossil fuels, and crude oil to support the world's energy requirements. Human exploration for oil resources is always associated with irreversible effects. Primary sources of hydrocarbon pollution are instigated through oil exploration, extraction, and transportation in the Arctic region. To address the state of pollution, it is necessary to understand the mechanisms and processes of the bioremediation of hydrocarbons. The application of various microbial communities originated from the Arctic can provide a better interpretation on the mechanisms of specific microbes in the biodegradation process. The composition of oil and consequences of hydrocarbon pollutants to the various marine environments are also discussed in this paper. An overview of emerging trends on literature or research publications published in the last decade was compiled via bibliometric analysis in relation to the topic of interest, which is the microbial community present in the Arctic and Antarctic marine environments. This review also presents the hydrocarbon-degrading microbial community present in the Arctic, biodegradation metabolic pathways (enzymatic level), and capacity of microbial degradation from the perspective of metagenomics. The limitations are stated and recommendations are proposed for future research prospects on biodegradation of oil contaminants by microbial community at the low temperature regions of the Arctic.</t>
  </si>
  <si>
    <t>[Verasoundarapandian, Gayathiri; Shaharuddin, Noor Azmi; Ahmad, Siti Aqlima] Univ Putra Malaysia, Dept Biochem, Serdang 43400, Selangor, Malaysia; [Wong, Chiew-Yen] Int Med Univ, Sch Hlth Sci, Kuala Lumpur 57000, Malaysia; [Wong, Chiew-Yen; Ahmad, Siti Aqlima] Univ Malaya, Natl Antarctic Res Ctr, Kuala Lumpur 50603, Malaysia; [Gomez-Fuentes, Claudio] Univ Magallanes, Dept Chem Engn, Avda Bulnes 01855, Punta Arenas, Chile; [Gomez-Fuentes, Claudio; Ahmad, Siti Aqlima] Univ Magallanes, Ctr Res &amp; Antarctic Environm Monitoring CIMAA, Avda Bulnes 01855, Punta Arenas, Chile; [Zulkharnain, Azham] Shibaura Inst Technol, Dept Biosci &amp; Engn, Saitama, Saitama 3378570, Japan</t>
  </si>
  <si>
    <t>Universiti Putra Malaysia; International Medical University Malaysia; Universiti Malaya; Universidad de Magallanes; Universidad de Magallanes; Shibaura Institute of Technology</t>
  </si>
  <si>
    <t>Ahmad, SA (corresponding author), Univ Putra Malaysia, Dept Biochem, Serdang 43400, Selangor, Malaysia.;Ahmad, SA (corresponding author), Univ Malaya, Natl Antarctic Res Ctr, Kuala Lumpur 50603, Malaysia.;Ahmad, SA (corresponding author), Univ Magallanes, Ctr Res &amp; Antarctic Environm Monitoring CIMAA, Avda Bulnes 01855, Punta Arenas, Chile.</t>
  </si>
  <si>
    <t>gs58309@student.upm.edu.my; WongChiewYen@imu.edu.my; noorazmi@upm.edu.my; claudio.gomez@umag.cl; azham@shibaura-it.ac.jp; aqlima@upm.edu.my</t>
  </si>
  <si>
    <t>Gomez-Fuentes, Claudio/ACN-8984-2022; Yen, Wong Chiew/AFY-1719-2022</t>
  </si>
  <si>
    <t>Gomez-Fuentes, Claudio/0000-0001-9060-7727; Shaharuddin, Noor Azmi/0000-0003-0057-9932; Wong, Chiew-Yen/0000-0003-0534-6206; Ahmad, Siti Aqlima/0000-0002-7625-3704; Verasoundarapandian, Gayathiri/0000-0002-7200-8648; Zulkharnain, Azham/0000-0001-9173-8171</t>
  </si>
  <si>
    <t>Universiti Putra Malaysia [9300436, 9678900]; Yayasan Penyelidikan Antartika Sultan Mizan (YPASM) Research Grant 2020 on Phytoremediation Potential of Antarctic Microalgae on Diesel Hydrocarbons; Centro de Investigacion y Monitoreo Ambiental Antarctico (CIMAA) Project</t>
  </si>
  <si>
    <t>Universiti Putra Malaysia; Yayasan Penyelidikan Antartika Sultan Mizan (YPASM) Research Grant 2020 on Phytoremediation Potential of Antarctic Microalgae on Diesel Hydrocarbons; Centro de Investigacion y Monitoreo Ambiental Antarctico (CIMAA) Project</t>
  </si>
  <si>
    <t>This research was funded by Universiti Putra Malaysia, Matching Grant Putra 9300436 and Putra Berimpak 9678900 and Yayasan Penyelidikan Antartika Sultan Mizan (YPASM) Research Grant 2020 on Phytoremediation Potential of Antarctic Microalgae on Diesel Hydrocarbons. C.G. Fuentes is supported by Centro de Investigacion y Monitoreo Ambiental Antarctico (CIMAA) Project.</t>
  </si>
  <si>
    <t>1660-4601</t>
  </si>
  <si>
    <t>INT J ENV RES PUB HE</t>
  </si>
  <si>
    <t>Int. J. Environ. Res. Public Health</t>
  </si>
  <si>
    <t>10.3390/ijerph18041671</t>
  </si>
  <si>
    <t>Environmental Sciences; Public, Environmental &amp; Occupational Health</t>
  </si>
  <si>
    <t>Environmental Sciences &amp; Ecology; Public, Environmental &amp; Occupational Health</t>
  </si>
  <si>
    <t>QP0ZU</t>
  </si>
  <si>
    <t>WOS:000623567000001</t>
  </si>
  <si>
    <t>Wong, RR; Lim, ZS; Shaharuddin, NA; Zulkharnain, A; Gomez-Fuentes, C; Ahmad, SA</t>
  </si>
  <si>
    <t>Wong, Rasidnie Razin; Lim, Zheng Syuen; Shaharuddin, Noor Azmi; Zulkharnain, Azham; Gomez-Fuentes, Claudio; Ahmad, Siti Aqlima</t>
  </si>
  <si>
    <t>Diesel in Antarctica and a Bibliometric Study on Its Indigenous Microorganisms as Remediation Agent</t>
  </si>
  <si>
    <t>Antarctica; diesel; bioremediation; microbial degradation; psychrophiles</t>
  </si>
  <si>
    <t>OIL-CONTAMINATED SOIL; MICROBIAL-DEGRADATION; BACTERIAL COMMUNITY; FATTY-ACIDS; FUEL SPILL; COLD; BIODEGRADATION; BIOREMEDIATION; HYDROCARBONS; TEMPERATURE</t>
  </si>
  <si>
    <t>Diesel acts as a main energy source to complement human activities in Antarctica. However, the increased expedition in Antarctica has threatened the environment as well as its living organisms. While more efforts on the use of renewable energy are being done, most activities in Antarctica still depend heavily on the use of diesel. Diesel contaminants in their natural state are known to be persistent, complex and toxic. The low temperature in Antarctica worsens these issues, making pollutants more significantly toxic to their environment and indigenous organisms. A bibliometric analysis had demonstrated a gradual increase in the number of studies on the microbial hydrocarbon remediation in Antarctica over the year. It was also found that these studies were dominated by those that used bacteria as remediating agents, whereas very little focus was given on fungi and microalgae. This review presents a summary of the collective and past understanding to the current findings of Antarctic microbial enzymatic degradation of hydrocarbons as well as its genotypic adaptation to the extreme low temperature.</t>
  </si>
  <si>
    <t>[Wong, Rasidnie Razin; Lim, Zheng Syuen; Shaharuddin, Noor Azmi; Ahmad, Siti Aqlima] Univ Putra Malaysia, Fac Biotechnol &amp; Biomol Sci, Dept Biochem, Upm Serdang 43400, Selangor, Malaysia; [Zulkharnain, Azham] Shibaura Inst Technol, Coll Syst Engn &amp; Sci, Dept Biosci &amp; Engn, Minuma Ku, 307 Fukasaku, Saitama 3378570, Japan; [Gomez-Fuentes, Claudio] Univ Magallanes, Dept Chem Engn, Avda Bulnes, Punta Arenas 01855, Region Magallan, Chile; [Gomez-Fuentes, Claudio; Ahmad, Siti Aqlima] Univ Magallanes, Ctr Res &amp; Antarctic Environm Monitoring CIMAA, Avda Bulnes, Punta Arenas 01855, Region Magallan, Chile; [Ahmad, Siti Aqlima] Univ Malaya, Natl Antarct Res Ctr, B303 Level 3,Block B,IPS Bldg, Kuala Lumpur 50603, Malaysia</t>
  </si>
  <si>
    <t>Universiti Putra Malaysia; Shibaura Institute of Technology; Universidad de Magallanes; Universidad de Magallanes; Universiti Malaya</t>
  </si>
  <si>
    <t>Ahmad, SA (corresponding author), Univ Putra Malaysia, Fac Biotechnol &amp; Biomol Sci, Dept Biochem, Upm Serdang 43400, Selangor, Malaysia.;Ahmad, SA (corresponding author), Univ Magallanes, Ctr Res &amp; Antarctic Environm Monitoring CIMAA, Avda Bulnes, Punta Arenas 01855, Region Magallan, Chile.;Ahmad, SA (corresponding author), Univ Malaya, Natl Antarct Res Ctr, B303 Level 3,Block B,IPS Bldg, Kuala Lumpur 50603, Malaysia.</t>
  </si>
  <si>
    <t>msrasidnie21@gmail.com; syuenylim@gmail.com; noorazmi@upm.edu.my; azham@shibaura-it.ac.jp; claudio.gomez@umag.cl; aqlima@upm.edu.my</t>
  </si>
  <si>
    <t>Wong, Rasidnie/0000-0002-0664-5980; Shaharuddin, Noor Azmi/0000-0003-0057-9932; Ahmad, Siti Aqlima/0000-0002-7625-3704; Lim, Zheng Syuen/0000-0002-8650-8408</t>
  </si>
  <si>
    <t>Universiti Putra Malaysia (Matching Grant Putra) [9300436]; Universiti Putra Malaysia (Matching Grant Putra Berimpak) [9678900]; YPASM Smart Partnership Initiative 2019 [6300247]</t>
  </si>
  <si>
    <t>Universiti Putra Malaysia (Matching Grant Putra); Universiti Putra Malaysia (Matching Grant Putra Berimpak); YPASM Smart Partnership Initiative 2019</t>
  </si>
  <si>
    <t>This project was funded by Universiti Putra Malaysia (Matching Grant Putra 9300436 and Putra Berimpak 9678900) and YPASM Smart Partnership Initiative 2019 (6300247).</t>
  </si>
  <si>
    <t>10.3390/ijerph18041512</t>
  </si>
  <si>
    <t>QP1WB</t>
  </si>
  <si>
    <t>WOS:000623626300001</t>
  </si>
  <si>
    <t>Colgan, W; MacGregor, JA; Mankoff, KD; Haagenson, R; Rajaram, H; Martos, YM; Morlighem, M; Fahnestock, MA; Kjeldsen, KK</t>
  </si>
  <si>
    <t>Colgan, William; MacGregor, Joseph A.; Mankoff, Kenneth D.; Haagenson, Ryan; Rajaram, Harihar; Martos, Yasmina M.; Morlighem, Mathieu; Fahnestock, Mark A.; Kjeldsen, Kristian K.</t>
  </si>
  <si>
    <t>Topographic Correction of Geothermal Heat Flux in Greenland and Antarctica</t>
  </si>
  <si>
    <t>Antarctica; geothermal; Greenland; topography</t>
  </si>
  <si>
    <t>We present a new approach to account for the influence of subglacial topography on geothermal heat flux beneath the Greenland and Antarctic ice sheets. We first establish a simple empirical proportionality between local geothermal flux and topographic relief within a given radius, based on a synthesis of existing observations of these properties elsewhere on Earth. This analysis essentially yields a high-pass filter that can be readily applied to existing large-scale geothermal heat flux fields to render them consistent with known subglacial topography. This empirical approach avoids both the geometric limitations of existing analytic models and the complex boundary conditions required by numerical heat flow models, yet it also produces results that are consistent with both of those methods, for example, increased heat flux within valleys and decreased heat flux along ridges. Comparison with borehole-derived geothermal heat flux suggests that our topographic correction is also valid for non-ice-covered areas of Earth and that a borehole location uncertainty of &gt;100 m can limit the value of its inferred heat flux. Ice-sheet-wide application of this approach indicates that the effect of local topography upon geothermal heat flux can be as important as choice of regional geothermal heat flux field across a small portion of Antarctica (2%) and a larger portion of Greenland (13%), where subglacial topography is best resolved. We suggest that spatial variability in geothermal heat flux due to topography is most consequential in slower-flowing portions of the ice sheets, where there is no frictional heating due to basal sliding. We conclude that studies of interactions between ice sheets and geothermal heat flux must consider the effect of subglacial topography at sub-kilometer horizontal scales.</t>
  </si>
  <si>
    <t>[Colgan, William; Mankoff, Kenneth D.; Kjeldsen, Kristian K.] Geol Survey Denmark &amp; Greenland, Dept Glaciol &amp; Climate, Copenhagen, Denmark; [Colgan, William] Univ Colorado, Cooperat Inst Res Environm Sci, Boulder, CO 80309 USA; [MacGregor, Joseph A.] NASA, Cryospher Sci Lab Code 615, Goddard Space Flight Ctr, Greenbelt, MD USA; [Haagenson, Ryan; Rajaram, Harihar] Johns Hopkins Univ, Dept Environm Hlth &amp; Engn, Baltimore, MD USA; [Martos, Yasmina M.] NASA, Planetary Magnetospheres Lab Code 695, Goddard Space Flight Ctr, Greenbelt, MD USA; [Martos, Yasmina M.] Univ Maryland, Dept Astron, College Pk, MD 20742 USA; [Morlighem, Mathieu] Univ Calif Irvine, Dept Earth Syst Sci, Irvine, CA USA; [Fahnestock, Mark A.] Univ Alaska, Inst Geophys, Fairbanks, AK USA</t>
  </si>
  <si>
    <t>Geological Survey Of Denmark &amp; Greenland; University of Colorado System; University of Colorado Boulder; National Aeronautics &amp; Space Administration (NASA); NASA Goddard Space Flight Center; Johns Hopkins University; National Aeronautics &amp; Space Administration (NASA); NASA Goddard Space Flight Center; University System of Maryland; University of Maryland College Park; University of California System; University of California Irvine; University of Alaska System; University of Alaska Fairbanks</t>
  </si>
  <si>
    <t>Colgan, W (corresponding author), Geol Survey Denmark &amp; Greenland, Dept Glaciol &amp; Climate, Copenhagen, Denmark.;Colgan, W (corresponding author), Univ Colorado, Cooperat Inst Res Environm Sci, Boulder, CO 80309 USA.</t>
  </si>
  <si>
    <t>wic@geus.dk</t>
  </si>
  <si>
    <t>Colgan, William/ITU-7055-2023; Morlighem, Mathieu/O-9942-2014; Mankoff, Kenneth/G-1197-2010; Kjeldsen, Kristian Kjellerup/A-9592-2013</t>
  </si>
  <si>
    <t>Colgan, William/0000-0001-6334-1660; Morlighem, Mathieu/0000-0001-5219-1310; Mankoff, Kenneth/0000-0001-5453-2019; Kjeldsen, Kristian Kjellerup/0000-0002-8557-5131; Haagenson, Ryan/0000-0001-8262-5714; MacGregor, Joseph/0000-0002-5517-2235; RAJARAM, HARIHAR/0000-0003-2040-358X</t>
  </si>
  <si>
    <t>Villum Foundation</t>
  </si>
  <si>
    <t>Villum Foundation(Villum Fonden)</t>
  </si>
  <si>
    <t>This publication is part of the award HOTROD: Prototype for Rapid Sampling of Ice-Sheet Basal Temperatures provided by the Experiment Program of the Villum Foundation. The authors thank Valentina Barletta (Technical University of Denmark) and Nanna Karlsson (Geological Survey of Denmark and Greenland) for collegial reviews and helpful discussions on earlier versions of this article. The authors thank Jorg Ebbing (Kiel University), Basile de Fleurian (University of Bergen), and two anonymous referees for comments that greatly improved this work. The authors thank Noah Finnegan (University of California) and Olga Sergienko (Princeton University) for serving as editors for the Journal of Geophysical Research Earth Surface.</t>
  </si>
  <si>
    <t>e2020JF005598</t>
  </si>
  <si>
    <t>10.1029/2020JF005598</t>
  </si>
  <si>
    <t>QP4MG</t>
  </si>
  <si>
    <t>WOS:000623809800005</t>
  </si>
  <si>
    <t>Jakobs, CL; Reijmer, CH; van den Broeke, MR; van de Berg, WJ; van Wessem, JM</t>
  </si>
  <si>
    <t>Jakobs, C. L.; Reijmer, C. H.; van den Broeke, M. R.; van de Berg, W. J.; van Wessem, J. M.</t>
  </si>
  <si>
    <t>Spatial Variability of the Snowmelt-Albedo Feedback in Antarctica</t>
  </si>
  <si>
    <t>Antarctica; albedo; climate modeling; grain size; surface melt</t>
  </si>
  <si>
    <t>Surface melt is an important process for the stability of ice shelves, and therewith the Antarctic ice sheet. In Antarctica, absorption of solar radiation is mostly the largest energy source for surface melt, which is further enhanced by the snowmelt-albedo feedback (SMAF): Refrozen snow has a lower albedo than new snow, which causes it to absorb more solar radiation, further increasing the energy available for surface melt. This feedback has previously been shown to increase surface melt by approximately a factor of 2.5 at Neumayer Station in East Antarctica. In this study, we use a regional climate model to quantify SMAF for the entire Antarctic ice sheet. We find that it is most effective on ice shelves in East Antarctica, and is less important in the Antarctic Peninsula and on the Ross and Filchner-Ronne ice shelves. We identify a relationship between SMAF and average summer 2 m air temperatures, and find that SMAF is most important around 265 +/- 2 K. On a subseasonal scale, we identify several parameters that contribute to SMAF: the length of dry periods, the time between significant snowfall events and snowmelt events, and prevailing temperatures. We then apply the same temperature dependency of SMAF to the Greenland ice sheet and find that it is potentially active in a narrow band around the ice sheet, and finally discuss how the importance of SMAF could change in a warming climate.</t>
  </si>
  <si>
    <t>[Jakobs, C. L.; Reijmer, C. H.; van den Broeke, M. R.; van de Berg, W. J.; van Wessem, J. M.] Univ Utrecht, Inst Marine &amp; Atmospher Res Utrecht, Utrecht, Netherlands</t>
  </si>
  <si>
    <t>Jakobs, CL (corresponding author), Univ Utrecht, Inst Marine &amp; Atmospher Res Utrecht, Utrecht, Netherlands.</t>
  </si>
  <si>
    <t>c.l.jakobs@uu.nl</t>
  </si>
  <si>
    <t>van de Berg, Willem Jan/H-4385-2011; Van den Broeke, Michiel R./F-7867-2011; Reijmer, Carleen H/G-8736-2011</t>
  </si>
  <si>
    <t>van de Berg, Willem Jan/0000-0002-8232-2040; Van den Broeke, Michiel R./0000-0003-4662-7565; Reijmer, Carleen H/0000-0001-8299-3883; Jakobs, Stan/0000-0001-8707-2223</t>
  </si>
  <si>
    <t>Nederlandse Organisatie voor Wetenschappelijk Onderzoek [866.15.204]; Netherlands Earth System Science Center (NESSC); PROTECT; European Union [869304, 10]</t>
  </si>
  <si>
    <t>Nederlandse Organisatie voor Wetenschappelijk Onderzoek(Netherlands Organization for Scientific Research (NWO)); Netherlands Earth System Science Center (NESSC); PROTECT; European Union(European Union (EU))</t>
  </si>
  <si>
    <t>This research has been supported by the Nederlandse Organisatie voor Wetenschappelijk Onderzoek (Grant no. 866.15.204). Michiel van den Broeke acknowledges support from the Netherlands Earth System Science Center (NESSC). This publication was supported by PROTECT. This project has received funding from the European Union's Horizon 2020 research and innovation program under grant agreement no. 869304, PROTECT contribution number 10. The authors thank Brice Noel for carrying out the RACMO2.3p2 Greenland simulation.</t>
  </si>
  <si>
    <t>e2020JF005696</t>
  </si>
  <si>
    <t>10.1029/2020JF005696</t>
  </si>
  <si>
    <t>WOS:000623809800001</t>
  </si>
  <si>
    <t>Mountford, AS; Maqueda, MAM</t>
  </si>
  <si>
    <t>Mountford, A. S.; Morales Maqueda, M. A.</t>
  </si>
  <si>
    <t>Modeling the Accumulation and Transport of Microplastics by Sea Ice</t>
  </si>
  <si>
    <t>Arctic Ocean; marine plastics; microplastics; ocean modeling; sea ice; Southern Ocean</t>
  </si>
  <si>
    <t>OCEAN</t>
  </si>
  <si>
    <t>Plastic pollution is ubiquitous within the marine environment. Despite increasing public and scientific attention to the issue, there still remain gaps in the knowledge of the full global extent of the distribution of this microplastic pollution. The presence and transportation of microplastics in sea ice is an emerging area of research, particularly with regards to sea ice in the Southern Ocean. This study uses numerical modeling to explore the accumulation and transport of positively and neutrally buoyant microplastics in both Arctic and Southern Ocean sea ice. In general, sea ice may be an important seasonal sink for microplastics pollution in both the Arctic and the Antarctic. Positively buoyant microplastics dominate in Arctic sea ice, whereas in the Southern Ocean, neutrally buoyant plastics, which arrive in the region through deep-water transport, appear to be dominant. The overall distribution of microplastics in the Arctic is in keeping with the current literature, although direct comparisons between the results of this model and observational data should be made with caution. There is a clear need for further observational data in the Southern Ocean to elucidate both the transport mechanisms and accumulation of microplastics in Southern Ocean sea ice.</t>
  </si>
  <si>
    <t>[Mountford, A. S.; Morales Maqueda, M. A.] Newcastle Univ, Sch Nat &amp; Environm Sci, Newcastle Upon Tyne, Tyne &amp; Wear, England</t>
  </si>
  <si>
    <t>Newcastle University - UK</t>
  </si>
  <si>
    <t>Mountford, AS (corresponding author), Newcastle Univ, Sch Nat &amp; Environm Sci, Newcastle Upon Tyne, Tyne &amp; Wear, England.</t>
  </si>
  <si>
    <t>a.s.mountford@newcastle.ac.uk</t>
  </si>
  <si>
    <t>Mountford, Alethea/0000-0001-8524-0318</t>
  </si>
  <si>
    <t>UKRI-NERC project CAMPUS (Combining Autonomous observations and Models for Predicting and Understanding Shelf seas) [NE/R006776/1]; SCOR (Scientific Committee on Oceanic Research) [153]; NERC [NE/R006776/1] Funding Source: UKRI</t>
  </si>
  <si>
    <t>UKRI-NERC project CAMPUS (Combining Autonomous observations and Models for Predicting and Understanding Shelf seas); SCOR (Scientific Committee on Oceanic Research); NERC(UK Research &amp; Innovation (UKRI)Natural Environment Research Council (NERC))</t>
  </si>
  <si>
    <t>This research has been partly funded through the UKRI-NERC project CAMPUS (Combining Autonomous observations and Models for Predicting and Understanding Shelf seas) under grant NE/R006776/1. We also acknowledge the support of SCOR (Scientific Committee on Oceanic Research) through the Working Group #153 on Floating Litter and its Oceanic TranSport Analysis and Modeling (FLOTSAM).</t>
  </si>
  <si>
    <t>e2020JC016826</t>
  </si>
  <si>
    <t>10.1029/2020JC016826</t>
  </si>
  <si>
    <t>QQ3OE</t>
  </si>
  <si>
    <t>WOS:000624432800001</t>
  </si>
  <si>
    <t>Zakaria, NN; Convey, P; Gomez-Fuentes, C; Zulkharnain, A; Sabri, S; Shaharuddin, NA; Ahmad, SA</t>
  </si>
  <si>
    <t>Zakaria, Nur Nadhirah; Convey, Peter; Gomez-Fuentes, Claudio; Zulkharnain, Azham; Sabri, Suriana; Shaharuddin, Noor Azmi; Ahmad, Siti Aqlima</t>
  </si>
  <si>
    <t>Oil Bioremediation in the Marine Environment of Antarctica: A Review and Bibliometric Keyword Cluster Analysis</t>
  </si>
  <si>
    <t>fuel; biotechnology; pollution; ocean; microorganisms</t>
  </si>
  <si>
    <t>KING GEORGE ISLAND; POLYCYCLIC AROMATIC-HYDROCARBONS; CRUDE-OIL; ORGANIC-MATTER; DIESEL FUEL; METABOLIC PATHWAYS; GENOME SEQUENCE; BIODEGRADATION; BACTERIUM; DEGRADATION</t>
  </si>
  <si>
    <t>Bioremediation of hydrocarbons has received much attention in recent decades, particularly relating to fuel and other oils. While of great relevance globally, there has recently been increasing interest in hydrocarbon bioremediation in the marine environments of Antarctica. To provide an objective assessment of the research interest in this field we used VOSviewer software to analyze publication data obtained from the ScienceDirect database covering the period 1970 to the present, but with a primary focus on the years 2000-2020. A bibliometric analysis of the database allowed identification of the co-occurrence of keywords. There was an increasing trend over time for publications relating to oil bioremediation in maritime Antarctica, including both studies on marine bioremediation and of the metabolic pathways of hydrocarbon degradation. Studies of marine anaerobic degradation remain under-represented compared to those of aerobic degradation. Emerging keywords in recent years included bioprospecting, metagenomic, bioindicator, and giving insight into changing research foci, such as increasing attention to microbial diversity. The study of microbial genomes using metagenomic approaches or whole genome studies is increasing rapidly and is likely to drive emerging fields in future, including rapid expansion of bioprospecting in diverse fields of biotechnology.</t>
  </si>
  <si>
    <t>[Zakaria, Nur Nadhirah; Shaharuddin, Noor Azmi; Ahmad, Siti Aqlima] Univ Putra Malaysia, Fac Biotechnol &amp; Biomol Sci, Dept Biochem, Serdang 43400, Selangor, Malaysia; [Convey, Peter] British Antarctic Survey, NERC, Madingley Rd, Cambridge CB3 0ET, England; [Gomez-Fuentes, Claudio] Univ Magallanes, Dept Chem Engn, Bulnes 01855, Chile; [Gomez-Fuentes, Claudio; Ahmad, Siti Aqlima] Univ Magallanes, Ctr Res &amp; Antarctic Ennvironm Monitoring CIMAA, Bulnes 01855, Chile; [Zulkharnain, Azham] Shibaura Inst Technol, Dept Biosci &amp; Engn, Coll Syst Engn &amp; Sci, Minuma Ku, 307 Fukasaku, Saitama 3378570, Japan; [Sabri, Suriana] Univ Putra Malaysia, Fac Biotechnol &amp; Biomol Sci, Dept Microbiol, Serdang 43400, Selangor, Malaysia; [Ahmad, Siti Aqlima] Univ Malaya, Natl Antarctic Res Ctr, B303 Level 3,Block B,IPS Bldg, Kuala Lumpur 50603, Malaysia</t>
  </si>
  <si>
    <t>Universiti Putra Malaysia; UK Research &amp; Innovation (UKRI); Natural Environment Research Council (NERC); NERC British Antarctic Survey; Universidad de Magallanes; Universidad de Magallanes; Shibaura Institute of Technology; Universiti Putra Malaysia; Universiti Malaya</t>
  </si>
  <si>
    <t>Ahmad, SA (corresponding author), Univ Putra Malaysia, Fac Biotechnol &amp; Biomol Sci, Dept Biochem, Serdang 43400, Selangor, Malaysia.;Ahmad, SA (corresponding author), Univ Magallanes, Ctr Res &amp; Antarctic Ennvironm Monitoring CIMAA, Bulnes 01855, Chile.</t>
  </si>
  <si>
    <t>nadhirahairakaz@gmail.com; pcon@bas.ac.uk; claudio.gomez@umag.cl; azham@shibaura-it.ac.jp; suriana@upm.edu.my; noorazmi@upm.edu.my; aqlima@upm.edu.my</t>
  </si>
  <si>
    <t>Sabri, Suriana/AAT-5269-2021; Gomez-Fuentes, Claudio/ACN-8984-2022; Convey, Peter/AAV-5728-2020</t>
  </si>
  <si>
    <t>Sabri, Suriana/0000-0003-4027-5730; Gomez-Fuentes, Claudio/0000-0001-9060-7727; Convey, Peter/0000-0001-8497-9903; Ahmad, Siti Aqlima/0000-0002-7625-3704; Zulkharnain, Azham/0000-0001-9173-8171; Shaharuddin, Noor Azmi/0000-0003-0057-9932</t>
  </si>
  <si>
    <t>Putra-IPM [GPM-2018/9660000, GPM-2019/9678900, 2017/9300436]; YPASM Smart Partnership Initiative by Sultan Mizan Antarctic Research Foundation (YPASM) [6300247]; NERC; Centro de Investigacion y Monitoreo Ambiental Antarctico (CIMAA); NERC [bas0100036] Funding Source: UKRI</t>
  </si>
  <si>
    <t>Putra-IPM; YPASM Smart Partnership Initiative by Sultan Mizan Antarctic Research Foundation (YPASM); NERC(UK Research &amp; Innovation (UKRI)Natural Environment Research Council (NERC)); Centro de Investigacion y Monitoreo Ambiental Antarctico (CIMAA); NERC(UK Research &amp; Innovation (UKRI)Natural Environment Research Council (NERC))</t>
  </si>
  <si>
    <t>This project was financially supported by Putra-IPM fund under the research grant attached to S.A. Ahmad (GPM-2018/9660000, GPM-2019/9678900, 2017/9300436) disbursed by Universiti Putra Malaysia (UPM) and YPASM Smart Partnership Initiative (6300247) by Sultan Mizan Antarctic Research Foundation (YPASM). P. Convey is supported by NERC core funding to the BAS `Biodiversity, Ecosystems and Adaptation' Team. C.G. Fuentes is supported by Centro de Investigacion y Monitoreo Ambiental Antarctico (CIMAA) Project.</t>
  </si>
  <si>
    <t>10.3390/microorganisms9020419</t>
  </si>
  <si>
    <t>QO0HT</t>
  </si>
  <si>
    <t>WOS:000622829200001</t>
  </si>
  <si>
    <t>Zheng, WJ; Hu, J; Liu, JH; Sun, Q; Li, ZW; Zhu, JJ; Wu, LX</t>
  </si>
  <si>
    <t>Zheng, Wanji; Hu, Jun; Liu, Jihong; Sun, Qian; Li, Zhiwei; Zhu, Jianjun; Wu, Lixin</t>
  </si>
  <si>
    <t>Mapping Complete Three-Dimensional Ice Velocities by Integrating Multi-Baseline and Multi-Aperture InSAR Measurements: A Case Study of the Grove Mountains Area, East Antarctic</t>
  </si>
  <si>
    <t>3D; ice velocity; InSAR; MAI; Antarctic; ice thickness</t>
  </si>
  <si>
    <t>The Antarctic is one of the most sensitive areas to climate change, and ice velocity is a fundamental parameter for quantitatively assessing the glacier mass balance. Interferometric synthetic aperture radar (InSAR), a powerful tool for monitoring surface deformation with the advantages of having high precision and wide coverage, has been widely used in determining ice velocity in the Antarctic. However, the mapping of complete three-dimensional (3D) ice velocities is greatly limited by the imaging geometries and digital elevation model (DEM)-induced errors. In this study, we propose the integration of multibaseline and multiaperture InSAR measurements from the ENVISAT ASAR datasets to derive complete 3D ice velocities in the Grove Mountains area of the Antarctic. The results show that the estimated complete 3D ice velocities are in good agreement with MEaSUREs and GPS observations. Compared with the conventional 2D and quasi-3D ice velocities, the complete 3D ice velocities can effectively eliminate the effects of DEM errors and elevation changes and are also capable of retrieving the thickness change of the ice, which provides important information on the origin of mass transition.</t>
  </si>
  <si>
    <t>[Zheng, Wanji; Hu, Jun; Liu, Jihong; Li, Zhiwei; Zhu, Jianjun; Wu, Lixin] Cent South Univ, Sch Geosci &amp; Info Phys, Changsha 410083, Peoples R China; [Hu, Jun; Li, Zhiwei; Zhu, Jianjun; Wu, Lixin] Cent South Univ, Key Lab Metallogen Predict Nonferrous Met &amp; Geol, Changsha 410083, Peoples R China; [Sun, Qian] Hunan Normal Univ, Coll Resources &amp; Environm Sci, Changsha 410081, Peoples R China</t>
  </si>
  <si>
    <t>Central South University; Central South University; Hunan Normal University</t>
  </si>
  <si>
    <t>Hu, J (corresponding author), Cent South Univ, Sch Geosci &amp; Info Phys, Changsha 410083, Peoples R China.;Hu, J (corresponding author), Cent South Univ, Key Lab Metallogen Predict Nonferrous Met &amp; Geol, Changsha 410083, Peoples R China.</t>
  </si>
  <si>
    <t>zhengwanji@csu.edu.cn; csuhujun@csu.edu.cn; liujihong@csu.edu.cn; sandra@hunnu.edu.cn; zwli@csu.edu.cn; zjj@csu.edu.cn; wulx66@csu.edu.cn</t>
  </si>
  <si>
    <t>Jun, Hu/AGH-0402-2022; Li, Zhi-wei/H-3629-2015</t>
  </si>
  <si>
    <t>Li, Zhi-wei/0000-0003-4575-5258; Zheng, Wanji/0000-0002-3196-2611; zhu, Jianjun/0000-0001-7185-6429; Liu, Jihong/0000-0003-1528-3771; Hu, Jun/0000-0002-5412-2703</t>
  </si>
  <si>
    <t>National Key R&amp;D Program of China [2018YFC1505101]; National Natural Science Foundation of China [42030112, 41674010, 41704001]; Hunan Natural Science Foundation [2020JJ2043]; Special fund for the construction of innovative provinces in Hunan [2019GK5006]; Project of Innovation-driven Plan of Central South University [2019CX007]; Fundamental Research Funds for the Central Universities of Central South University [2019zzts298, 2020zzts647]</t>
  </si>
  <si>
    <t>National Key R&amp;D Program of China; National Natural Science Foundation of China(National Natural Science Foundation of China (NSFC)); Hunan Natural Science Foundation(Natural Science Foundation of Hunan Province); Special fund for the construction of innovative provinces in Hunan; Project of Innovation-driven Plan of Central South University; Fundamental Research Funds for the Central Universities of Central South University</t>
  </si>
  <si>
    <t>This research was funded by the National Key R&amp;D Program of China, grant number 2018YFC1505101; the National Natural Science Foundation of China, grant numbers 42030112, 41674010, and 41704001; the Hunan Natural Science Foundation, grant numbers 2020JJ2043; the Special fund for the construction of innovative provinces in Hunan, grant number 2019GK5006; the Project of Innovation-driven Plan of Central South University, grant number 2019CX007; and the Fundamental Research Funds for the Central Universities of Central South University, grant number 2019zzts298 and 2020zzts647.</t>
  </si>
  <si>
    <t>10.3390/rs13040643</t>
  </si>
  <si>
    <t>QQ3SQ</t>
  </si>
  <si>
    <t>WOS:000624444400001</t>
  </si>
  <si>
    <t>Zahri, KNM; Zulkharnain, A; Sabri, S; Gomez-Fuentes, C; Ahmad, SA</t>
  </si>
  <si>
    <t>Zahri, Khadijah Nabilah Mohd; Zulkharnain, Azham; Sabri, Suriana; Gomez-Fuentes, Claudio; Ahmad, Siti Aqlima</t>
  </si>
  <si>
    <t>Research Trends of Biodegradation of Cooking Oil in Antarctica from 2001 to 2021: A Bibliometric Analysis Based on the Scopus Database</t>
  </si>
  <si>
    <t>biodegradation; bioremediation; cooking oil; Antarctic</t>
  </si>
  <si>
    <t>In the present age, environmental pollution is multiplying due to various anthropogenic activities. Pollution from waste cooking oil is one of the main issues facing the current human population. Scientists and researchers are seriously concerned about the oils released from various activities, including the blockage of the urban drainage system and odor issues. In addition, cooking oil is known to be harmful and may have a carcinogenic effect. It was found that current research studies and publications are growing on these topics due to environmental problems. A bibliometric analysis of studies published from 2001 to 2021 on cooking oil degradation was carried out using the Scopus database. Primarily, this analysis identified the reliability of the topic for the present-day and explored the past and present progresses of publications on various aspects, including the contributing countries, journals and keywords co-occurrence. The links and interactions between the selected subjects (journals and keywords) were further visualised using the VOSviewer software. The analysis showed that the productivity of the publications is still developing, with the most contributing country being the United States, followed by China and India with 635, 359 and 320 publications, respectively. From a total of 1915 publications, 85 publications were published in the Journal of Agricultural and Food Chemistry. Meanwhile, the second and third of the most influential journals were Bioresource Technology and Industrial Crops and Products with 76 and 70 total publications, respectively. Most importantly, the co-occurrence of the author's keywords revealed biodegradation, bioremediation, vegetable oil and Antarctic as the popular topics in this study area, especially from 2011 to 2015. In conclusion, this bibliometric analysis on the degradation of cooking oil may serve as guide for future avenues of research in this area of research.</t>
  </si>
  <si>
    <t>[Zahri, Khadijah Nabilah Mohd; Ahmad, Siti Aqlima] Univ Putra Malaysia, Fac Biotechnol &amp; Biomol Sci, Dept Biochem, Upm 43400, Selangor, Malaysia; [Zulkharnain, Azham] Shibaura Inst Technol, Coll Syst Engn &amp; Sci, Dept Biosci &amp; Engn, Minuma Ku, 307 Fukasaku, Saitama 3378570, Japan; [Sabri, Suriana] Univ Putra Malaysia, Fac Biotechnol &amp; Biomol Sci, Dept Microbiol, Upm 43400, Selangor, Malaysia; [Gomez-Fuentes, Claudio] Univ Magallanes, Dept Chem Engn, Avda Bulnes, Punta Arenas 01855, Chile; [Gomez-Fuentes, Claudio; Ahmad, Siti Aqlima] Univ Magallanes, Ctr Res &amp; Antarctic Environm Monitoring CIMAA, Avda Bulnes, Punta Arenas 01855, Chile; [Ahmad, Siti Aqlima] Univ Malaya, Natl Antarctic Res Ctr, B303 Level 3,Block B,IPS Bldg, Kuala Lumpur 50603, Malaysia</t>
  </si>
  <si>
    <t>Universiti Putra Malaysia; Shibaura Institute of Technology; Universiti Putra Malaysia; Universidad de Magallanes; Universidad de Magallanes; Universiti Malaya</t>
  </si>
  <si>
    <t>Ahmad, SA (corresponding author), Univ Putra Malaysia, Fac Biotechnol &amp; Biomol Sci, Dept Biochem, Upm 43400, Selangor, Malaysia.</t>
  </si>
  <si>
    <t>khaclijahnabilah95@gmail.com; azham@shibaura-it.ac.jp; suriana@upm.edu.my; daudio.gomez@umag.cl; aqlima@upm.edu.my</t>
  </si>
  <si>
    <t>Sabri, Suriana/AAT-5269-2021; Zahri, Khadijah Nabilah Mohd/AEQ-4594-2022; Gomez-Fuentes, Claudio/ACN-8984-2022</t>
  </si>
  <si>
    <t>Sabri, Suriana/0000-0003-4027-5730; Gomez-Fuentes, Claudio/0000-0001-9060-7727; Zahri, Khadijah/0009-0000-2963-3109; Ahmad, Siti Aqlima/0000-0002-7625-3704</t>
  </si>
  <si>
    <t>Universiti Putra Malaysia [9300436, 9678900]; Centro de Investigacion y Monitoreo Ambiental Antarctico (CIMAA) Project</t>
  </si>
  <si>
    <t>Universiti Putra Malaysia; Centro de Investigacion y Monitoreo Ambiental Antarctico (CIMAA) Project</t>
  </si>
  <si>
    <t>This project was funded by Universiti Putra Malaysia (Matching Grant Putra 9300436 and Putra Berimpak 9678900) and Centro de Investigacion y Monitoreo Ambiental Antarctico (CIMAA) Project.</t>
  </si>
  <si>
    <t>10.3390/ijerph18042050</t>
  </si>
  <si>
    <t>QP0XG</t>
  </si>
  <si>
    <t>WOS:000623560300001</t>
  </si>
  <si>
    <t>Pan, TT; Zhang, Y; Su, FZ; Lyne, V; Cheng, F; Xiao, H</t>
  </si>
  <si>
    <t>Pan, Tingting; Zhang, Yu; Su, Fenzhen; Lyne, Vincent; Cheng, Fei; Xiao, Han</t>
  </si>
  <si>
    <t>Practical Efficient Regional Land-Use Planning Using Constrained Multi-Objective Genetic Algorithm Optimization</t>
  </si>
  <si>
    <t>ISPRS INTERNATIONAL JOURNAL OF GEO-INFORMATION</t>
  </si>
  <si>
    <t>land-use optimization; genetic algorithm; spatial compactness</t>
  </si>
  <si>
    <t>PARTICLE SWARM OPTIMIZATION; SPATIAL OPTIMIZATION; USE ALLOCATION; GIS; MODEL; PERFORMANCE; INTEGRATION; DYNAMICS; SYSTEM; CHINA</t>
  </si>
  <si>
    <t>Practical efficient regional land-use planning requires planners to balance competing uses, regional policies, spatial compatibilities, and priorities across the social, economic, and ecological domains. Genetic algorithm optimization has progressed complex planning, but challenges remain in developing practical alternatives to random initialization, genetic mutations, and to pragmatically balance competing objectives. To meet these practical needs, we developed a Land use Intensity-restricted Multi-objective Spatial Optimization (LIr-MSO) model with more realistic patch size initialization, novel mutation, elite strategies, and objectives balanced via nominalizations and weightings. We tested the model for Dapeng, China where experiments compared comprehensive fitness (across conversion cost, Gross Domestic Product (GDP), ecosystem services value, compactness, and conflict degree) with three contrast experiments, in which changes were separately made in the initialization and mutation. The comprehensive model gave superior fitness compared to the contrast experiments. Iterations progressed rapidly to near-optimality, but final convergence involved much slower parent-offspring mutations. Tradeoffs between conversion cost and compactness were strongest, and conflict degree improved in part as an emergent property of the spatial social connectedness built into our algorithm. Observations of rapid iteration to near-optimality with our model can facilitate interactive simulations, not possible with current models, involving land-use planners and regional managers.</t>
  </si>
  <si>
    <t>[Pan, Tingting; Zhang, Yu; Su, Fenzhen; Xiao, Han] Chinese Acad Sci, Inst Geog Sci &amp; Nat Resources Res, State Key Lab Resources &amp; Environm Informat Syst, Beijing 100101, Peoples R China; [Pan, Tingting; Xiao, Han] Univ Chinese Acad Sci, Coll Resources &amp; Environm, Beijing 100049, Peoples R China; [Pan, Tingting; Su, Fenzhen; Xiao, Han] Nanjing Univ, Collaborat Innovat Ctr South China Sea Studies, Nanjing 210093, Peoples R China; [Su, Fenzhen] Chinese Acad Sci, Innovat Acad South China Sea Ecol &amp; Environm Engn, Guangzhou 510301, Peoples R China; [Lyne, Vincent] Univ Tasmania, Inst Marine &amp; Antarctic Studies, Hobart, Tas 7004, Australia; [Cheng, Fei] Xiamen Univ, Coll Environm &amp; Ecol, Key Lab, Minist Educ Coastal Wetland Ecosyst, Xiamen 361102, Peoples R China</t>
  </si>
  <si>
    <t>Chinese Academy of Sciences; Institute of Geographic Sciences &amp; Natural Resources Research, CAS; Chinese Academy of Sciences; University of Chinese Academy of Sciences, CAS; Nanjing University; Chinese Academy of Sciences; University of Tasmania; Xiamen University</t>
  </si>
  <si>
    <t>Su, FZ (corresponding author), Chinese Acad Sci, Inst Geog Sci &amp; Nat Resources Res, State Key Lab Resources &amp; Environm Informat Syst, Beijing 100101, Peoples R China.;Su, FZ (corresponding author), Nanjing Univ, Collaborat Innovat Ctr South China Sea Studies, Nanjing 210093, Peoples R China.;Su, FZ (corresponding author), Chinese Acad Sci, Innovat Acad South China Sea Ecol &amp; Environm Engn, Guangzhou 510301, Peoples R China.</t>
  </si>
  <si>
    <t>pantt@lreis.ac.cn; zhangyu@lreis.ac.cn; sufz@lreis.ac.cn; vincent.lyne@utas.edu.au; chengf@xmu.edu.cn; xiaoh@lreis.ac.cn</t>
  </si>
  <si>
    <t>; Lyne, Vincent/O-2110-2016</t>
  </si>
  <si>
    <t>Xiao, Han/0000-0003-3832-9680; Lyne, Vincent/0000-0002-7718-4050; Pan, Tingting/0000-0002-8538-4212</t>
  </si>
  <si>
    <t>National Natural Science Foundation of China [41890854]</t>
  </si>
  <si>
    <t>This research was funded by the National Natural Science Foundation of China, grant number 41890854.</t>
  </si>
  <si>
    <t>2220-9964</t>
  </si>
  <si>
    <t>ISPRS INT J GEO-INF</t>
  </si>
  <si>
    <t>ISPRS Int. J. Geo-Inf.</t>
  </si>
  <si>
    <t>10.3390/ijgi10020100</t>
  </si>
  <si>
    <t>Computer Science, Information Systems; Geography, Physical; Remote Sensing</t>
  </si>
  <si>
    <t>Computer Science; Physical Geography; Remote Sensing</t>
  </si>
  <si>
    <t>QN6PS</t>
  </si>
  <si>
    <t>WOS:000622579400001</t>
  </si>
  <si>
    <t>García-Lopez, E; Serrano, S; Calvo, MA; Perez, SP; Sanchez-Casanova, S; García-Descalzo, L; Cid, C</t>
  </si>
  <si>
    <t>Garcia-Lopez, Eva; Serrano, Sandra; Calvo, Miguel Angel; Pena Perez, Sonia; Sanchez-Casanova, Silvia; Garcia-Descalzo, Laura; Cid, Cristina</t>
  </si>
  <si>
    <t>Microbial Community Structure Driven by a Volcanic Gradient in Glaciers of the Antarctic Archipelago South Shetland</t>
  </si>
  <si>
    <t>cryosphere microbiome; 16S; 18S rRNA high throughput sequencing; glacier; biodiversity; ecology; Antarctica; biogeochemistry; astrobiology</t>
  </si>
  <si>
    <t>CULTURABLE BACTERIA; ICE SHEETS; GEN. NOV.; DIVERSITY; MICROORGANISMS; ENVIRONMENTS; MORPHOLOGY; CILIOPHORA; CRYOCONITE; GREENLAND</t>
  </si>
  <si>
    <t>It has been demonstrated that the englacial ecosystem in volcanic environments is inhabited by active bacteria. To know whether this result could be extrapolated to other Antarctic glaciers and to study the populations of microeukaryotes in addition to those of bacteria, a study was performed using ice samples from eight glaciers in the South Shetland archipelago. The identification of microbial communities of bacteria and microeukaryotes using 16S rRNA and 18S rRNA high throughput sequencing showed a great diversity when compared with microbiomes of other Antarctic glaciers or frozen deserts. Even the composition of the microbial communities identified in the glaciers from the same island was different, which may be due to the isolation of microbial clusters within the ice. A gradient in the abundance and diversity of the microbial communities from the volcano (west to the east) was observed. Additionally, a significant correlation was found between the chemical conditions of the ice samples and the composition of the prokaryotic populations inhabiting them along the volcanic gradient. The bacteria that participate in the sulfur cycle were those that best fit this trend. Furthermore, on the eastern island, a clear influence of human contamination was observed on the glacier microbiome.</t>
  </si>
  <si>
    <t>[Garcia-Lopez, Eva; Serrano, Sandra; Calvo, Miguel Angel; Pena Perez, Sonia; Sanchez-Casanova, Silvia; Garcia-Descalzo, Laura; Cid, Cristina] Ctr Astrobiol CSIC INTA, Mol Evolut Dept, Madrid 28850, Spain</t>
  </si>
  <si>
    <t>Cid, C (corresponding author), Ctr Astrobiol CSIC INTA, Mol Evolut Dept, Madrid 28850, Spain.</t>
  </si>
  <si>
    <t>garcialoe@inta.es; sandra.se.ho@gmail.com; miguel.calvo53@gmail.com; soniapenaperez@gmail.com; silviasanchez1@hotmail.com; laura_garcia_descalzo@hotmail.com; cidsc@inta.es</t>
  </si>
  <si>
    <t>Lopez, Eva Garcia/AAC-4057-2021; García-Descalzo, Laura/S-2777-2018; Cid, Cristina/R-6821-2018</t>
  </si>
  <si>
    <t>Lopez, Eva Garcia/0000-0003-1086-3056; García-Descalzo, Laura/0000-0002-0083-6786; Cid, Cristina/0000-0001-5128-4558</t>
  </si>
  <si>
    <t>Spanish State Research Agency (AEI) [PID2019-104205GB-C22, MDM-2017-0737 CAB]; [PTA2016-12325-I]</t>
  </si>
  <si>
    <t>Spanish State Research Agency (AEI)(Spanish Government);</t>
  </si>
  <si>
    <t>This research has been funded by the Spanish State Research Agency (AEI) Projects No. PID2019-104205GB-C22 and MDM-2017-0737 CAB (CSIC-INTA), Unidad de Excelencia Maria de Maeztu. Eva Garcia-Lopez is recipient of a Fellowship (PTA2016-12325-I). This research is part of POLARCSIC activities.</t>
  </si>
  <si>
    <t>10.3390/microorganisms9020392</t>
  </si>
  <si>
    <t>QO0HI</t>
  </si>
  <si>
    <t>WOS:000622828100001</t>
  </si>
  <si>
    <t>Ndour, M; Padberg-Gehle, K; Rasmussen, M</t>
  </si>
  <si>
    <t>Ndour, Moussa; Padberg-Gehle, Kathrin; Rasmussen, Martin</t>
  </si>
  <si>
    <t>Spectral Early-Warning Signals for Sudden Changes in Time-Dependent Flow Patterns</t>
  </si>
  <si>
    <t>Lagrangian transport; probabilistic approach; transfer operator; singular value decomposition; coherent set; bifurcation</t>
  </si>
  <si>
    <t>SOUTHERN-HEMISPHERE; COHERENT STRUCTURES; SEPTEMBER 2002; POLAR VORTEX; SPARSE; IDENTIFICATION; APPROXIMATION; EXTRACTION; SETS</t>
  </si>
  <si>
    <t>Lagrangian coherent sets are known to crucially determine transport and mixing processes in non-autonomous flows. Prominent examples include vortices and jets in geophysical fluid flows. Coherent sets can be identified computationally by a probabilistic transfer-operator-based approach within a set-oriented numerical framework. Here, we study sudden changes in flow patterns that correspond to bifurcations of coherent sets. Significant changes in the spectral properties of a numerical transfer operator are heuristically related to critical events in the phase space of a time-dependent system. The transfer operator approach is applied to different example systems of increasing complexity. In particular, we study the 2002 splitting event of the Antarctic polar vortex.</t>
  </si>
  <si>
    <t>[Ndour, Moussa] Tech Univ Dresden, Fac Math, Inst Sci Comp, D-01062 Dresden, Germany; [Padberg-Gehle, Kathrin] Leuphana Univ Luneburg, Inst Math &amp; Its Didact, Univ Allee 1, D-21335 Luneburg, Germany; [Rasmussen, Martin] Imperial Coll London, Dept Math, 180 Queens Gate, London SW7 2AZ, England</t>
  </si>
  <si>
    <t>Technische Universitat Dresden; Leuphana University Luneburg; Imperial College London</t>
  </si>
  <si>
    <t>Padberg-Gehle, K (corresponding author), Leuphana Univ Luneburg, Inst Math &amp; Its Didact, Univ Allee 1, D-21335 Luneburg, Germany.</t>
  </si>
  <si>
    <t>msndourr@gmail.com; padberg@leuphana.de; m.rasmussen@imperial.ac.uk</t>
  </si>
  <si>
    <t>Rasmussen, Martin/J-4479-2014; Padberg-Gehle, Kathrin/F-9394-2010</t>
  </si>
  <si>
    <t>Rasmussen, Martin/0000-0002-7366-4719; Padberg-Gehle, Kathrin/0000-0002-1761-213X</t>
  </si>
  <si>
    <t>European Union's Horizon 2020 Research and Innovation Program under the Marie Sklodowska-Curie grant [643073]; Deutsche Forschungsgemeinschaft within the Priority Program SPP 1881 Turbulent Superstructures [PA1972/3-2]</t>
  </si>
  <si>
    <t>European Union's Horizon 2020 Research and Innovation Program under the Marie Sklodowska-Curie grant(European Union (EU)); Deutsche Forschungsgemeinschaft within the Priority Program SPP 1881 Turbulent Superstructures</t>
  </si>
  <si>
    <t>This research has received funding from the European Union's Horizon 2020 Research and Innovation Program under the Marie Sklodowska-Curie grant agreement No. 643073 (ITN CRITICS) as well as from the Deutsche Forschungsgemeinschaft within the Priority Program SPP 1881 Turbulent Superstructures (PA1972/3-2).</t>
  </si>
  <si>
    <t>10.3390/fluids6020049</t>
  </si>
  <si>
    <t>QN6CY</t>
  </si>
  <si>
    <t>WOS:000622546100001</t>
  </si>
  <si>
    <t>Gallardo-Benavente, C; Campo-Giraldo, JL; Castro-Severyn, J; Quiroz, A; Pérez-Donoso, JM</t>
  </si>
  <si>
    <t>Gallardo-Benavente, Carla; Campo-Giraldo, Jessica L.; Castro-Severyn, Juan; Quiroz, Andres; Perez-Donoso, Jose M.</t>
  </si>
  <si>
    <t>Genomics Insights into Pseudomonas sp. CG01: An Antarctic Cadmium-Resistant Strain Capable of Biosynthesizing CdS Nanoparticles Using Methionine as S-Source</t>
  </si>
  <si>
    <t>Antarctic bacteria; nanoparticle biosynthesis; comparative genomics; volatile sulfur compounds</t>
  </si>
  <si>
    <t>HEAVY-METAL RESISTANCE; ESCHERICHIA-COLI; QUANTUM DOTS; FLUORESCENT NANOPARTICLES; SALMONELLA-ENTERICA; SULFIDE PRODUCTION; BACILLUS-SUBTILIS; AERUGINOSA PAO1; GAMMA-LYASE; SP NOV.</t>
  </si>
  <si>
    <t>Here, we present the draft genome sequence of Pseudomonas sp. GC01, a cadmium-resistant Antarctic bacterium capable of biosynthesizing CdS fluorescent nanoparticles (quantum dots, QDs) employing a unique mechanism involving the production of methanethiol (MeSH) from methionine (Met). To explore the molecular/metabolic components involved in QDs biosynthesis, we conducted a comparative genomic analysis, searching for the genes related to cadmium resistance and sulfur metabolic pathways. The genome of Pseudomonas sp. GC01 has a 4,706,645 bp size with a 58.61% G+C content. Pseudomonas sp. GC01 possesses five genes related to cadmium transport/resistance, with three P-type ATPases (cadA, zntA, and pbrA) involved in Cd-secretion that could contribute to the extracellular biosynthesis of CdS QDs. Furthermore, it exhibits genes involved in sulfate assimilation, cysteine/methionine synthesis, and volatile sulfur compounds catabolic pathways. Regarding MeSH production from Met, Pseudomonas sp. GC01 lacks the genes E4.4.1.11 and megL for MeSH generation. Interestingly, despite the absence of these genes, Pseudomonas sp. GC01 produces high levels of MeSH. This is probably associated with the metC gene that also produces MeSH from Met in bacteria. This work is the first report of the potential genes involved in Cd resistance, sulfur metabolism, and the process of MeSH-dependent CdS QDs bioproduction in Pseudomonas spp. strains.</t>
  </si>
  <si>
    <t>[Gallardo-Benavente, Carla] Univ La Frontera, Programa Doctorado Ciencias Recursos Nat, Temuco 4780000, Chile; [Gallardo-Benavente, Carla; Quiroz, Andres] Univ La Frontera, Fac Ingn &amp; Ciencias, Ctr Excelencia Invest Biotecnol Aplicada Medio Am, Temuco 4780000, Chile; [Campo-Giraldo, Jessica L.; Perez-Donoso, Jose M.] Univ Andres Bello, Fac Ciencias Vida, BioNanotechnol &amp; Microbiol Lab, Ctr Bioinformat &amp; Integrat Biol, Santiago 8320000, Chile; [Castro-Severyn, Juan] Univ Catolica Norte, Fac Ingn &amp; Ciencias Geol, Lab Microbiol Aplicada &amp; Extremofilos, Antofagasta 1240000, Chile; [Quiroz, Andres] Univ La Frontera, Fac Ingn &amp; Ciencias, Dept Ciencias Quim &amp; Recursos Nat, Temuco 4780000, Chile</t>
  </si>
  <si>
    <t>Universidad de La Frontera; Universidad de La Frontera; Universidad Andres Bello; Universidad Catolica del Norte; Universidad de La Frontera</t>
  </si>
  <si>
    <t>Quiroz, A (corresponding author), Univ La Frontera, Fac Ingn &amp; Ciencias, Ctr Excelencia Invest Biotecnol Aplicada Medio Am, Temuco 4780000, Chile.;Pérez-Donoso, JM (corresponding author), Univ Andres Bello, Fac Ciencias Vida, BioNanotechnol &amp; Microbiol Lab, Ctr Bioinformat &amp; Integrat Biol, Santiago 8320000, Chile.;Quiroz, A (corresponding author), Univ La Frontera, Fac Ingn &amp; Ciencias, Dept Ciencias Quim &amp; Recursos Nat, Temuco 4780000, Chile.</t>
  </si>
  <si>
    <t>carlagallardo6@gmail.com; jek2908@gmail.com; jsevereyn@gmail.com; andres.quiroz@ufrontera.cl; jose.perez@unab.cl</t>
  </si>
  <si>
    <t>Pérez-Donoso, José M./G-3668-2013</t>
  </si>
  <si>
    <t>Pérez-Donoso, José M./0000-0002-9506-1716; Gallardo Benavente, Carla/0000-0001-7293-517X; Campo-Giraldo, Jessica Liliana/0000-0002-0023-6959; Castro-Severyn, Juan/0000-0002-4301-2226</t>
  </si>
  <si>
    <t>CONICYT scholarship [21151066, 21171644]; Fondecyt [1200870, 1181697]; INACH [DT_05_16, RT-25_16]; Universidad Catolica del Norte 2020 Postdoctoral Fellowship</t>
  </si>
  <si>
    <t>CONICYT scholarship(Comision Nacional de Investigacion Cientifica y Tecnologica (CONICYT)); Fondecyt(Comision Nacional de Investigacion Cientifica y Tecnologica (CONICYT)CONICYT FONDECYT); INACH; Universidad Catolica del Norte 2020 Postdoctoral Fellowship</t>
  </si>
  <si>
    <t>This research was supported by Erika Elcira Donoso Lopez, CONICYT scholarship 21151066 (C.G.-B.), Fondecyt 1200870 (J.M.P.-D.), Fondecyt 1181697 (A.Q.), INACH DT_05_16 (C.G.B., A.Q.), INACH RT-25_16 (J.M.P.-D.), CONICYT scholarship 21171644 (J.L.C.G.) and Universidad Catolica del Norte 2020 Postdoctoral Fellowship (J.C.-S.).</t>
  </si>
  <si>
    <t>10.3390/genes12020187</t>
  </si>
  <si>
    <t>QN6HP</t>
  </si>
  <si>
    <t>WOS:000622558300001</t>
  </si>
  <si>
    <t>de León, SP; Soares, CG</t>
  </si>
  <si>
    <t>de Leon, Sonia Ponce; Soares, C. Guedes</t>
  </si>
  <si>
    <t>Extreme Waves in the Agulhas Current Region Inferred from SAR Wave Spectra and the SWAN Model</t>
  </si>
  <si>
    <t>extreme waves; Agulhas Current; wave-current interactions; SAR wave mode; SWAN; BFI</t>
  </si>
  <si>
    <t>GLOBAL TRENDS; ROGUE WAVES; WIND-SPEED</t>
  </si>
  <si>
    <t>The influence of the Agulhas Current on the wave field is investigated. The study is conducted by performing high resolution spectral wave model simulations with and without ocean currents. The validation of the numerical simulations is performed for the Significant Wave Height (Hs) using all possible satellite altimetry data available in the study region for a winter period of 2018. Wave spectra and extreme waves parameters are examined in places where waves and current are aligned in the Agulhas Current. Sentinel-1 (S1) wave mode Synthetic Aperture Radar (SAR) spectra are used to estimate the composites of the Hs and BFI (Benjamin-Feir Index). SAR computed BFI and Hs were compared with the respective composites obtained from the Simulating Waves Nearshore (SWAN) model. From the Hs composites using SAR data and modeled data, it can be concluded that the Hs maxima values are distributed in the Agulhas Current Retroflection (ACR) and also in the southern limit of the domain that is affected by the strong circumpolar winds around Antarctic. In addition, the BFI composites exhibit the highest values in the ACR and some few values are observed in the southern border as occurred with the Hs. The results of this study indicate that there is direct correlation between the Agulhas Current strength, the Hs and the BFI. It was found that the modeled directional wave spectra are broadened when the ocean current is considered in the simulation. The analysis of the modeled wave spectra is performed over eddies, rings and meanders in the Agulhas Current region. The transformation of the wave spectra due to current refraction is discussed based on the numerical simulations. The effect of the Agulhas Current on the spectral shape is explored. The spectral wave energy grows when the wave and the current are aligned, resulting in peaked, elongated and widened spectra. A decrease of the peak period was observed before the occurrence of maximum values of BFI, which characterize abnormal sea states.</t>
  </si>
  <si>
    <t>[de Leon, Sonia Ponce; Soares, C. Guedes] Univ Lisbon, Ctr Marine Technol &amp; Ocean Engn CENTEC, Inst Super Tecn, P-1049004 Lisbon, Portugal</t>
  </si>
  <si>
    <t>Universidade de Lisboa</t>
  </si>
  <si>
    <t>de León, SP (corresponding author), Univ Lisbon, Ctr Marine Technol &amp; Ocean Engn CENTEC, Inst Super Tecn, P-1049004 Lisbon, Portugal.</t>
  </si>
  <si>
    <t>sonia.poncedeleon@centec.tecnico.ulisboa.pt; c.guedes.soares@centec.tecnico.ulisboa.pt</t>
  </si>
  <si>
    <t>Ponce de León, Sonia/O-3775-2019; Soares, Carlos Guedes/AAW-7684-2020; Guedes Soares, Carlos/H-1140-2012</t>
  </si>
  <si>
    <t>Ponce de León, Sonia/0000-0002-3332-9908; Guedes Soares, Carlos/0000-0002-8570-4263</t>
  </si>
  <si>
    <t>Portuguese Foundation for Science and Technology (Fundacao para a Ciencia e Tecnologia-FCT) [UIDB/UIDP/00134/2020]; FCT through Scientific Employment Stimulus</t>
  </si>
  <si>
    <t>Portuguese Foundation for Science and Technology (Fundacao para a Ciencia e Tecnologia-FCT)(Fundacao para a Ciencia e a Tecnologia (FCT)); FCT through Scientific Employment Stimulus</t>
  </si>
  <si>
    <t>This work contributes to the Strategic Research Plan of the Centre for Marine Technology and Ocean Engineering (CENTEC), which is financed by the Portuguese Foundation for Science and Technology (Fundacao para a Ciencia e Tecnologia-FCT) under UIDB/UIDP/00134/2020. The first author has been contracted as a Researcher funded by FCT through Scientific Employment Stimulus.</t>
  </si>
  <si>
    <t>10.3390/jmse9020153</t>
  </si>
  <si>
    <t>QN7PR</t>
  </si>
  <si>
    <t>WOS:000622647000001</t>
  </si>
  <si>
    <t>Khalid, FE; Lim, ZS; Sabri, S; Gomez-Fuentes, C; Zulkharnain, A; Ahmad, SA</t>
  </si>
  <si>
    <t>Khalid, Farah Eryssa; Lim, Zheng Syuen; Sabri, Suriana; Gomez-Fuentes, Claudio; Zulkharnain, Azham; Ahmad, Siti Aqlima</t>
  </si>
  <si>
    <t>Bioremediation of Diesel Contaminated Marine Water by Bacteria: A Review and Bibliometric Analysis</t>
  </si>
  <si>
    <t>diesel; water pollution; bioremediation; organic pollutants; halophilic bacteria</t>
  </si>
  <si>
    <t>POLYCYCLIC AROMATIC-HYDROCARBONS; OIL-DEGRADING MICROORGANISMS; PETROLEUM-HYDROCARBONS; WASTE-WATER; MICROBIAL-DEGRADATION; HALOPHILIC BACTERIA; HUMAN HEALTH; ALIPHATIC-HYDROCARBONS; ALKANE HYDROXYLASES; ORGANIC POLLUTANTS</t>
  </si>
  <si>
    <t>T Oil pollution can cause tremendous harm and risk to the water ecosystem and organisms due to the relatively recalcitrant hydrocarbon compounds. The current chemical method used to treat the ecosystem polluted with diesel is incompetent and expensive for a large-scale treatment. Thus, bioremediation technique seems urgent and requires more attention to solve the existing environmental problems. Biological agents, including microorganisms, carry out the biodegradation process where organic pollutants are mineralized into water, carbon dioxide, and less toxic compounds. Hydrocarbon-degrading bacteria are ubiquitous in the nature and often exploited for their specialty to bioremediate the oil-polluted area. The capability of these bacteria to utilize hydrocarbon compounds as a carbon source is the main reason behind their species exploitation. Recently, microbial remediation by halophilic bacteria has received many positive feedbacks as an efficient pollutant degrader. These halophilic bacteria are also considered as suitable candidates for bioremediation in hypersaline environments. However, only a few microbial species have been isolated with limited available information on the biodegradation of organic pollutants by halophilic bacteria. The fundamental aspect for successful bioremediation includes selecting appropriate microbes with a high capability of pollutant degradation. Therefore, high salinity bacteria are remarkable microbes for diesel degradation. This paper provides an updated overview of diesel hydrocarbon degradation, the effects of oil spills on the environment and living organisms, and the potential role of high salinity bacteria to decontaminate the organic pollutants in the water environment.</t>
  </si>
  <si>
    <t>[Khalid, Farah Eryssa; Lim, Zheng Syuen; Ahmad, Siti Aqlima] Univ Putra Malaysia, Fac Biotechnol &amp; Biomol Sci, Dept Biochem, Serdang 43400, Selangor, Malaysia; [Sabri, Suriana] Univ Putra Malaysia, Fac Biotechnol &amp; Biomol Sci, Dept Microbiol, Serdang 43400, Selangor, Malaysia; [Gomez-Fuentes, Claudio] Univ Magallanes, Dept Chem Engn, Avda Bulnes, Punta Arenas 01855, Chile; [Gomez-Fuentes, Claudio; Ahmad, Siti Aqlima] Univ Magallanes, Ctr Res &amp; Antarctic Environm Monitoring CIMAA, Avda Bulnes, Punta Arenas 01855, Chile; [Zulkharnain, Azham] Shibaura Inst Technol, Coll Syst Engn &amp; Sci, Dept Biosci &amp; Engn, Minuma Ku, 307 Fukasaku, Saitama 3378570, Japan; [Ahmad, Siti Aqlima] Univ Malaya, Natl Antarctic Res Ctr, B303 Level 3,Block B,IPS Bldg, Kuala Lumpur 50603, Malaysia</t>
  </si>
  <si>
    <t>Universiti Putra Malaysia; Universiti Putra Malaysia; Universidad de Magallanes; Universidad de Magallanes; Shibaura Institute of Technology; Universiti Malaya</t>
  </si>
  <si>
    <t>Ahmad, SA (corresponding author), Univ Putra Malaysia, Fac Biotechnol &amp; Biomol Sci, Dept Biochem, Serdang 43400, Selangor, Malaysia.;Ahmad, SA (corresponding author), Univ Magallanes, Ctr Res &amp; Antarctic Environm Monitoring CIMAA, Avda Bulnes, Punta Arenas 01855, Chile.;Ahmad, SA (corresponding author), Univ Malaya, Natl Antarctic Res Ctr, B303 Level 3,Block B,IPS Bldg, Kuala Lumpur 50603, Malaysia.</t>
  </si>
  <si>
    <t>faraheryssa@gmail.com; syuenylim@gmail.com; suriana@upm.edu.my; daudio.gomez@umag.cl; azham@shibaura-it.ac.jp; aqlima@upm.edu.my</t>
  </si>
  <si>
    <t>Gomez-Fuentes, Claudio/ACN-8984-2022; Sabri, Suriana/AAT-5269-2021</t>
  </si>
  <si>
    <t>Gomez-Fuentes, Claudio/0000-0001-9060-7727; Sabri, Suriana/0000-0003-4027-5730; Zulkharnain, Azham/0000-0001-9173-8171; Ahmad Saiful Khalid, Farah Eryssa Binti/0000-0002-5370-201X; Lim, Zheng Syuen/0000-0002-8650-8408; Ahmad, Siti Aqlima/0000-0002-7625-3704</t>
  </si>
  <si>
    <t>10.3390/jmse9020155</t>
  </si>
  <si>
    <t>QN7EL</t>
  </si>
  <si>
    <t>WOS:000622617800001</t>
  </si>
  <si>
    <t>Fanelli, G; Coleine, C; Gevi, F; Onofri, S; Selbmann, L; Timperio, AM</t>
  </si>
  <si>
    <t>Fanelli, Giuseppina; Coleine, Claudia; Gevi, Federica; Onofri, Silvano; Selbmann, Laura; Timperio, Anna Maria</t>
  </si>
  <si>
    <t>Metabolomics of Dry Versus Reanimated Antarctic Lichen-Dominated Endolithic Communities</t>
  </si>
  <si>
    <t>LIFE-BASEL</t>
  </si>
  <si>
    <t>Antarctica; cryptoendolithic communities; untargeted metabolomics; adaptation; extremophiles; sun exposure</t>
  </si>
  <si>
    <t>MICROBIAL DIVERSITY; VALLEYS; DESERT; BIOSYNTHESIS; COLONIZATION; ENVIRONMENT; EXTRACTION; PATHWAY; PLANT</t>
  </si>
  <si>
    <t>Cryptoendolithic communities are almost the sole life form in the ice-free areas of the Antarctic desert, encompassing among the most extreme-tolerant organisms known on Earth that still assure ecosystems functioning, regulating nutrient and biogeochemical cycles under conditions accounted as incompatible with active life. If high-throughput sequencing based studies are unravelling prokaryotic and eukaryotic diversity, they are not yet characterized in terms of stress adaptations and responses, despite their paramount ecological importance. In this study, we compared the responses of Antarctic endolithic communities, with special focus on fungi, both under dry conditions (i.e., when dormant), and after reanimation by wetting, light, and optimal temperature (15 degrees C). We found that several metabolites were differently expressed in reanimated opposite sun exposed communities, suggesting a critical role in their success. In particular, the saccharopine pathway was up-regulated in the north surface, while the spermine/spermidine pathway was significantly down-regulated in the shaded exposed communities. The carnitine-dependent pathway is up-regulated in south-exposed reanimated samples, indicating the preferential involvement of the B-oxidation for the functioning of TCA cycle. The role of these metabolites in the performance of the communities is discussed herein.</t>
  </si>
  <si>
    <t>[Fanelli, Giuseppina; Coleine, Claudia; Gevi, Federica; Onofri, Silvano; Selbmann, Laura; Timperio, Anna Maria] Univ Tuscia, Dept Ecol &amp; Biol Sci, I-01100 Viterbo, Italy; [Selbmann, Laura] Italian Natl Antarctic Museum MNA, Mycol Sect, I-16166 Genoa, Italy</t>
  </si>
  <si>
    <t>Tuscia University</t>
  </si>
  <si>
    <t>Selbmann, L; Timperio, AM (corresponding author), Univ Tuscia, Dept Ecol &amp; Biol Sci, I-01100 Viterbo, Italy.;Selbmann, L (corresponding author), Italian Natl Antarctic Museum MNA, Mycol Sect, I-16166 Genoa, Italy.</t>
  </si>
  <si>
    <t>giuseppina.fanelli@unitus.it; coleine@unitus.it; giuseppina.fanelli@unitus.it; onofri@unitus.it; selbmann@unitus.it; timperio@unitus.it</t>
  </si>
  <si>
    <t>Selbmann, Laura/L-3056-2013; FANELLI, Giuseppina/AAB-2508-2022; Gevi, Federica/AAB-2524-2022; Coleine, Claudia/AAE-1889-2020</t>
  </si>
  <si>
    <t>Selbmann, Laura/0000-0002-8967-3329; FANELLI, Giuseppina/0000-0002-8423-065X; Gevi, Federica/0000-0001-6208-8130; Coleine, Claudia/0000-0002-9289-6179; ONOFRI, Silvano/0000-0001-8872-1440; Timperio, Anna Maria/0000-0001-8457-042X</t>
  </si>
  <si>
    <t>Italian National Program for Antarctic Researches; Italian Antarctic National Museum (MNA)</t>
  </si>
  <si>
    <t>C.C. and L.S. wish to thank the Italian National Program for Antarctic Researches for funding sampling campaigns and research activities in Italy in the frame of PNRA projects. The Italian Antarctic National Museum (MNA) is kindly acknowledged for financial support to the Mycological Section of the MNA and for providing rock samples used in this study and stored in the Culture Collection of Fungi from Extreme Environments (CCFEE), recently renamed FCC-MNA, University of Tuscia, Viterbo, Italy. F.G. wishes to thank Prin 2017 for her RTD-a maintenance.</t>
  </si>
  <si>
    <t>2075-1729</t>
  </si>
  <si>
    <t>Life-Basel</t>
  </si>
  <si>
    <t>10.3390/life11020096</t>
  </si>
  <si>
    <t>Biology; Microbiology</t>
  </si>
  <si>
    <t>Life Sciences &amp; Biomedicine - Other Topics; Microbiology</t>
  </si>
  <si>
    <t>QN8NA</t>
  </si>
  <si>
    <t>WOS:000622707700001</t>
  </si>
  <si>
    <t>Evans, C; Brandsma, J; Meredith, MP; Thomas, DN; Venables, HJ; Pond, DW; Brussaard, CPD</t>
  </si>
  <si>
    <t>Evans, Claire; Brandsma, Joost; Meredith, Michael P.; Thomas, David N.; Venables, Hugh J.; Pond, David W.; Brussaard, Corina P. D.</t>
  </si>
  <si>
    <t>Shift from Carbon Flow through the Microbial Loop to the Viral Shunt in Coastal Antarctic Waters during Austral Summer</t>
  </si>
  <si>
    <t>prokaryotes; Antarctica; viruses; heterotrophic nanoflagellates; microbial loop; viral shunt; carbon; bacteriovory; viral lysis</t>
  </si>
  <si>
    <t>The relative flow of carbon through the viral shunt and the microbial loop is a pivotal factor controlling the contribution of secondary production to the food web and to rates of nutrient remineralization and respiration. The current study examines the significance of these processes in the coastal waters of the Antarctic during the productive austral summer months. Throughout the study a general trend towards lower bacterioplankton and heterotrophic nanoflagellate (HNF) abundances was observed, whereas virioplankton concentration increased. A corresponding decline of HNF grazing rates and shift towards viral production, indicative of viral infection, was measured. Carbon flow mediated by HNF grazing decreased by more than half from 5.7 mu g C L-1 day(-1) on average in December and January to 2.4 mu g C L-1 day(-1) in February. Conversely, carbon flow through the viral shunt increased substantially over the study from on average 0.9 mu g C L-1 day(-1) in December to 7.6 mu g C L-1 day(-1) in February. This study shows that functioning of the coastal Antarctic microbial community varied considerably over the productive summer months. In early summer, the system favors transfer of matter and energy to higher trophic levels via the microbial loop, however towards the end of summer carbon flow is redirected towards the viral shunt, causing a switch towards more recycling and therefore increased respiration and regeneration.</t>
  </si>
  <si>
    <t>[Evans, Claire; Brandsma, Joost; Brussaard, Corina P. D.] Royal Netherlands Inst Sea Res, POB 59, NL-1790 AB Den Burg, Texel, Netherlands; [Evans, Claire] Natl Oceanog Ctr, Ocean BioGeosci, European Way, Southampton SO14 3ZH, Hants, England; [Brandsma, Joost] Henry M Jackson Fdn Adv Mil Med, Austere Environments Consortium Enhanced Sepsis O, Bethesda, MD 20814 USA; [Meredith, Michael P.; Venables, Hugh J.; Pond, David W.] NERC, British Antarct Survey, High Cross,Madingley Rd, Cambridge CB3 0ET, England; [Thomas, David N.] Univ Helsinki, Fac Biol &amp; Environm Sci, Ecosyst &amp; Environm, Helsinki 00014, Finland; [Pond, David W.] Univ Stirling, Fac Nat Sci, Stirling FK9 4LA, Scotland</t>
  </si>
  <si>
    <t>Utrecht University; Royal Netherlands Institute for Sea Research (NIOZ); University of Southampton; NERC National Oceanography Centre; Henry M. Jackson Foundation for the Advancement of Military Medicine, Inc; UK Research &amp; Innovation (UKRI); Natural Environment Research Council (NERC); NERC British Antarctic Survey; University of Helsinki; University of Stirling</t>
  </si>
  <si>
    <t>Evans, C (corresponding author), Royal Netherlands Inst Sea Res, POB 59, NL-1790 AB Den Burg, Texel, Netherlands.;Evans, C (corresponding author), Natl Oceanog Ctr, Ocean BioGeosci, European Way, Southampton SO14 3ZH, Hants, England.</t>
  </si>
  <si>
    <t>claire.evans@noc.ac.uk; JBrandsma@aceso-sepsis.org; mmm@bas.ac.uk; david.thomas@helsinki.fi; hjv@bas.ac.uk; david.pond@stir.ac.uk; Corina.Brussaard@nioz.nl</t>
  </si>
  <si>
    <t>Thomas, David Neville/B-1448-2010</t>
  </si>
  <si>
    <t>Thomas, David Neville/0000-0001-8832-5907; Brussaard, Corina/0000-0002-6320-9229; Meredith, Michael/0000-0002-7342-7756</t>
  </si>
  <si>
    <t>Netherlands Organization for Scientific Research [851.20.047]; Natural Environmental Research Council (NERC) 'Omics' Independent Research Fellowship [NE/M018806/1]; NERC under the BAS National Capability Science (Single) award; NERC [noc010009, NE/M018806/2, bas0100033] Funding Source: UKRI</t>
  </si>
  <si>
    <t>Netherlands Organization for Scientific Research(Netherlands Organization for Scientific Research (NWO)); Natural Environmental Research Council (NERC) 'Omics' Independent Research Fellowship; NERC under the BAS National Capability Science (Single) award; NERC(UK Research &amp; Innovation (UKRI)Natural Environment Research Council (NERC))</t>
  </si>
  <si>
    <t>This research was funded by the Netherlands Organization for Scientific Research, under the Netherlands Polar Programme grant number 851.20.047 (VIRANT-Viral impact on microbes in coastal waters of the Antarctic Peninsula and its ecological implications). C.E. was supported by Natural Environmental Research Council (NERC) 'Omics' Independent Research Fellowship NE/M018806/1. M.P.M and H.J.V. were supported by NERC under the BAS National Capability Science (Single) award.</t>
  </si>
  <si>
    <t>10.3390/microorganisms9020460</t>
  </si>
  <si>
    <t>QO0MP</t>
  </si>
  <si>
    <t>WOS:000622841800001</t>
  </si>
  <si>
    <t>Prete, G; Capparelli, V; Lepreti, F; Carbone, V</t>
  </si>
  <si>
    <t>Prete, Giuseppe; Capparelli, Vincenzo; Lepreti, Fabio; Carbone, Vincenzo</t>
  </si>
  <si>
    <t>Accelerated Climate Changes in Weddell Sea Region of Antarctica Detected by Extreme Values Theory</t>
  </si>
  <si>
    <t>climate changes; extreme values theory; Antarctic climate</t>
  </si>
  <si>
    <t>On 13 February 2020, The Guardian, followed by many other newspapers and websites, published the news that on 9 February 2020, Antarctic air temperatures rose to about 20.75 degrees C in a base logged at Seymour Island. This value has not yet been validated by the WMO (World Meteorological Organization), but it is not the first time that an extreme temperature was registered in these locations. The recorded temperatures have often been described as abnormal and anomalous, according to a statement made by scientists working at the Antarctic bases. Since polar regions have shown the most rapid rates of climate change in recent years, this abnormality is of primary interest in the context of vulnerability of the Antarctic to climate changes. Using data detected at different Antarctic bases, we investigate yearly maxima and minima of recorded temperatures, in order to establish whether they can be considered as usual extreme events or abnormal. We found evidence for disagreement with the extreme values theory, indicating accelerated climate changes in the Antarctic, that is, a local warming rate that is much faster than global averages.</t>
  </si>
  <si>
    <t>[Prete, Giuseppe; Capparelli, Vincenzo; Lepreti, Fabio; Carbone, Vincenzo] Univ Calabria, Dept Phys, Ponte P Bucci 31C, I-87036 Arcavacata Di Rende, CS, Italy; [Lepreti, Fabio; Carbone, Vincenzo] Natl Inst Astrophys INAF, Direz Sci, I-00100 Rome, RM, Italy</t>
  </si>
  <si>
    <t>University of Calabria; Istituto Nazionale Astrofisica (INAF)</t>
  </si>
  <si>
    <t>Prete, G (corresponding author), Univ Calabria, Dept Phys, Ponte P Bucci 31C, I-87036 Arcavacata Di Rende, CS, Italy.</t>
  </si>
  <si>
    <t>giuseppe.prete@unical.it; vincenzo.capparelli@unical.it; fabio.lepreti@unical.it; vincenzo.carbone@fis.unical.it</t>
  </si>
  <si>
    <t>Lepreti, Fabio/C-4934-2016; Carbone, Vincenzo/AAD-8557-2020</t>
  </si>
  <si>
    <t>Lepreti, Fabio/0000-0001-5196-2013; Carbone, Vincenzo/0000-0002-3182-6679; Prete, Giuseppe/0000-0003-3739-3170</t>
  </si>
  <si>
    <t>PRIN MIUR [2017APKP7T]; PON MIUR OT4CLIMA [ARS01-00405]; POR Calabria FSE/FESR 2014-2020</t>
  </si>
  <si>
    <t>PRIN MIUR(Ministry of Education, Universities and Research (MIUR)Research Projects of National Relevance (PRIN)); PON MIUR OT4CLIMA(Ministry of Education, Universities and Research (MIUR)); POR Calabria FSE/FESR 2014-2020</t>
  </si>
  <si>
    <t>This research was funded by PRIN MIUR grant number 2017APKP7T and PON MIUR OT4CLIMA grant number ARS01-00405. The research by G.P. acknowledges POR Calabria FSE/FESR 2014-2020 for financial support.</t>
  </si>
  <si>
    <t>10.3390/atmos12020209</t>
  </si>
  <si>
    <t>QN0GN</t>
  </si>
  <si>
    <t>WOS:000622149700001</t>
  </si>
  <si>
    <t>Mousavi, SE; Purser, GJ; Patil, JG</t>
  </si>
  <si>
    <t>Mousavi, Seyed Ehsan; Purser, G. John; Patil, Jawahar G.</t>
  </si>
  <si>
    <t>Embryonic Onset of Sexually Dimorphic Heart Rates in the Viviparous Fish, Gambusia holbrooki</t>
  </si>
  <si>
    <t>BIOMEDICINES</t>
  </si>
  <si>
    <t>sexual dimorphism; somatic organ; heart rate; ventricle size; embryo; adult; viviparous; Gambusia holbrooki</t>
  </si>
  <si>
    <t>In fish, little is known about sex-specific differences in physiology and performance of the heart and whether these differences manifest during development. Here for the first time, the sex-specific heart rates during embryogenesis of Gambusia holbrooki, from the onset of the heart rates (HRs) to just prior to parturition, was investigated using light cardiogram. The genetic sex of the embryos was post-verified using a sex-specific genetic marker. Results reveal that heart rates and resting time significantly increase (p &lt; 0.05) with progressive embryonic development. Furthermore, both ventricular and atrial frequencies of female embryos were significantly higher (p &lt; 0.05) than those of their male sibs at the corresponding developmental stages and remained so at all later developmental stages (p &lt; 0.05). In concurrence, the heart rate and ventricular size of the adult females were also significantly (p &lt; 0.05) higher and larger respectively than those of males. Collectively, the results suggest that the cardiac sex-dimorphism manifests as early as late-organogenesis and persists through adulthood in this species. These findings suggest that the cardiac measurements can be employed to non-invasively sex the developing embryos, well in advance of when their phenotypic sex is discernible. In addition, G. holbrooki could serve as a better model to study comparative vertebrate cardiovascular development as well as to investigate anthropogenic and climatic impacts on heart physiology of this species, that may be sex influenced.</t>
  </si>
  <si>
    <t>[Mousavi, Seyed Ehsan; Purser, G. John; Patil, Jawahar G.] Univ Tasmania, Inst Marine &amp; Antarctic Studies, Fisheries &amp; Aquaculture Ctr, Taroona, Tas 7053, Australia; [Patil, Jawahar G.] Inland Fisheries Serv, New Norfolk, Tas 7140, Australia</t>
  </si>
  <si>
    <t>Mousavi, SE; Patil, JG (corresponding author), Univ Tasmania, Inst Marine &amp; Antarctic Studies, Fisheries &amp; Aquaculture Ctr, Taroona, Tas 7053, Australia.;Patil, JG (corresponding author), Inland Fisheries Serv, New Norfolk, Tas 7140, Australia.</t>
  </si>
  <si>
    <t>ehsan.mousavi@utas.edu.au; john.purser@utas.edu.au; jawahar.patil@utas.edu.au</t>
  </si>
  <si>
    <t>Mousavi, Seyed Ehsan/AAG-3771-2021</t>
  </si>
  <si>
    <t>Mousavi, Seyed Ehsan/0000-0002-7099-6355</t>
  </si>
  <si>
    <t>Australian Research Council [ARC LP140100428]; Inland Fisheries Service, Tasmania, Australia</t>
  </si>
  <si>
    <t>Australian Research Council(Australian Research Council); Inland Fisheries Service, Tasmania, Australia</t>
  </si>
  <si>
    <t>This research was funded by the Australian Research Council (ARC LP140100428) and Inland Fisheries Service, Tasmania, Australia.</t>
  </si>
  <si>
    <t>2227-9059</t>
  </si>
  <si>
    <t>Biomedicines</t>
  </si>
  <si>
    <t>10.3390/biomedicines9020165</t>
  </si>
  <si>
    <t>Biochemistry &amp; Molecular Biology; Medicine, Research &amp; Experimental; Pharmacology &amp; Pharmacy</t>
  </si>
  <si>
    <t>Biochemistry &amp; Molecular Biology; Research &amp; Experimental Medicine; Pharmacology &amp; Pharmacy</t>
  </si>
  <si>
    <t>QM9VG</t>
  </si>
  <si>
    <t>WOS:000622120300001</t>
  </si>
  <si>
    <t>Carravieri, A; Warner, NA; Herzke, D; Brault-Favrou, M; Tarroux, A; Fort, J; Bustamante, P; Descamps, S</t>
  </si>
  <si>
    <t>Carravieri, Alice; Warner, Nicholas A.; Herzke, Dorte; Brault-Favrou, Maud; Tarroux, Arnaud; Fort, Jerome; Bustamante, Paco; Descamps, Sebastien</t>
  </si>
  <si>
    <t>Trophic and fitness correlates of mercury and organochlorine compound residues in egg-laying Antarctic petrels</t>
  </si>
  <si>
    <t>ENVIRONMENTAL RESEARCH</t>
  </si>
  <si>
    <t>Antarctica; Bioaccumulation; Blood; Body condition; Feather; Pollutants; Seabird; Stable isotopes</t>
  </si>
  <si>
    <t>PERSISTENT ORGANIC POLLUTANTS; REPRODUCTIVE-PERFORMANCE; THALASSOICA-ANTARCTICA; MATERNAL TRANSFER; STABLE-ISOTOPES; ARCTIC SEABIRD; EXPOSURE; METHYLMERCURY; CONTAMINATION; BLOOD</t>
  </si>
  <si>
    <t>Understanding the drivers and effects of exposure to contaminants such as mercury (Hg) and organochlorine compounds (OCs) in Antarctic wildlife is still limited. Yet, Hg and OCs have known physiological and fitness effects in animals, with consequences on their populations. Here we measured total Hg (a proxy of methyl-Hg) in blood cells and feathers, and 12 OCs (seven polychlorinated biphenyls, PCBs, and five organochlorine pesticides, OCPs) in plasma of 30 breeding female Antarctic petrels Thalassoica antarctica from one of the largest colonies in Antarctica (Svarthamaren, Dronning Maud Land). This colony is declining and there is poor documentation on the potential role played by contaminants on individual physiology and fitness. Carbon (delta C-13) and nitrogen (delta N-15) stable isotope values measured in the females' blood cells and feathers served as proxies of their feeding ecology during the pre-laying (austral spring) and moulting (winter) periods, respectively. We document feather Hg concentrations (mean +/- SD, 2.41 +/- 0.83 mu g g(-1) dry weight, dw) for the first time in this species. Blood cell Hg concentrations (1.38 +/- 0.43 mu g g(-1) dw) were almost twice as high as those reported in a recent study, and increased with pre-laying trophic position (blood cell delta N-15). Moulting trophic ecology did not predict blood Hg concentrations. PCB concentrations were very low (Sigma(7)PCBs, 0.35 +/- 0.31 ng g(-1) wet weight, ww). Among OCPs, HCB (1.02 +/- 0.36 ng g(-1) ww) and p, p'-DDE (1.02 +/- 1.49 ng g(-1) ww) residues were comparable to those of ecologically-similar polar seabirds, while Mirex residues (0.72 +/- 0.35 ng g(-1) ww) were higher. PCB and OCP concentrations showed no clear relationship with pre-laying or moulting feeding ecology, indicating that other factors overcome dietary drivers. OC residues were inversely related to body condition, suggesting stronger release of OCs into the circulation of egg-laying females upon depletion of their lipid reserves. Egg volume, hatching success, chick body condition and survival were not related to maternal Hg or OC concentrations. Legacy contaminant exposure does not seem to represent a threat for the breeding fraction of this population over the short term. Yet, exposure to contaminants, especially Mirex, and other concurring environmental stressors should be monitored over the long-term in this declining population.</t>
  </si>
  <si>
    <t>[Carravieri, Alice; Brault-Favrou, Maud; Fort, Jerome; Bustamante, Paco] La Rochelle Univ, CNRS, UMR 7266, Littoral Environm &amp; Soc LIENS5, 2 Rue Olympe Gouges, F-17000 La Rochelle, France; [Warner, Nicholas A.; Herzke, Dorte] NILU Norwegian Inst Air Res, Fram Ctr, NO-9296 Tromso, Norway; [Warner, Nicholas A.; Herzke, Dorte] UiT Arctic Univ Norway, Dept Arctic &amp; Marine Biol, Hansine Hansens Veg 18, N-9037 Tromso, Norway; [Tarroux, Arnaud] NINA Norwegian Inst Nat Res, Fram Ctr, NO-9296 Tromso, Norway; [Bustamante, Paco] Inst Univ France IUF, 1 Rue Descartes, F-75005 Paris, France; [Descamps, Sebastien] Norwegian Polar Res Inst, Fram Ctr, NO-9296 Tromso, Norway</t>
  </si>
  <si>
    <t>Centre National de la Recherche Scientifique (CNRS); CNRS - Institute of Ecology &amp; Environment (INEE); NILU; UiT The Arctic University of Tromso; Norwegian Institute Nature Research; Institut Universitaire de France; Norwegian Polar Institute</t>
  </si>
  <si>
    <t>Carravieri, A (corresponding author), La Rochelle Univ, CNRS, UMR 7266, Littoral Environm &amp; Soc LIENS5, 2 Rue Olympe Gouges, F-17000 La Rochelle, France.</t>
  </si>
  <si>
    <t>alice.carravieri@gmail.com</t>
  </si>
  <si>
    <t>Bustamante, Paco/G-5833-2011</t>
  </si>
  <si>
    <t>Bustamante, Paco/0000-0003-3877-9390; Herzke, Dorte/0000-0001-9620-3053</t>
  </si>
  <si>
    <t>Norwegian Research Council (Norwegian Antarctic Research Expedition program); Norwegian Institute for Nature Research; CPER (Contrat de Projet Etat-Region); FEDER (Fonds Europeen de Developpement Regional); IUF (Institut Universitaire de France)</t>
  </si>
  <si>
    <t>Norwegian Research Council (Norwegian Antarctic Research Expedition program); Norwegian Institute for Nature Research(Bioforsk); CPER (Contrat de Projet Etat-Region); FEDER (Fonds Europeen de Developpement Regional)(European Union (EU)); IUF (Institut Universitaire de France)</t>
  </si>
  <si>
    <t>Fieldwork was part of a project funded by the Norwegian Research Council (Norwegian Antarctic Research Expedition program). We are grateful to the logistic department of the Norwegian Polar Institute for support in the field. We also thank Dr. S. Patrick for invaluable help in the field. AT was supported by the Norwegian Institute for Nature Research. The authors are grateful to C. Churlaud from the Plateforme Analyses Elementaires of LIENSs for her support during Hg analysis and to G. Guillou from the Plateforme Analyses Isotopiques of LIENSs for running the stable isotope analysis. Thanks to the CPER (Contrat de Projet Etat-Region) and the FEDER (Fonds Europeen de Developpement Regional) for funding the AMA and the IRMS of LIENSs laboratory. The IUF (Institut Universitaire de France) is acknowledged for its support to PB as a Senior Member.</t>
  </si>
  <si>
    <t>0013-9351</t>
  </si>
  <si>
    <t>1096-0953</t>
  </si>
  <si>
    <t>ENVIRON RES</t>
  </si>
  <si>
    <t>Environ. Res.</t>
  </si>
  <si>
    <t>10.1016/j.envres.2020.110518</t>
  </si>
  <si>
    <t>QB1XZ</t>
  </si>
  <si>
    <t>WOS:000613937500008</t>
  </si>
  <si>
    <t>Heinemann, G; Willmes, S; Schefczyk, L; Makshtas, A; Kustov, V; Makhotina, I</t>
  </si>
  <si>
    <t>Heinemann, Gunther; Willmes, Sascha; Schefczyk, Lukas; Makshtas, Alexander; Kustov, Vasilii; Makhotina, Irina</t>
  </si>
  <si>
    <t>Observations and Simulations of Meteorological Conditions over Arctic Thick Sea Ice in Late Winter during the Transarktika 2019 Expedition</t>
  </si>
  <si>
    <t>Arctic; sea ice; regional climate model; verification; MODIS ice surface temperatures</t>
  </si>
  <si>
    <t>REGIONAL CLIMATE MODEL; LAPTEV SEA; RESOLUTION; RETRIEVAL; POLYNYAS; FLUXES; PERIOD; WINDS</t>
  </si>
  <si>
    <t>The parameterization of ocean/sea-ice/atmosphere interaction processes is a challenge for regional climate models (RCMs) of the Arctic, particularly for wintertime conditions, when small fractions of thin ice or open water cause strong modifications of the boundary layer. Thus, the treatment of sea ice and sub-grid flux parameterizations in RCMs is of crucial importance. However, verification data sets over sea ice for wintertime conditions are rare. In the present paper, data of the ship-based experiment Transarktika 2019 during the end of the Arctic winter for thick one-year ice conditions are presented. The data are used for the verification of the regional climate model COSMO-CLM (CCLM). In addition, Moderate Resolution Imaging Spectroradiometer (MODIS) data are used for the comparison of ice surface temperature (IST) simulations of the CCLM sea ice model. CCLM is used in a forecast mode (nested in ERA5) for the Norwegian and Barents Seas with 5 km resolution and is run with different configurations of the sea ice model and sub-grid flux parameterizations. The use of a new set of parameterizations yields improved results for the comparisons with in-situ data. Comparisons with MODIS IST allow for a verification over large areas and show also a good performance of CCLM. The comparison with twice-daily radiosonde ascents during Transarktika 2019, hourly microwave water vapor measurements of first 5 km in the atmosphere and hourly temperature profiler data show a very good representation of the temperature, humidity and wind structure of the whole troposphere for CCLM.</t>
  </si>
  <si>
    <t>[Heinemann, Gunther; Willmes, Sascha; Schefczyk, Lukas] Univ Trier, Dept Environm Meteorol, D-54286 Trier, Germany; [Makshtas, Alexander; Kustov, Vasilii; Makhotina, Irina] Arctic &amp; Antarctic Res Inst AARI, Air Sea Interact Dept, St Petersburg 199397, Russia</t>
  </si>
  <si>
    <t>heinemann@uni-trier.de; willmes@uni-trier.de; schefczyk@uni-trier.de; maksh@aari.ru; kustov@aari.ru; i-makhotina@mail.ru</t>
  </si>
  <si>
    <t>Willmes, Sascha/J-5796-2012; Makhotina, Irina/AAB-4279-2019; Makshtas, Alexander P./K-7538-2016</t>
  </si>
  <si>
    <t>Makhotina, Irina/0000-0001-7208-685X; Heinemann, Gunther/0000-0002-4831-9016</t>
  </si>
  <si>
    <t>Federal Ministry of Education and Research (BMBF) [03F0831C]; Russian Ministry of Education and Science [RFMEFI61619 X 0108]; Open Access Fund of the University of Trier; German Research Foundation (DFG) within the Open Access Publishing funding program</t>
  </si>
  <si>
    <t>This research was funded by the Federal Ministry of Education and Research (BMBF) under grant 03F0831C in the frame of German-Russian cooperation WTZ RUS: Changing Arctic Transpolar System (CATS) and the Russian Ministry of Education and Science (project RFMEFI61619 X 0108). The publication was funded by the Open Access Fund of the University of Trier and the German Research Foundation (DFG) within the Open Access Publishing funding program.</t>
  </si>
  <si>
    <t>10.3390/atmos12020174</t>
  </si>
  <si>
    <t>QN0OR</t>
  </si>
  <si>
    <t>WOS:000622170900001</t>
  </si>
  <si>
    <t>Zhu, JP; Xie, AH; Qin, X; Wang, YT; Xu, B; Wang, YC</t>
  </si>
  <si>
    <t>Zhu, Jiangping; Xie, Aihong; Qin, Xiang; Wang, Yetang; Xu, Bing; Wang, Yicheng</t>
  </si>
  <si>
    <t>An Assessment of ERA5 Reanalysis for Antarctic Near-Surface Air Temperature</t>
  </si>
  <si>
    <t>ERA5; ERA-Interim; Antarctica; air temperature; in situ observations</t>
  </si>
  <si>
    <t>CLIMATE-CHANGE; INTERIM; PENINSULA; ERA-40; MELT</t>
  </si>
  <si>
    <t>The European Center for Medium-Range Weather Forecasts (ECMWF) released its latest reanalysis dataset named ERA5 in 2017. To assess the performance of ERA5 in Antarctica, we compare the near-surface temperature data from ERA5 and ERA-Interim with the measured data from 41 weather stations. ERA5 has a strong linear relationship with monthly observations, and the statistical significant correlation coefficients (p &lt; 0.05) are higher than 0.95 at all stations selected. The performance of ERA5 shows regional differences, and the correlations are high in West Antarctica and low in East Antarctica. Compared with ERA5, ERA-Interim has a slightly higher linear relationship with observations in the Antarctic Peninsula. ERA5 agrees well with the temperature observations in austral spring, with significant correlation coefficients higher than 0.90 and bias lower than 0.70 degrees C. The temperature trend from ERA5 is consistent with that from observations, in which a cooling trend dominates East Antarctica and West Antarctica, while a warming trend exists in the Antarctic Peninsula except during austral summer. Generally, ERA5 can effectively represent the temperature changes in Antarctica and its three subregions. Although ERA5 has bias, ERA5 can play an important role as a powerful tool to explore the climate change in Antarctica with sparse in situ observations.</t>
  </si>
  <si>
    <t>[Zhu, Jiangping; Xie, Aihong; Qin, Xiang; Xu, Bing] Chinese Acad Sci, Northwest Inst Ecoenvironm &amp; Resources, State Key Lab Cryospher Sci, Lanzhou 730000, Peoples R China; [Zhu, Jiangping; Xu, Bing] Univ Chinese Acad Sci, Beijing 100049, Peoples R China; [Wang, Yetang] Shandong Normal Univ, Coll Geog &amp; Environm, Jinan 250014, Peoples R China; [Wang, Yicheng] Lanzhou Cent Meteorol Observ, Lanzhou 730000, Peoples R China</t>
  </si>
  <si>
    <t>Chinese Academy of Sciences; Chinese Academy of Sciences; University of Chinese Academy of Sciences, CAS; Shandong Normal University</t>
  </si>
  <si>
    <t>Xie, AH; Qin, X (corresponding author), Chinese Acad Sci, Northwest Inst Ecoenvironm &amp; Resources, State Key Lab Cryospher Sci, Lanzhou 730000, Peoples R China.</t>
  </si>
  <si>
    <t>zhujiangping@nieer.ac.cn; xieaihong@nieer.ac.cn; qinxiang@lzb.ac.cn; yetangwang@sdnu.edu.cn; xubing19@mails.ucas.ac.cn; wangyicheng_climate@outlook.com</t>
  </si>
  <si>
    <t>Xu, Bing/C-7732-2015</t>
  </si>
  <si>
    <t>zhu, jiangping/0000-0003-0660-2443; Wang, Yetang/0000-0003-2499-1147</t>
  </si>
  <si>
    <t>National Natural Science Foundation of China [41671073, 41476164]</t>
  </si>
  <si>
    <t>This research was funded by National Natural Science Foundation of China, grant number 41671073 and 41476164.</t>
  </si>
  <si>
    <t>10.3390/atmos12020217</t>
  </si>
  <si>
    <t>QN0EZ</t>
  </si>
  <si>
    <t>WOS:000622145700001</t>
  </si>
  <si>
    <t>Rogers, WE; Meylan, MH; Kohout, AL</t>
  </si>
  <si>
    <t>Rogers, W. Erick; Meylan, Michael H.; Kohout, Alison L.</t>
  </si>
  <si>
    <t>Estimates of spectral wave attenuation in Antarctic sea ice, using model/data inversion</t>
  </si>
  <si>
    <t>Ocean waves; Sea ice; Spectral wave model; Wave-ice interaction; WAVEWATCH III; Dissipation by sea ice</t>
  </si>
  <si>
    <t>OCEAN WAVES; WIND-WAVES; PROPAGATION; DISSIPATION; PANCAKE; FLOES; THICKNESS; ENERGY; DISPERSION; BREAKUP</t>
  </si>
  <si>
    <t>A model-data inversion is applied to an extensive observational dataset collected in the Southern Ocean north of the Ross Sea during late autumn to early winter, producing estimates of the frequency-dependent rate of dissipation by sea ice. The modeling platform is WAVEWATCH III (R) which accounts for non-stationarity, advection, wave generation, and other relevant processes. The resulting 9477 dissipation profiles are co-located with other variables such as ice thickness to quantify correlations which might be exploited in later studies to improve predictions. An average of dissipation profiles from cases of thinner ice near the ice edge is fitted to a simple binomial. The binomial shows remarkable qualitative similarity to prior observation-based estimates of dissipation, and the power dependence is consistent with at least three theoretical models, one of which assumes that dissipation is dominated by turbulence generated by shear at the ice-water interface. Estimated dissipation is lower closer to the ice edge, where ice is thinner, and waveheight is larger. The quantified correlation with ice thickness may be exploited to develop new parametric predictions of dissipation.</t>
  </si>
  <si>
    <t>[Rogers, W. Erick] Naval Res Lab, Stennis Space Ctr, MS 39529 USA; [Meylan, Michael H.] Univ Newcastle, Callaghan, NSW, Australia; [Kohout, Alison L.] Natl Inst Water &amp; Atmospher Res NIWA, Christchurch, New Zealand</t>
  </si>
  <si>
    <t>United States Department of Defense; United States Navy; Naval Research Laboratory; University of Newcastle; National Institute of Water &amp; Atmospheric Research (NIWA) - New Zealand</t>
  </si>
  <si>
    <t>Rogers, WE (corresponding author), Naval Res Lab, Stennis Space Ctr, MS 39529 USA.</t>
  </si>
  <si>
    <t>erick.rogers@nrlssc.navy.mil</t>
  </si>
  <si>
    <t>Meylan, Michael/A-7341-2010; Rogers, William/GWC-2040-2022</t>
  </si>
  <si>
    <t>Meylan, Michael/0000-0002-3164-1367; Rogers, William/0000-0001-8235-2218</t>
  </si>
  <si>
    <t>Office of Naval Research via the NRL Core Program, Program Element [61153N]; Australian Research Council [DP200102828]; New Zealand's Deep South National Science Challenge Targeted Observation and Process-Informed Modelling of Antarctic Sea Ice; NIWA core funding under the National Climate Centre Climate Systems programme; Australian Research Council [DP200102828] Funding Source: Australian Research Council</t>
  </si>
  <si>
    <t>Office of Naval Research via the NRL Core Program, Program Element(Office of Naval Research); Australian Research Council(Australian Research Council); New Zealand's Deep South National Science Challenge Targeted Observation and Process-Informed Modelling of Antarctic Sea Ice; NIWA core funding under the National Climate Centre Climate Systems programme; Australian Research Council(Australian Research Council)</t>
  </si>
  <si>
    <t>Author ER was funded by the Office of Naval Research via the NRL Core Program, Program Element Number 61153N. The 6.2 project was titled Wave-ice interactions. Author MM was funded by the Australian Research Council, grant DP200102828. Author AK was funded by New Zealand's Deep South National Science Challenge Targeted Observation and Process-Informed Modelling of Antarctic Sea Ice and NIWA core funding under the National Climate Centre Climate Systems programme.</t>
  </si>
  <si>
    <t>10.1016/j.coldregions.2020.103198</t>
  </si>
  <si>
    <t>PZ2AZ</t>
  </si>
  <si>
    <t>WOS:000612543800007</t>
  </si>
  <si>
    <t>Vicente-Oliva, S; Martínez-Sánchez, A</t>
  </si>
  <si>
    <t>Vicente-Oliva, Silvia; Martinez-Sanchez, Angel</t>
  </si>
  <si>
    <t>Remote, informal, and ephemeral communities for testing technologies</t>
  </si>
  <si>
    <t>FUTURES</t>
  </si>
  <si>
    <t>Additive manufacturing; Community of practices; Efficiency energetic; Testing technologies; Future narratives</t>
  </si>
  <si>
    <t>FUTURE; KNOWLEDGE; INNOVATION; FORESIGHT; ENTREPRENEURSHIP; ANTHROPOCENE; PERSPECTIVE; AGE</t>
  </si>
  <si>
    <t>Nowadays our world is more connected than ever, and as a consequence, truly isolated places on planet Earth are very rare. This is perhaps because humankind has always travelled beyond frontiers to explore faraway places, and also because technology enables the application of science and skills, and the extraction or collection of resources from new regions. Some technologies can change the current view and future expectations of our societies, and the way that people interact within their immediate environment. Remote communities offer the opportunity to research the next step in the evolution of technologies. Through the study of narratives, this paper investigates the remote, informal, and ephemeral communities of practices (RIE-CoP) that undertake the brief use of some technologies. The use of additive manufacturing technologies for improvised repairs, rapid tooling, the study of potential efficiency energetic measures, and previous tests in the Spanish Antarctic Base provide short-term benefits such as reducing emissions and logistics costs, and making life more sustainable on the frozen continent. Furthermore, these technology tests offer action-based research about the management and future of RIE-CoP under extreme conditions across four Antarctic missions (from December 2015 to March 2019). The experiences provide narrative foresight for the future RIE-CoP, and the results are valuable in sectors such as military and humanitarian assistance, construction, and space missions.</t>
  </si>
  <si>
    <t>[Vicente-Oliva, Silvia] Acad Gen Mil, Ctr Univ Def, Ctra Huesca Sn, Zaragoza 50090, Spain; [Martinez-Sanchez, Angel] Univ Zaragoza, Dept Direcc &amp; Org Empresas, Escuela Ingn &amp; Arquitectura, Campus Rio Ebro,C Mariade Lunan 3, Zaragoza 50018, Spain</t>
  </si>
  <si>
    <t>University of Zaragoza</t>
  </si>
  <si>
    <t>Vicente-Oliva, S (corresponding author), Acad Gen Mil, Ctr Univ Def, Ctra Huesca Sn, Zaragoza 50090, Spain.</t>
  </si>
  <si>
    <t>silviav@unizar.es; anmarzan@unizar.es</t>
  </si>
  <si>
    <t>Sánchez, Ángel Martínez/AAF-7867-2021; Vicente-Oliva, Silvia/K-9803-2018</t>
  </si>
  <si>
    <t>Sánchez, Ángel Martínez/0000-0001-6602-8901; Vicente-Oliva, Silvia/0000-0002-9958-9972</t>
  </si>
  <si>
    <t>Centro Universitario de la Defensa Academia General Militar [CUD 2019-01]; Government of Aragon [S42_17R]</t>
  </si>
  <si>
    <t>Centro Universitario de la Defensa Academia General Militar; Government of Aragon(Gobierno de Aragon)</t>
  </si>
  <si>
    <t>These experiences was possible thanks to inspiring technical work and dedication of Marcos Pueo, Roberto Jimenez, Carlos Cajal, Miguel Angel Garcia, Joaquin Mur, and Beatriz Rodriguez Soria, members to the Antarctic Campaigns (XXX-XXXIV), the financial support of Centro Universitario de la Defensa Academia General Militar (CUD 2019-01), and the Government of Aragon (Group Reference CREVALOR: S42_17R). Thank you very much for this enriching experience. The authors would like to thank two anonymous referees for their valuable comments and suggestions.</t>
  </si>
  <si>
    <t>0016-3287</t>
  </si>
  <si>
    <t>1873-6378</t>
  </si>
  <si>
    <t>Futures</t>
  </si>
  <si>
    <t>10.1016/j.futures.2020.102675</t>
  </si>
  <si>
    <t>Economics; Regional &amp; Urban Planning</t>
  </si>
  <si>
    <t>Business &amp; Economics; Public Administration</t>
  </si>
  <si>
    <t>QA6PA</t>
  </si>
  <si>
    <t>WOS:000613564300009</t>
  </si>
  <si>
    <t>Emslie, SD</t>
  </si>
  <si>
    <t>Emslie, Steven D.</t>
  </si>
  <si>
    <t>Ancient Adelie penguin colony revealed by snowmelt at Cape Irizar, Ross Sea, Antarctica</t>
  </si>
  <si>
    <t>ISOTOPE ANALYSIS; CLIMATE-CHANGE; STABLE CARBON; BONE-COLLAGEN; ICE PATCHES; AGE; OCEAN</t>
  </si>
  <si>
    <t>The Ross Sea (Antarctica) is one of the most productive marine ecosystems in the Southern Ocean and supports nearly one million breeding pairs of Adelie penguins (Pygoscelis adeliae) annually. There also is a well-preserved record of abandoned penguin colonies that date from before the Last Glacial Maximum (&gt;45,000 C-14 yr B.P.) through the Holocene. Cape Irizar is a rocky cape located just south of the Drygalski Ice Tongue on the Scott Coast. In January 2016, several abandoned Adelie penguin sites and abundant surface remains of penguin bones, feathers, and carcasses that appeared to be fresh were being exposed by melting snow and were sampled for radiocarbon analysis. The results indicate the fresh remains are actually ancient and that three periods of occupation by Adelie penguins are represented beginning ca. 5000 calibrated calendar (cal.) yr B.P., with the last occupation ending by ca. 800 cal. yr B.P. The presence of fresh-appearing remains on the surface that are actually ancient in age suggests that only recently has snowmelt exposed previously frozen carcasses and other remains for the first time in similar to 800 yr, allowing them to decay and appear fresh. Recent warming trends and historical satellite imagery (Landsat) showing decreasing snow cover on the cape since 2013 support this hypothesis. Increased delta C-13 values of penguin bone collagen further indicate a period of enhanced marine productivity during the penguin optimum, a warm period at 4000-2000 cal. yr B.P., perhaps related to an expansion of the Terra Nova Bay polynya with calving events of the Drygalski Ice Tongue.</t>
  </si>
  <si>
    <t>[Emslie, Steven D.] Univ North Carolina Wilmington, Dept Biol &amp; Marine Biol, Wilmington, NC 28403 USA</t>
  </si>
  <si>
    <t>University of North Carolina; University of North Carolina Wilmington</t>
  </si>
  <si>
    <t>Emslie, SD (corresponding author), Univ North Carolina Wilmington, Dept Biol &amp; Marine Biol, Wilmington, NC 28403 USA.</t>
  </si>
  <si>
    <t>U.S. National Science Foundation [ANT-1443386]</t>
  </si>
  <si>
    <t>This work was funded by U.S. National Science Foundation grant ANT-1443386. I thank the Italian and U.S. Antarctic Programs and Lockheed-Martin for logistical support during this project. Field assistance was provided by A. McKenzie, X. Liu; and R. Murray. M. Reaves and K. Rosov helped with collagen extraction and stable isotope analysis. R. Pelletier produced the map in Figure 1. I thank D. Ainley, G. Ballard, and C. Baroni for comments on this manuscript.</t>
  </si>
  <si>
    <t>10.1130/G48230.1</t>
  </si>
  <si>
    <t>QA7TK</t>
  </si>
  <si>
    <t>WOS:000613644100007</t>
  </si>
  <si>
    <t>Kirscher, U; Mitchell, RN; Liu, YB; Nordsvan, AR; Cox, GM; Pisarevsky, SA; Wang, C; Wu, L; Murphy, JB; Li, ZX</t>
  </si>
  <si>
    <t>Kirscher, Uwe; Mitchell, Ross N.; Liu, Yebo; Nordsvan, Adam R.; Cox, Grant M.; Pisarevsky, Sergei A.; Wang, Chong; Wu, Lei; Murphy, J. Brendan; Li, Zheng-Xiang</t>
  </si>
  <si>
    <t>Paleomagnetic constraints on the duration of the Australia-Laurentia connection in the core of the Nuna supercontinent</t>
  </si>
  <si>
    <t>NORTH CHINA CRATON; MESOPROTEROZOIC SUPERCONTINENT; COLUMBIA SUPERCONTINENT; GA; RECONSTRUCTION; AMERICA; BREAKUP; LINK</t>
  </si>
  <si>
    <t>The Australia-Laurentia connection in the Paleoproterozoic to Mesoproterozoic supercontinent Nuna is thought to have initiated by ca. 1.6 Ga when both continents were locked in a proto-SWEAT (southwestern U.S.-East Antarctic) configuration. However, the longevity of that configuration is poorly constrained. Here, we present a new high-quality paleomagnetic pole from the ca. 1.3 Ga Derim Derim sills of northern Australia that suggests Australia and Laurentia were in the same configuration at that time. This new paleopole also supports a connection between Australia and North China and, in conjunction with previously reported data from all continents, indicates that the breakup of Nuna largely occurred between ca. 1.3 and 1.2 Ga.</t>
  </si>
  <si>
    <t>[Kirscher, Uwe; Mitchell, Ross N.; Liu, Yebo; Nordsvan, Adam R.; Cox, Grant M.; Pisarevsky, Sergei A.; Wang, Chong; Wu, Lei; Murphy, J. Brendan; Li, Zheng-Xiang] Curtin Univ, Earth Dynam Res Grp, Inst Geosci Res TIGeR, Sch Earth &amp; Planetary Sci, Bentley, WA 6102, Australia; [Kirscher, Uwe] Univ Tubingen, Dept Geosci, D-72076 Tubingen, Germany; [Mitchell, Ross N.; Wang, Chong] Chinese Acad Sci, Inst Geol &amp; Geophys, State Key Lab Lithospher Evolut, Beijing 100029, Peoples R China; [Nordsvan, Adam R.] Univ Hong Kong, Dept Earth Sci, Pokfulam, Hong Kong, Peoples R China; [Cox, Grant M.] Univ Adelaide, Dept Earth Sci, Tecton &amp; Earth Sci TES Grp, Adelaide, SA 5005, Australia; [Pisarevsky, Sergei A.] Russian Acad Sci, Siberian Branch, Inst Earths Crust, Irkutsk 664033, Russia; [Wang, Chong] Univ Helsinki, Dept Geosci &amp; Geog, Helsinki 00014, Finland; [Wu, Lei] Univ Alberta, Dept Phys, Edmonton, AB T6G 2R3, Canada; [Murphy, J. Brendan] Francis Xavier Univ, Dept Earth Sci, Antigonish, NS B2G 2W5, Canada</t>
  </si>
  <si>
    <t>Curtin University; Eberhard Karls University of Tubingen; Chinese Academy of Sciences; Institute of Geology &amp; Geophysics, CAS; University of Hong Kong; University of Adelaide; Russian Academy of Sciences; Irkutsk Science Centre of the Russian Academy of Sciences; Institute of Earth's Crust of Siberian Branch of the Russian Academy of Sciences; University of Helsinki; University of Alberta</t>
  </si>
  <si>
    <t>Kirscher, U; Mitchell, RN (corresponding author), Curtin Univ, Earth Dynam Res Grp, Inst Geosci Res TIGeR, Sch Earth &amp; Planetary Sci, Bentley, WA 6102, Australia.;Kirscher, U (corresponding author), Univ Tubingen, Dept Geosci, D-72076 Tubingen, Germany.;Mitchell, RN (corresponding author), Chinese Acad Sci, Inst Geol &amp; Geophys, State Key Lab Lithospher Evolut, Beijing 100029, Peoples R China.</t>
  </si>
  <si>
    <t>uwe.kirscher@uni-tuebingen.de; ross.mitchell@mail.iggacas.ac.cn</t>
  </si>
  <si>
    <t>Kirscher, Uwe/AAG-9960-2020; Li, Zheng-Xiang/B-8827-2008; Kirscher, Uwe/GYI-8992-2022</t>
  </si>
  <si>
    <t>Li, Zheng-Xiang/0000-0003-4350-5976; Kirscher, Uwe/0000-0003-4203-1430; Liu, Yebo/0000-0002-5752-0854; Pisarevskiy, Sergei/0000-0002-8033-5630</t>
  </si>
  <si>
    <t>Australian Research Council Laureate Fellowship [FL150100133]; Key Research Program of the Institute of Geology and Geophysics, Chinese Academy of Sciences [IGGCAS-201905]; National Natural Science Foundation of China [41890833, 41888101]; Ministry of Science and High Education of the Russian Federation [075-15-2019-1883]; Future Energy Systems (FES) funds at the University of Alberta, Canada; International Geoscience Programme [648]</t>
  </si>
  <si>
    <t>Australian Research Council Laureate Fellowship(Australian Research Council); Key Research Program of the Institute of Geology and Geophysics, Chinese Academy of Sciences; National Natural Science Foundation of China(National Natural Science Foundation of China (NSFC)); Ministry of Science and High Education of the Russian Federation; Future Energy Systems (FES) funds at the University of Alberta, Canada; International Geoscience Programme</t>
  </si>
  <si>
    <t>Funding was provided by an Australian Research Council Laureate Fellowship grant to Z.-X. Li, Curtin University (FL150100133); a Key Research Program of the Institute of Geology and Geophysics, Chinese Academy of Sciences, grant (IGGCAS-201905), and National Natural Science Foundation of China grants (41890833 and 41888101) to Mitchell; a Ministry of Science and High Education of the Russian Federation grant (075-15-2019-1883) to Pisarevsky; and Future Energy Systems (FES) funds at the University of Alberta, Canada, to L. Wu. Access to the cores was provided by the Northern Territory Geological Survey and the Darwin Core Library (Australia). This is a contribution to the International Geoscience Programme 648 and is contribution 1526 from the ARC Centre of Excellence for Core to Crust Fluid Systems (http://www.ccfs.mq.edu.au).We thank Dennis Brown for handling the manuscript and Alan Collins, Phil McCausland, and one anonymous reviewer for impartial and constructive reviews.</t>
  </si>
  <si>
    <t>10.1130/G47823.1</t>
  </si>
  <si>
    <t>WOS:000613644100012</t>
  </si>
  <si>
    <t>Jiang, Q; Jourdan, F; Olierook, HKH; Merle, RE; Whittaker, JM</t>
  </si>
  <si>
    <t>Jiang, Qiang; Jourdan, Fred; Olierook, Hugo K. H.; Merle, Renaud E.; Whittaker, Joanne M.</t>
  </si>
  <si>
    <t>Longest continuously erupting large igneous province driven by plume-ridge interaction</t>
  </si>
  <si>
    <t>CANYON SANIDINE STANDARD; K-40 DECAY CONSTANTS; KERGUELEN PLATEAU; JOINT DETERMINATION; IMPROVED ACCURACY; DECCAN VOLCANISM; FLOOD BASALTS; INDIAN-OCEAN; CONSTRAINTS; 40AR-ASTERISK/K-40</t>
  </si>
  <si>
    <t>Large igneous provinces (LIPs) typically form in one short pulse of similar to 1-5 Ma or several punctuated similar to 1-5 Ma pulses. Here, our 25 new 40Ar/39Ar plateau ages for the main construct of the Kerguelen LIP-the Cretaceous Southern and Central Kerguelen Plateau, Elan Bank, and Broken Ridge-show continuous volcanic activity from ca. 122 to 90 Ma, a long lifespan of &gt;32 Ma. This suggests that the Kerguelen LIP records the longest, continuous high-magma flux emplacement interval of any LIP. Distinct from both short-lived and multiple-pulsed LIPs, we propose that Kerguelen is a different type of LIP that formed through long-term interactions between a mantle plume and mid-ocean ridge, which is enabled by multiple ridge jumps, slow spreading, and migration of the ridge. Such processes allow the transport of magma products away from the eruption center and result in long-lived, continuous magmatic activity.</t>
  </si>
  <si>
    <t>[Jiang, Qiang; Jourdan, Fred; Olierook, Hugo K. H.] Curtin Univ, John de Laeter Ctr, Western Australian Argon Isotope Facil, Perth, WA 6845, Australia; [Jiang, Qiang; Jourdan, Fred; Olierook, Hugo K. H.] Curtin Univ, Sch Earth &amp; Planetary Sci, Perth, WA 6845, Australia; [Olierook, Hugo K. H.] Curtin Univ, Ctr Explorat Targeting Curtin Node, Sch Earth &amp; Planetary Sci, Timescales Mineral Syst, Perth, WA 6845, Australia; [Merle, Renaud E.] Swedish Museum Nat Hist, S-10405 Stockholm, Sweden; [Merle, Renaud E.] Uppsala Univ, Dept Earth Sci, S-75236 Uppsala, Sweden; [Whittaker, Joanne M.] Univ Tasmania, Inst Marine &amp; Antarctic Studies, Hobart, Tas 7001, Australia</t>
  </si>
  <si>
    <t>Curtin University; Curtin University; Curtin University; Swedish Museum of Natural History; Uppsala University; University of Tasmania</t>
  </si>
  <si>
    <t>Jiang, Q (corresponding author), Curtin Univ, John de Laeter Ctr, Western Australian Argon Isotope Facil, Perth, WA 6845, Australia.;Jiang, Q (corresponding author), Curtin Univ, Sch Earth &amp; Planetary Sci, Perth, WA 6845, Australia.</t>
  </si>
  <si>
    <t>Olierook, Hugo/AAQ-3657-2021; merle, renaud e./ABG-7421-2020; Jiang, Qiang/GNO-9906-2022; Jiang, Qiang/HMD-5605-2023; Whittaker, Joanne/B-3695-2010</t>
  </si>
  <si>
    <t>Olierook, Hugo/0000-0001-5961-4304; merle, renaud e./0000-0001-9018-6862; Jiang, Qiang/0000-0003-3381-9592; Whittaker, Joanne/0000-0002-3170-3935; Jourdan, Fred/0000-0001-5626-4521</t>
  </si>
  <si>
    <t>Australian Antarctic Division Science Project [4446]; China Scholarship Council-Curtin International Postgraduate Research (CSC-CIPRS) scholarship; Australian Research Council [DP180102280]</t>
  </si>
  <si>
    <t>Australian Antarctic Division Science Project; China Scholarship Council-Curtin International Postgraduate Research (CSC-CIPRS) scholarship; Australian Research Council(Australian Research Council)</t>
  </si>
  <si>
    <t>This research was funded by Australian Antarctic Division Science Project 4446. We thank the Kochi Core Center (Kochi University, Japan), the French National Museum of Natural History (Paris, France), the Polar Rock Repository (Byrd Polar and Climate Research Center, The Ohio State University, USA), and Lamont-Doherty Core Repository (Palisades, New York, USA) for the ease of acquiring samples, and M.F. Coffin for some beneficial discussions. A. Marzoli and two anonymous reviewers are thanked for their comments. Jiang acknowledges support of the China Scholarship Council-Curtin International Postgraduate Research (CSC-CIPRS) scholarship. Whittaker acknowledges Australian Research Council funding DP180102280.</t>
  </si>
  <si>
    <t>10.1130/G47850.1</t>
  </si>
  <si>
    <t>WOS:000613644100018</t>
  </si>
  <si>
    <t>Ansaloni, F; Gerdol, M; Torboli, V; Fornaini, NR; Greco, S; Giulianini, PG; Coscia, MR; Miccoli, A; Santovito, G; Buonocore, F; Scapigliati, G; Pallavicini, A</t>
  </si>
  <si>
    <t>Ansaloni, Federico; Gerdol, Marco; Torboli, Valentina; Fornaini, Nicola Reinaldo; Greco, Samuele; Giulianini, Piero Giulio; Coscia, Maria Rosaria; Miccoli, Andrea; Santovito, Gianfranco; Buonocore, Francesco; Scapigliati, Giuseppe; Pallavicini, Alberto</t>
  </si>
  <si>
    <t>Cold Adaptation in Antarctic Notothenioids: Comparative Transcriptomics Reveals Novel Insights in the Peculiar Role of Gills and Highlights Signatures of Cobalamin Deficiency</t>
  </si>
  <si>
    <t>Cryonotothenioidea; cold adaptation; transcobalamin; Antarctica; RNA-seq</t>
  </si>
  <si>
    <t>CARBONIC-ANHYDRASE; TREMATOMUS-BERNACCHII; CHIONODRACO-HAMATUS; FISH; PROTEIN; TEMPERATURE; EVOLUTION; EXPRESSION; GENE; HEMOGLOBIN</t>
  </si>
  <si>
    <t>Far from being devoid of life, Antarctic waters are home to Cryonotothenioidea, which represent one of the fascinating cases of evolutionary adaptation to extreme environmental conditions in vertebrates. Thanks to a series of unique morphological and physiological peculiarities, which include the paradigmatic case of loss of hemoglobin in the family Channichthyidae, these fish survive and thrive at sub-zero temperatures. While some of the distinctive features of such adaptations have been known for decades, our knowledge of their genetic and molecular bases is still limited. We generated a reference de novo assembly of the icefish Chionodraco hamatus transcriptome and used this resource for a large-scale comparative analysis among five red-blooded Cryonotothenioidea, the sub-Antarctic notothenioid Eleginops maclovinus and seven temperate teleost species. Our investigation targeted the gills, a tissue of primary importance for gaseous exchange, osmoregulation, ammonia excretion, and its role in fish immunity. One hundred and twenty genes were identified as significantly up-regulated in Antarctic species and surprisingly shared by red- and white-blooded notothenioids, unveiling several previously unreported molecular players that might have contributed to the evolutionary success of Cryonotothenioidea in Antarctica. In particular, we detected cobalamin deficiency signatures and discussed the possible biological implications of this condition concerning hematological alterations and the heavy parasitic loads typically observed in all Cryonotothenioidea.</t>
  </si>
  <si>
    <t>[Ansaloni, Federico; Gerdol, Marco; Torboli, Valentina; Fornaini, Nicola Reinaldo; Greco, Samuele; Giulianini, Piero Giulio; Pallavicini, Alberto] Univ Trieste, Dept Life Sci, I-34127 Trieste, Italy; [Ansaloni, Federico] Scuola Int Super Studi Avanzati, I-34136 Trieste, Italy; [Fornaini, Nicola Reinaldo] Charles Univ Prague, Dept Cell Biol, Prague 12800, Czech Republic; [Coscia, Maria Rosaria] Natl Res Council Italy, Inst Biochem &amp; Cell Biol, I-80131 Naples, Italy; [Miccoli, Andrea; Buonocore, Francesco; Scapigliati, Giuseppe] Univ Tuscia, Dept Innovat Biol Agrofood &amp; Forest Syst, I-01100 Viterbo, Italy; [Santovito, Gianfranco] Univ Padua, Dept Biol, I-35131 Padua, Italy; [Pallavicini, Alberto] Anton Dohrn Zool Stn, I-80122 Naples, Italy; [Pallavicini, Alberto] Natl Inst Oceanog &amp; Expt Geophys, I-34010 Trieste, Italy</t>
  </si>
  <si>
    <t>University of Trieste; International School for Advanced Studies (SISSA); Charles University Prague; Consiglio Nazionale delle Ricerche (CNR); Tuscia University; University of Padua; Stazione Zoologica Anton Dohrn di Napoli</t>
  </si>
  <si>
    <t>Gerdol, M (corresponding author), Univ Trieste, Dept Life Sci, I-34127 Trieste, Italy.</t>
  </si>
  <si>
    <t>fansalon@sissa.it; mgerdol@units.it; torboli_valentina@hotmail.com; nickforna@gmail.com; SAMUELE.GRECO@phd.units.it; giuliani@units.it; mr.coscia@ibp.cnr.it; andrea.miccoli@unitus.it; gianfranco.santovito@unipd.it; fbuono@unitus.it; scapigg@unitus.it; pallavic@units.it</t>
  </si>
  <si>
    <t>Santovito, Gianfranco/ABB-9484-2021; Ansaloni, Federico/IAM-8393-2023; Fornaini, Nicola Reinaldo/ABB-6534-2021; Coscia, Maria Rosaria/AAU-1808-2021; Pallavicini, Alberto/J-4158-2012; Gerdol, Marco/D-2115-2013; Miccoli, Andrea/AAA-9006-2020</t>
  </si>
  <si>
    <t>Santovito, Gianfranco/0000-0001-8260-7006; Ansaloni, Federico/0000-0002-6344-4931; Gerdol, Marco/0000-0001-6411-0813; Miccoli, Andrea/0000-0002-4545-7229; Buonocore, Francesco/0000-0001-8045-5651; Giulianini, Piero Giulio/0000-0001-5356-7754; Greco, Samuele/0000-0003-3435-2656</t>
  </si>
  <si>
    <t>Italian Program of Antarctic Research [PNRA16_00099]</t>
  </si>
  <si>
    <t>Italian Program of Antarctic Research</t>
  </si>
  <si>
    <t>This work was supported by the Italian Program of Antarctic Research (grant number PNRA16_00099).</t>
  </si>
  <si>
    <t>10.3390/ijms22041812</t>
  </si>
  <si>
    <t>QP4AE</t>
  </si>
  <si>
    <t>WOS:000623777900001</t>
  </si>
  <si>
    <t>Yang, G; Mozzicafreddo, M; Ballarini, P; Pucciarelli, S; Miceli, C</t>
  </si>
  <si>
    <t>Yang, Guang; Mozzicafreddo, Matteo; Ballarini, Patrizia; Pucciarelli, Sandra; Miceli, Cristina</t>
  </si>
  <si>
    <t>An In-Silico Comparative Study of Lipases from the Antarctic Psychrophilic Ciliate Euplotes focardii and the Mesophilic Congeneric Species Euplotes crassus: Insight into Molecular Cold-Adaptation</t>
  </si>
  <si>
    <t>hydrolytic enzymes; cold-adaptation; amino acid composition; secondary structure; bioinformatics</t>
  </si>
  <si>
    <t>Cold-adapted enzymes produced by psychrophilic organisms have elevated catalytic activities at low temperatures compared to their mesophilic counterparts. This is largely due to amino acids changes in the protein sequence that often confer increased molecular flexibility in the cold. Comparison of structural changes between psychrophilic and mesophilic enzymes often reveal molecular cold adaptation. In the present study, we performed an in-silico comparative analysis of 104 hydrolytic enzymes belonging to the family of lipases from two evolutionary close marine ciliate species: The Antarctic psychrophilic Euplotes focardii and the mesophilic Euplotes crassus. By applying bioinformatics approaches, we compared amino acid composition and predicted secondary and tertiary structures of these lipases to extract relevant information relative to cold adaptation. Our results not only confirm the importance of several previous recognized amino acid substitutions for cold adaptation, as the preference for small amino acid, but also identify some new factors correlated with the secondary structure possibly responsible for enhanced enzyme activity at low temperatures. This study emphasizes the subtle sequence and structural modifications that may help to transform mesophilic into psychrophilic enzymes for industrial applications by protein engineering.</t>
  </si>
  <si>
    <t>[Yang, Guang; Mozzicafreddo, Matteo; Ballarini, Patrizia; Pucciarelli, Sandra; Miceli, Cristina] Univ Camerino, Sch Biosci &amp; Vet Med, I-62032 Camerino, MC, Italy</t>
  </si>
  <si>
    <t>University of Camerino</t>
  </si>
  <si>
    <t>Pucciarelli, S (corresponding author), Univ Camerino, Sch Biosci &amp; Vet Med, I-62032 Camerino, MC, Italy.</t>
  </si>
  <si>
    <t>guang.yang@unicam.it; matteo.mozzicafreddo@unicam.it; patrizia.ballarini@unicam.it; sandra.pucciarelli@unicam.it; cristina.miceli@unicam.it</t>
  </si>
  <si>
    <t>Mozzicafreddo, M./AAW-2816-2021</t>
  </si>
  <si>
    <t>Mozzicafreddo, M./0000-0001-9835-8446; Pucciarelli, Sandra/0000-0003-4178-2689; Miceli, Cristina/0000-0002-7829-8471</t>
  </si>
  <si>
    <t>International School of Advanced Studies of the University of Camerino; European Cooperation in Science and Technology (COST) action [BM1102]</t>
  </si>
  <si>
    <t>International School of Advanced Studies of the University of Camerino; European Cooperation in Science and Technology (COST) action(European Cooperation in Science and Technology (COST))</t>
  </si>
  <si>
    <t>The work was supported by the International School of Advanced Studies of the University of Camerino (fellowship and research support to GY) and by the European Cooperation in Science and Technology (COST) action BM1102 Ciliates as model systems to study genome evolution, mechanisms of non-Mendelian inheritance, and their roles in environmental adaptation.</t>
  </si>
  <si>
    <t>10.3390/md19020067</t>
  </si>
  <si>
    <t>QN9AZ</t>
  </si>
  <si>
    <t>WOS:000622744000001</t>
  </si>
  <si>
    <t>Lavin, P; Henríquez-Castillo, C; Yong, ST; Valenzuela-Heredia, D; Oses, R; Frez, K; Borba, MP; Purcarea, C; Wong, CMVL</t>
  </si>
  <si>
    <t>Lavin, Paris; Henriquez-Castillo, Carlos; Yong, Sheau Ting; Valenzuela-Heredia, Daniel; Oses, Romulo; Frez, Katherine; Borba, Marcela P.; Purcarea, Cristina; Wong, C. M. V. L.</t>
  </si>
  <si>
    <t>Draft Genome Sequence of Antarctic Psychrotroph Streptomyces fildesensis Strain INACH3013, Isolated from King George Island Soil</t>
  </si>
  <si>
    <t>The draft genome sequence of Streptomyces fildesensis strain INACH3013, a psychrotrophic bacterium isolated from Northwest Antarctic soil, was reported. The genome sequence totaling 9,306,785 bp resulted from 122 contigs characterized by a GC content of 70.55%.</t>
  </si>
  <si>
    <t>[Lavin, Paris; Frez, Katherine] Univ Antofagasta, Dept Biotecnol, Fac Ciencias Mar &amp; Recursos Biol, Inst Antofagasta,Lab Complejidad Microbiana &amp; Eco, Antofagasta, Chile; [Henriquez-Castillo, Carlos] Ctr Estudios Avanzados Zonas Aridas CEAZA, Lab Fisiol &amp; Genet Marina FIGEMA, Coquimbo, Chile; [Henriquez-Castillo, Carlos] Univ Catolica Norte, Fac Ciencias Mar, Coquimbo, Chile; [Yong, Sheau Ting; Wong, C. M. V. L.] Univ Malaysia Sabah, Biotechnol Res Inst, Kota Kinabalu, Sabah, Malaysia; [Valenzuela-Heredia, Daniel] Univ Adolfo Ibanez, Fac Ingn &amp; Ciencias, Vina Del Mar, Chile; [Oses, Romulo] Univ Atacama, Ctr Reg Invest &amp; Desarrollo Sustentable Atacama C, Copiapo, Chile; [Borba, Marcela P.] Inst Ciencias Basicas Saude, Dept Microbiol Imunol &amp; Parasitol, Lab Microbiol Aplicada, Porto Alegre, RS, Brazil; [Purcarea, Cristina] Inst Biol, Dept Microbiol, Bucharest, Romania</t>
  </si>
  <si>
    <t>Universidad de Antofagasta; Universidad Catolica del Norte; Universiti Malaysia Sabah; Universidad Adolfo Ibanez; Universidad de Atacama; Institute of Biology Bucharest</t>
  </si>
  <si>
    <t>Lavin, P (corresponding author), Univ Antofagasta, Dept Biotecnol, Fac Ciencias Mar &amp; Recursos Biol, Inst Antofagasta,Lab Complejidad Microbiana &amp; Eco, Antofagasta, Chile.</t>
  </si>
  <si>
    <t>plavin@gmail.com</t>
  </si>
  <si>
    <t>Henríquez, Carlos/IRZ-0582-2023; Lavin, Paris/HPH-3612-2023; Henríquez-Castillo, Carlos/AAD-5902-2022; Purcarea, Cristina/HKO-6092-2023; Wong, Clemente Michael Vui Ling/M-8372-2013</t>
  </si>
  <si>
    <t>Lavin, Paris/0000-0002-8893-526X; Henríquez-Castillo, Carlos/0000-0001-7763-8350; Purcarea, Cristina/0000-0001-5784-8545; Wong, Clemente Michael Vui Ling/0000-0003-3431-8896; Oses-Pedraza, Romulo/0000-0003-2310-3339</t>
  </si>
  <si>
    <t>VRII-project Iniciacion de la Investigacion de Nuevos Investigadores de la Universidad de Antofagasta, Chile [1308]; INACH project [RT-20_19]; Ministry of Science, Technology, and Innovation (MOSTI), Malaysia, under the Antarctica Flagship Program [FP1213E036]</t>
  </si>
  <si>
    <t>VRII-project Iniciacion de la Investigacion de Nuevos Investigadores de la Universidad de Antofagasta, Chile; INACH project; Ministry of Science, Technology, and Innovation (MOSTI), Malaysia, under the Antarctica Flagship Program</t>
  </si>
  <si>
    <t>This research was supported by the VRII-No1308 project Iniciacion de la Investigacion de Nuevos Investigadores de la Universidad de Antofagasta, Chile; INACH project RT-20_19; and the Ministry of Science, Technology, and Innovation (MOSTI), Malaysia, under the Antarctica Flagship Program (subproject 1, FP1213E036).</t>
  </si>
  <si>
    <t>e01453-20</t>
  </si>
  <si>
    <t>10.1128/MRA.01453-20</t>
  </si>
  <si>
    <t>QE0DN</t>
  </si>
  <si>
    <t>WOS:000615878400014</t>
  </si>
  <si>
    <t>Auguste, M; Mayall, C; Barbero, F; Hocevar, M; Alberti, S; Grassi, G; Puntes, VE; Drobne, D; Canesi, L</t>
  </si>
  <si>
    <t>Auguste, Manon; Mayall, Craig; Barbero, Francesco; Hocevar, Matej; Alberti, Stefano; Grassi, Giacomo; Puntes, Victor E.; Drobne, Damjana; Canesi, Laura</t>
  </si>
  <si>
    <t>Functional and Morphological Changes Induced in Mytilus Hemocytes by Selected Nanoparticles</t>
  </si>
  <si>
    <t>NANOMATERIALS</t>
  </si>
  <si>
    <t>hemocytes; Mytilus; in vitro; scanning electron microscopy; immune response</t>
  </si>
  <si>
    <t>CATIONIC POLYSTYRENE NANOPARTICLES; GOLD NANOPARTICLES; BIVALVE MOLLUSKS; MUSSEL; LIPOPOLYSACCHARIDE; NANOMATERIALS; ENVIRONMENT; MECHANISMS; TOXICITY; IMPACT</t>
  </si>
  <si>
    <t>Nanoparticles (NPs) show various properties depending on their composition, size, and surface coating, which shape their interactions with biological systems. In particular, NPs have been shown to interact with immune cells, that represent a sensitive surveillance system of external and internal stimuli. In this light, in vitro models represent useful tools for investigating nano-bio-interactions in immune cells of different organisms, including invertebrates. In this work, the effects of selected types of NPs with different core composition, size and functionalization (custom-made PVP-AuNP and commercial nanopolystyrenes PS-NH2 and PS-COOH) were investigated in the hemocytes of the marine bivalve Mytilus galloprovincialis. The role of exposure medium was evaluated using either artificial seawater (ASW) or hemolymph serum (HS). Hemocyte morphology was investigated by scanning electron microscopy (SEM) and different functional parameters (lysosomal membrane stability, phagocytosis, and lysozyme release) were evaluated. The results show distinct morphological and functional changes induced in mussel hemocytes depending on the NP type and exposure medium. Mussel hemocytes may represent a powerful alternative in vitro model for a rapid pre-screening strategy for NPs, whose utilization will contribute to the understanding of the possible impact of environmental exposure to NPs in marine invertebrates.</t>
  </si>
  <si>
    <t>[Auguste, Manon; Canesi, Laura] Univ Genoa, Dept Environm Earth &amp; Life Sci DISTAV, I-16136 Genoa, Italy; [Mayall, Craig; Drobne, Damjana] Univ Ljubljana, Biotech Fac, Ljubljana 1000, Slovenia; [Barbero, Francesco; Puntes, Victor E.] CSIC, Inst Catala Nanociencia &amp; Nanotecnol ICN2, Campus UAB, Barcelona 08193, Spain; [Barbero, Francesco; Puntes, Victor E.] Barcelona Inst Sci &amp; Technol BIST, Campus UAB, Barcelona 08193, Spain; [Hocevar, Matej] Inst Met &amp; Technol IMT, Ljubljana 1000, Slovenia; [Alberti, Stefano] Univ Genoa, Dept Chem &amp; Ind Chem, I-16136 Genoa, Italy; [Grassi, Giacomo] Univ Siena, Dept Phys Earth &amp; Environm Sci, I-53100 Siena, Italy</t>
  </si>
  <si>
    <t>University of Genoa; University of Ljubljana; Barcelona Institute of Science &amp; Technology; Catalan Institute of Nanoscience &amp; Nanotechnology (ICN2); Consejo Superior de Investigaciones Cientificas (CSIC); Autonomous University of Barcelona; Autonomous University of Barcelona; University of Genoa; University of Siena</t>
  </si>
  <si>
    <t>Auguste, M (corresponding author), Univ Genoa, Dept Environm Earth &amp; Life Sci DISTAV, I-16136 Genoa, Italy.</t>
  </si>
  <si>
    <t>manon.auguste@edu.unige.it; craig_mayall@hotmail.co.uk; fra.barbero@gmail.com; matej.hocevar@imt.si; stefano.alberti@edu.unige.it; giacomograssi6@gmail.com; victor.puntes@icn2.cat; Damjana.Drobne@bf.uni-lj.si; Laura.Canesi@unige.it</t>
  </si>
  <si>
    <t>Barbero, Francesco/GYV-3521-2022; Alberti, Stefano/AAB-3432-2021; Hocevar, Matej/KHD-6973-2024; Puntes, Victor/AAL-6081-2021</t>
  </si>
  <si>
    <t>Barbero, Francesco/0000-0001-8704-0651; Alberti, Stefano/0000-0002-5890-3232; Puntes, Victor/0000-0001-8996-9499; Drobne, Damjana/0000-0002-5970-7460; Canesi, Laura/0000-0003-2061-3819; Grassi, Giacomo/0000-0002-9907-0636; Mayall, Craig/0000-0002-1345-308X; Auguste, Manon/0000-0002-3219-7931</t>
  </si>
  <si>
    <t>European Union's Horizon 2020 research and innovation program under the Marie Sklodowska-Curie [671881]; Italian Antarctic Project NANOPANTA Nano-Polymers in the Antarctic marine environment and biota [PNRA16_00075 B]</t>
  </si>
  <si>
    <t>European Union's Horizon 2020 research and innovation program under the Marie Sklodowska-Curie(Marie Curie Actions); Italian Antarctic Project NANOPANTA Nano-Polymers in the Antarctic marine environment and biota</t>
  </si>
  <si>
    <t>This research has received funding from the European Union's Horizon 2020 research and innovation program under the Marie Sklodowska-Curie grant agreement PANDORA Nffi 671881 (Probing safety of nano-objects by defining immune responses of environmental organisms). Partial support was given by the Italian Antarctic Project NANOPANTA Nano-Polymers in the Antarctic marine environment and biota PNRA16_00075 B.</t>
  </si>
  <si>
    <t>2079-4991</t>
  </si>
  <si>
    <t>NANOMATERIALS-BASEL</t>
  </si>
  <si>
    <t>Nanomaterials</t>
  </si>
  <si>
    <t>10.3390/nano11020470</t>
  </si>
  <si>
    <t>Chemistry, Multidisciplinary; Nanoscience &amp; Nanotechnology; Materials Science, Multidisciplinary; Physics, Applied</t>
  </si>
  <si>
    <t>Chemistry; Science &amp; Technology - Other Topics; Materials Science; Physics</t>
  </si>
  <si>
    <t>QO2BF</t>
  </si>
  <si>
    <t>WOS:000622949400001</t>
  </si>
  <si>
    <t>Bauska, TK; Marcott, SA; Brook, EJ</t>
  </si>
  <si>
    <t>Bauska, Thomas K.; Marcott, Shaun A.; Brook, Edward J.</t>
  </si>
  <si>
    <t>Abrupt changes in the global carbon cycle during the last glacial period</t>
  </si>
  <si>
    <t>DEEP SOUTHERN-OCEAN; CORE WD2014 CHRONOLOGY; ANTARCTIC SEA-ICE; ATMOSPHERIC CO2; CLIMATE-CHANGE; ISOTOPE CONSTRAINTS; VARIABILITY; GREENLAND; CIRCULATION; DIOXIDE</t>
  </si>
  <si>
    <t>During the last glacial period, atmospheric carbon dioxide (CO2) closely followed Antarctic temperature on millennial timescales. This strong correlation between Antarctic climate and atmospheric CO2 has led to suggestions that reorganizations of Southern Ocean circulation and/or biogeochemistry were the dominant cause of these variations. However, recent work also revealed centennial-scale changes in CO2 that appear unrelated to Antarctic climate and may represent additional modes of carbon cycle variability. Here we present a high-resolution CO2 record from the last glacial period from an ice core drilled in West Antarctica. This reconstruction precisely defines the timing of millennial and centennial CO2 variations with respect to Antarctic temperature and abrupt changes in Northern Hemisphere climate during Heinrich stadials and Dansgaard-Oeschger events. On the millennial scale, CO2 tracks Antarctic climate variability, but peak CO2 levels lag peak Antarctic temperature by more than 500 years. Centennial-scale CO2 increases of up to 10 ppm occurred within some Heinrich stadials, and increases of ~5 ppm occurred at the abrupt warming of most Dansgaard-Oeschger events. Regression analysis suggests that the CO2 variations can be explained by a combination of one mechanism operating on the timescale of Antarctic climate variability and a second responding on the timescale of Dansgaard-Oeschger events. Consistent with our statistical analysis, carbon cycle box-model simulations illustrate a plausible scenario where Southern Hemisphere processes contribute the majority of the CO2 variability during the last glacial period, but Northern Hemisphere processes are the crucial drivers of centennial-scale variability. Southern Hemisphere processes largely set Antarctic climate during the last glacial, though events in the Northern Hemisphere strongly impacted short, centennial-scale changes, according to an analysis of high-resolution carbon dioxide and temperature records from an Antarctic ice core.</t>
  </si>
  <si>
    <t>[Bauska, Thomas K.] British Antarctic Survey, Cambridge, England; [Marcott, Shaun A.] Univ Wisconsin, Dept Geosci, Madison, WI 53706 USA; [Brook, Edward J.] Oregon State Univ, Coll Earth Ocean &amp; Atmospher Sci, Corvallis, OR 97331 USA</t>
  </si>
  <si>
    <t>UK Research &amp; Innovation (UKRI); Natural Environment Research Council (NERC); NERC British Antarctic Survey; University of Wisconsin System; University of Wisconsin Madison; Oregon State University</t>
  </si>
  <si>
    <t>Bauska, TK (corresponding author), British Antarctic Survey, Cambridge, England.;Marcott, SA (corresponding author), Univ Wisconsin, Dept Geosci, Madison, WI 53706 USA.</t>
  </si>
  <si>
    <t>thausk@bas.ac.uk; smarcott@wisc.edu</t>
  </si>
  <si>
    <t>Marcott, Shaun/0000-0003-3264-0523</t>
  </si>
  <si>
    <t>NERC [bas0100034] Funding Source: UKRI</t>
  </si>
  <si>
    <t>10.1038/s41561-020-00680-2</t>
  </si>
  <si>
    <t>QC5RR</t>
  </si>
  <si>
    <t>WOS:000614892900009</t>
  </si>
  <si>
    <t>Byun, MY; Kim, D; Youn, UJ; Lee, S; Lee, H</t>
  </si>
  <si>
    <t>Byun, Mi Young; Kim, Dockyu; Youn, Ui Joung; Lee, Seulah; Lee, Hyoungseok</t>
  </si>
  <si>
    <t>Improvement of moss photosynthesis by humic acids from Antarctic tundra soil</t>
  </si>
  <si>
    <t>Antarctic; Humic acids; Humic substances; Photosynthetic activity; Plant growth promoting</t>
  </si>
  <si>
    <t>ORGANIC-MATTER; GROWTH; SUBSTANCES; KEY</t>
  </si>
  <si>
    <t>There have been several published reports regarding the growth promoting effect of humic acids (HA) on vascular plants; however, the effect of HA on bryophytes is still unknown. Due to the ecological importance of mosses, which dominate the Antarctic flora, we assessed the effectiveness of HA as a biostimulant using three moss species: Antarctic Ceratodon purpureus KMA5038, Arctic Bryum sp. KMR5045, and Physcomitrella patens which inhabits temperate regions. Natural HA (KS1-3_HA) were extracted through acidic precipitation of alkaline extracts from Antarctic tundra soil. Spectroscopic structural properties of KS1-3_HA were characterized and determined to possess several functional groups such as hydroxyl (R-OH) and carboxyl (R-COOH), implying they could have a growth-related biological function. For two polar mosses, increasing HA concentrations correlated with increased growth and photosynthesis. The efficiency for temperate moss increased at lower concentrations tested, but rather began to reduce at the highest HA concentration, indicating that effective concentrations of HA vary depending on the moss species and habitat. Based on these results, Antarctic HA may have ecological role in enhancing the growth and photosynthesis of Antarctic mosses. We believe this is the first study to establish a positive physiological effect of HA on mosses and hope it may serve as a basis for studying the role of HA in preserving the terrestrial ecosystem of Antarctica.</t>
  </si>
  <si>
    <t>[Byun, Mi Young; Kim, Dockyu; Youn, Ui Joung; Lee, Seulah; Lee, Hyoungseok] Korea Polar Res Inst, Div Life Sci, Incheon 21990, South Korea; [Youn, Ui Joung; Lee, Hyoungseok] Univ Sci &amp; Technol, Polar Sci, Incheon 21990, South Korea</t>
  </si>
  <si>
    <t>Kim, D; Lee, H (corresponding author), Korea Polar Res Inst, Div Life Sci, Incheon 21990, South Korea.</t>
  </si>
  <si>
    <t>envimic@kopri.re.kr; soulaid@kopri.re.kr</t>
  </si>
  <si>
    <t>Lee, Seulah/GRY-3543-2022</t>
  </si>
  <si>
    <t>Lee, Seulah/0000-0002-4657-5104; Lee, Hyoungseok/0000-0002-5831-6345</t>
  </si>
  <si>
    <t>Korea Polar Research Institute [PE20170]</t>
  </si>
  <si>
    <t>This work was supported by a grant (PE20170) funded by the Korea Polar Research Institute.</t>
  </si>
  <si>
    <t>10.1016/j.plaphy.2020.12.007</t>
  </si>
  <si>
    <t>PW7II</t>
  </si>
  <si>
    <t>WOS:000610843600005</t>
  </si>
  <si>
    <t>Olesen, AJ; Leithoff, A; Altenburger, A; Krock, B; Beszteri, B; Eggers, SL; Lundholm, N</t>
  </si>
  <si>
    <t>Olesen, Anna J.; Leithoff, Anneliese; Altenburger, Andreas; Krock, Bernd; Beszteri, Bank; Eggers, Sarah Lena; Lundholm, Nina</t>
  </si>
  <si>
    <t>First Evidence of the Toxin Domoic Acid in Antarctic Diatom Species</t>
  </si>
  <si>
    <t>TOXINS</t>
  </si>
  <si>
    <t>Antarctic; Domoic Acid; Iso-Domoic acid; HAB; Southern Ocean</t>
  </si>
  <si>
    <t>PSEUDO-NITZSCHIA; CALIFORNIA; PHYLOGENY; INDUCTION; ABUNDANCE; TOXICITY; BLOOM; COAST; SEA</t>
  </si>
  <si>
    <t>The Southern Ocean is one of the most productive ecosystems in the world. It is an area heavily dependent on marine primary production and serving as a feeding ground for numerous seabirds and marine mammals. Therefore, the phytoplankton composition and presence of toxic species are of crucial importance. Fifteen monoclonal strains of Pseudo-nitzschia subcurvata, a diatom species endemic to the Southern Ocean, were established, which were characterized by morphological and molecular data and then analysed for toxin content. The neurotoxins domoic acid and iso-domoic acid C were present in three of the strains, which is a finding that represents the first evidence of these toxins in strains from Antarctic waters. Toxic phytoplankton in Antarctic waters are still largely unexplored, and their effects on the ecosystem are not well understood. Considering P. subcurvata's prevalence throughout the Southern Ocean, these results highlight the need for further investigations of the harmful properties on the Antarctic phytoplankton community as well as the presence of the toxins in the Antarctic food web, especially in the light of a changing climate.</t>
  </si>
  <si>
    <t>[Olesen, Anna J.; Leithoff, Anneliese; Lundholm, Nina] Univ Copenhagen, Nat Hist Museum Denmark, Oster Farimagsgade 5, DK-1353 Copenhagen K, Denmark; [Altenburger, Andreas] UiT Arctic Univ Norway, Arctic Univ Museum Norway, Lars Thorings Veg 10, N-9006 Tromso, Norway; [Krock, Bernd; Eggers, Sarah Lena] Helmholtz Zentrum Polar &amp; Meeresforsch, Okol Chem, Alfred Wegener Inst, Handelshafen 12, D-27570 Bremerhaven, Germany; [Beszteri, Bank] Univ Duisburg Essen, Fac Biol, Dept Phycol, Univ Str 2, D-45141 Essen, Germany</t>
  </si>
  <si>
    <t>University of Copenhagen; UiT The Arctic University of Tromso; Helmholtz Association; Alfred Wegener Institute, Helmholtz Centre for Polar &amp; Marine Research; University of Duisburg Essen</t>
  </si>
  <si>
    <t>Olesen, AJ (corresponding author), Univ Copenhagen, Nat Hist Museum Denmark, Oster Farimagsgade 5, DK-1353 Copenhagen K, Denmark.</t>
  </si>
  <si>
    <t>anna.olesen@snm.ku.dk; alc@science.ku.dk; andreas.altenburger@uit.no; bernd.krock@awi.de; bank.beszteri@uni-due.de; lena.eggers@awi.de; nlundholm@snm.ku.dk</t>
  </si>
  <si>
    <t>Beszteri, Bank/D-1961-2010; Altenburger, Andreas/B-4332-2008; Lundholm, Nina/A-4856-2013</t>
  </si>
  <si>
    <t>Beszteri, Bank/0000-0002-6852-1588; Olesen, Anna/0000-0001-9001-9845; Altenburger, Andreas/0000-0001-5258-8043; Lundholm, Nina/0000-0002-2035-1997</t>
  </si>
  <si>
    <t>Helmholtz-Gemeinschaft Deutscher Forschungszentren through the research program PACES II of the Alfred Wegener Institut-Helmholtz Zentrum fur Polar-und Meeresforschung; Danish Research Council [9040-00248B]</t>
  </si>
  <si>
    <t>Helmholtz-Gemeinschaft Deutscher Forschungszentren through the research program PACES II of the Alfred Wegener Institut-Helmholtz Zentrum fur Polar-und Meeresforschung; Danish Research Council(Det Frie Forskningsrad (DFF))</t>
  </si>
  <si>
    <t>This work was partially financed by the Helmholtz-Gemeinschaft Deutscher Forschungszentren through the research program PACES II of the Alfred Wegener Institut-Helmholtz Zentrum fur Polar-und Meeresforschung. The work was supported by The Danish Research Council grant number 9040-00248B to N.L.</t>
  </si>
  <si>
    <t>2072-6651</t>
  </si>
  <si>
    <t>Toxins</t>
  </si>
  <si>
    <t>10.3390/toxins13020093</t>
  </si>
  <si>
    <t>Food Science &amp; Technology; Toxicology</t>
  </si>
  <si>
    <t>QO6RX</t>
  </si>
  <si>
    <t>WOS:000623269900001</t>
  </si>
  <si>
    <t>Turnbull, A; Seger, A; Jolley, J; Hallegraeff, G; Knowles, G; Fitzgibbon, Q</t>
  </si>
  <si>
    <t>Turnbull, Alison; Seger, Andreas; Jolley, Jessica; Hallegraeff, Gustaaf; Knowles, Graeme; Fitzgibbon, Quinn</t>
  </si>
  <si>
    <t>Lobster Supply Chains Are Not at Risk from Paralytic Shellfish Toxin Accumulation during Wet Storage</t>
  </si>
  <si>
    <t>lobster health; toxic algae; Alexandrium; Jasus edwardsii</t>
  </si>
  <si>
    <t>Lobster species can accumulate paralytic shellfish toxins (PST) in their hepatopancreas following the consumption of toxic prey. The Southern Rock Lobster (SRL), Jasus edwardsii, industry in Tasmania, Australia, and New Zealand, collectively valued at AUD 365 M, actively manages PST risk based on toxin monitoring of lobsters in coastal waters. The SRL supply chain predominantly provides live lobsters, which includes wet holding in fishing vessels, sea-cages, or processing facilities for periods of up to several months. Survival, quality, and safety of this largely exported high-value product is a major consideration for the industry. In a controlled experiment, SRL were exposed to highly toxic cultures of Alexandrium catenella at field relevant concentrations (2 x 10(5) cells L-1) in an experimental aquaculture facility over a period of 21 days. While significant PST accumulation in the lobster hepatopancreas has been reported in parallel experiments feeding lobsters with toxic mussels, no PST toxin accumulated in this experiment from exposure to toxic algal cells, and no negative impact on lobster health was observed as assessed via a wide range of behavioural, immunological, and physiological measures. We conclude that there is no risk of PST accumulation, nor risk to survival or quality at the point of consumption through exposure to toxic algal cells.</t>
  </si>
  <si>
    <t>[Turnbull, Alison; Seger, Andreas; Jolley, Jessica] South Australian Res &amp; Dev Inst, GPO Box 397, Adelaide, SA 5001, Australia; [Turnbull, Alison; Seger, Andreas; Hallegraeff, Gustaaf; Fitzgibbon, Quinn] Univ Tasmania, Inst Marine &amp; Antarctic Studies, Private Bag 129, Hobart, Tas 7001, Australia; [Knowles, Graeme] Anim Hlth Lab DPIPWE Tasmania, 165 Westbury Rd, Prospect, Tas 7250, Australia</t>
  </si>
  <si>
    <t>Turnbull, A (corresponding author), South Australian Res &amp; Dev Inst, GPO Box 397, Adelaide, SA 5001, Australia.;Turnbull, A (corresponding author), Univ Tasmania, Inst Marine &amp; Antarctic Studies, Private Bag 129, Hobart, Tas 7001, Australia.</t>
  </si>
  <si>
    <t>Alison.Turnbull@utas.edu.au; andreas.seger@utas.edu.au; Jessica.jolley@sa.gov.au; gustaaf.hallegraeff@utas.edu.au; graeme.knowles@dpipwe.tas.gov.au; quinn.fitzgibbon@utas.edu.au</t>
  </si>
  <si>
    <t>Knowles, Graeme/HNQ-4536-2023; Seger, Andreas/AAH-4093-2019; Hallegraeff, Gustaaf/C-8351-2013</t>
  </si>
  <si>
    <t>Seger, Andreas/0000-0001-7018-0455; Fitzgibbon, Quinn/0000-0002-1104-3052; Hallegraeff, Gustaaf/0000-0001-8464-7343; Turnbull, Alison/0000-0001-5701-8728</t>
  </si>
  <si>
    <t>Fisheries Research and Development Corporation [2017-051, 2017-086]</t>
  </si>
  <si>
    <t>Fisheries Research and Development Corporation</t>
  </si>
  <si>
    <t>This research was funded by Fisheries Research and Development Corporation, grant numbers 2017-051 and 2017-086.</t>
  </si>
  <si>
    <t>10.3390/toxins13020129</t>
  </si>
  <si>
    <t>QO7DQ</t>
  </si>
  <si>
    <t>WOS:000623300900001</t>
  </si>
  <si>
    <t>Taylor, N; Gifford, RM; Cobb, R; Wardle, SL; Jones, S; Blackadder-Weinstein, J; Hattersley, J; Wilson, A; Imray, C; Greeves, JP; Reynolds, R; Woods, DR</t>
  </si>
  <si>
    <t>Taylor, Natalie; Gifford, R. M.; Cobb, R.; Wardle, S. L.; Jones, S.; Blackadder-Weinstein, J.; Hattersley, J.; Wilson, A.; Imray, C.; Greeves, J. P.; Reynolds, R.; Woods, D. R.</t>
  </si>
  <si>
    <t>Experience from the selection and nutritional preparation for Expedition ICE MAIDEN: the first successful all-female unassisted Antarctic traverse</t>
  </si>
  <si>
    <t>diet; food and nutrition (mesh); sports nutrition sciences (mesh); athletic performance (mesh) dietary supplement; sport (mesh); arctic regions (mesh)</t>
  </si>
  <si>
    <t>Introduction Expedition ICE MAIDEN (Ex IM) was the first all-female unsupported crossing of Antarctica. We describe the prerequisite selection and training, comparing those who formed the final team with other participants, and discuss how the expedition diet was established. Methods All women serving in the British Army were invited to participate. Following initial assessments, successful women completed three training/selection ski expeditions. Between expeditions 1 and 2, participants completed 6 months rigorous UK-based training. Weight was measured before and after the 6 months UK-based training, expeditions 2 and 3, and body composition by skinfold before and after expedition 2. Participant feedback, body composition and weight changes were applied to modify the expedition diet and provide weight gain targets prior to Ex IM. Results Following 250 applications, 50 women were assessed and 22, 12 and seven women attended training expeditions 1, 2 and 3, respectively. The final team of six women lost more weight than other participants during UK-based training (mean (SD) change -1.3 (1.5) kg vs -0.5 (1.6) kg, respectively, p=0.046) and during training expedition 2 (-2.8 (0.8) kg vs -1.7 (0.4) kg, respectively, p=0.048), when they also gained more lean mass (+2.1 (0.8) kg vs +0.4 (0.7) kg, respectively, p=0.004). The Ex IM diet provided 5000 kCal/day, comprising approximately 45% carbohydrate, 45% fat and 10% protein. Median (range) weight change between expedition 3 and Ex IM was +8.7 (-1.9 to +14.3) kg. Conclusions The selected Ex IM team demonstrated favourable training-associated body composition changes. Training-associated weight loss informed the expeditionary diet design.</t>
  </si>
  <si>
    <t>[Taylor, Natalie; Blackadder-Weinstein, J.] Def Med Serv Res &amp; Clin Innovat, Acad Dept Gen Practice, Birmingham, W Midlands, England; [Gifford, R. M.; Reynolds, R.] Univ Edinburgh, Univ British Heart Fdn Ctr Cardiovasc Sci, Edinburgh, Midlothian, Scotland; [Gifford, R. M.; Woods, D. R.] Def Med Serv Res &amp; Clin Innovat, Acad Dept Mil Med, Birmingham, W Midlands, England; [Cobb, R.] PND Consulting, Birmingham, W Midlands, England; [Wardle, S. L.; Greeves, J. P.] Army Headquarters, Army Personnel Res Capabil, Andover, England; [Jones, S.] Antarctic Logist &amp; Expedit, Salt Lake City, UT USA; [Hattersley, J.; Wilson, A.; Imray, C.] Univ Coventry &amp; Warwickshire NHS Trust, Human Metab Res Unit, Warwick, England; [Hattersley, J.; Wilson, A.; Imray, C.] Univ Warwick, Warwick, England; [Woods, D. R.] Leeds Beckett Univ, Res Inst Sport Phys Act &amp; Leisure, Leeds, W Yorkshire, England</t>
  </si>
  <si>
    <t>University of Edinburgh; University of Warwick; Leeds Beckett University</t>
  </si>
  <si>
    <t>Gifford, RM (corresponding author), Univ Edinburgh, British Heart Fdn Ctr Cardiovasc Sci, Edinburgh EH8 9YL, Midlothian, Scotland.</t>
  </si>
  <si>
    <t>r.gifford@ed.ac.uk</t>
  </si>
  <si>
    <t>Taylor, Natalie/HPB-8626-2023</t>
  </si>
  <si>
    <t>Taylor, Natalie/0000-0002-9897-1280; Gifford, Robert/0000-0002-6248-6400; imray, chris/0000-0001-8451-4102</t>
  </si>
  <si>
    <t>British Army</t>
  </si>
  <si>
    <t>Ex IM was given unrestricted funding by a series of corporate sponsors and the British Army. Details of funding can be found at http://exicemaiden.com/#Sponsors.None of the funders played any role in the design or conduct of this study.</t>
  </si>
  <si>
    <t>10.1136/jramc-2019-001175</t>
  </si>
  <si>
    <t>QE0MM</t>
  </si>
  <si>
    <t>WOS:000615901800008</t>
  </si>
  <si>
    <t>Kim, I; Choi, W; Son, J; Lee, JH; Lee, H; Lee, J; Shin, SC; Kim, HW</t>
  </si>
  <si>
    <t>Kim, Il-Sup; Choi, Woong; Son, Jonghyeon; Lee, Jun Hyuck; Lee, Hyoungseok; Lee, Jungeun; Shin, Seung Chul; Kim, Han-Woo</t>
  </si>
  <si>
    <t>Screening and Genetic Network Analysis of Genes Involved in Freezing and Thawing Resistance in DaMDHAR-Expressing Saccharomyces cerevisiae Using Gene Expression Profiling</t>
  </si>
  <si>
    <t>Antarctic plant; Deschampsia antarctica; monodehydroascorbate reductase; freezing and thawing; gene expression profiling; transgenic yeast</t>
  </si>
  <si>
    <t>The cryoprotection of cell activity is a key determinant in frozen-dough technology. Although several factors that contribute to freezing tolerance have been reported, the mechanism underlying the manner in which yeast cells respond to freezing and thawing (FT) stress is not well established. Therefore, the present study demonstrated the relationship between DaMDHAR encoding monodehydroascorbate reductase from Antarctic hairgrass Deschampsia antarctica and stress tolerance to repeated FT cycles (FT2) in transgenic yeast Saccharomyces cerevisiae. DaMDHAR-expressing yeast (DM) cells identified by immunoblotting analysis showed high tolerance to FT stress conditions, thereby causing lower damage for yeast cells than wild-type (WT) cells with empty vector alone. To detect FT2 tolerance-associated genes, 3 '-quant RNA sequencing was employed using mRNA isolated from DM and WT cells exposed to FT (FT2) conditions. Approximately 332 genes showed &gt;= 2-fold changes in DM cells and were classified into various groups according to their gene expression. The expressions of the changed genes were further confirmed using western blot analysis and biochemical assay. The upregulated expression of 197 genes was associated with pentose phosphate pathway, NADP metabolic process, metal ion homeostasis, sulfate assimilation, beta-alanine metabolism, glycerol synthesis, and integral component of mitochondrial and plasma membrane (PM) in DM cells under FT2 stress, whereas the expression of the remaining 135 genes was partially related to protein processing, selenocompound metabolism, cell cycle arrest, oxidative phosphorylation, and alpha-glucoside transport under the same condition. With regard to transcription factors in DM cells, MSN4 and CIN5 were activated, but MSN2 and MGA1 were not. Regarding antioxidant systems and protein kinases in DM cells under FT stress, CTT1, GTO, GEX1, and YOL024W were upregulated, whereas AIF1, COX2, and TRX3 were not. Gene activation represented by transcription factors and enzymatic antioxidants appears to be associated with FT2-stress tolerance in transgenic yeast cells. RCK1, MET14, and SIP18, but not YPK2, have been known to be involved in the protein kinase-mediated signalling pathway and glycogen synthesis. Moreover, SPI18 and HSP12 encoding hydrophilin in the PM were detected. Therefore, it was concluded that the genetic network via the change of gene expression levels of multiple genes contributing to the stabilization and functionality of the mitochondria and PM, not of a single gene, might be the crucial determinant for FT tolerance in DaMDAHR-expressing transgenic yeast. These findings provide a foundation for elucidating the DaMDHAR-dependent molecular mechanism of the complex functional resistance in the cellular response to FT stress.</t>
  </si>
  <si>
    <t>[Kim, Il-Sup] Kyungpook Natl Univ, Adv Bioresource Res Ctr, Daegu 41566, South Korea; [Choi, Woong; Son, Jonghyeon; Lee, Jun Hyuck; Lee, Hyoungseok; Lee, Jungeun; Shin, Seung Chul; Kim, Han-Woo] Korea Polar Res Inst, Incheon 21990, South Korea; [Lee, Jun Hyuck; Lee, Hyoungseok; Lee, Jungeun; Kim, Han-Woo] Univ Sci &amp; Technol, Dept Polar Sci, Incheon 21990, South Korea</t>
  </si>
  <si>
    <t>Kyungpook National University; Korea Polar Research Institute (KOPRI)</t>
  </si>
  <si>
    <t>Kim, HW (corresponding author), Korea Polar Res Inst, Incheon 21990, South Korea.;Kim, HW (corresponding author), Univ Sci &amp; Technol, Dept Polar Sci, Incheon 21990, South Korea.</t>
  </si>
  <si>
    <t>92kis@hanmail.net; woong@kopri.re.kr; jonghyeon_son@kopri.re.kr; junhyucklee@kopri.re.kr; soulaid@kopri.re.kr; jelee@kopri.re.kr; ssc@kopri.re.kr; hwkim@kopri.re.kr</t>
  </si>
  <si>
    <t>Kim, Il-Sup/0000-0003-2579-2027; Lee, Hyoungseok/0000-0002-5831-6345; , Jungeun/0000-0002-6934-0199; kim, han-woo/0000-0002-3074-0363</t>
  </si>
  <si>
    <t>National Research Foundation of Korea [NRF-2019R1I1A1A01058109]; Korea Polar Research Institute (KOPRI) [PE21160]; Ministry of Oceans and Fisheries, Korea [15250103, PM20030]; National Research Foundation of Korea (NRF) - Korea government [2020R1G1A1100765]</t>
  </si>
  <si>
    <t>National Research Foundation of Korea(National Research Foundation of Korea); Korea Polar Research Institute (KOPRI)(Korea Polar Research Institute of Marine Research Placement (KOPRI)); Ministry of Oceans and Fisheries, Korea; National Research Foundation of Korea (NRF) - Korea government(National Research Foundation of Korea)</t>
  </si>
  <si>
    <t>This study was supported by grants from the National Research Foundation of Korea (NRF-2019R1I1A1A01058109) and the Korea Polar Research Institute (KOPRI; grant numbers PE21160). This research was also a part of the project titled Development of potential antibiotic compounds using polar organism resources (15250103, KOPRI Grant PM20030), funded by the Ministry of Oceans and Fisheries, Korea and National Research Foundation of Korea (NRF) grant funded by the Korea government (2020R1G1A1100765).</t>
  </si>
  <si>
    <t>10.3390/genes12020219</t>
  </si>
  <si>
    <t>QN6MI</t>
  </si>
  <si>
    <t>WOS:000622570600001</t>
  </si>
  <si>
    <t>Ramírez, N; Serey, M; Illanes, A; Piumetti, M; Ottone, C</t>
  </si>
  <si>
    <t>Ramirez, Nicolas; Serey, Marcela; Illanes, Andres; Piumetti, Marco; Ottone, Carminna</t>
  </si>
  <si>
    <t>Immobilization strategies of photolyases: Challenges and perspectives for DNA repairing application</t>
  </si>
  <si>
    <t>JOURNAL OF PHOTOCHEMISTRY AND PHOTOBIOLOGY B-BIOLOGY</t>
  </si>
  <si>
    <t>Photolyase; Enzyme immobilization; Skin cancer prevention; Photoreactivation activity</t>
  </si>
  <si>
    <t>MESOPOROUS SILICA NANOPARTICLES; INTRAPROTEIN ELECTRON-TRANSFER; DRUG-DELIVERY SYSTEMS; SKIN-CANCER; ENZYME IMMOBILIZATION; CRYPTOCHROME/PHOTOLYASE FAMILY; ROBUST NANOBIOCATALYST; TRANSPLANT RECIPIENTS; SILVER NANOPARTICLES; TOPICAL APPLICATION</t>
  </si>
  <si>
    <t>Photolyases are enzymes that repair DNA damage caused by solar radiation. Due to their photorepair potential, photolyases added in topical creams and used in medical treatments has allowed to reverse skin damage and prevent the development of different diseases, including actinic keratosis, premature photoaging and cancer. For this reason, research has been oriented to the study of new photolyases performing in extreme environments, where high doses of UV radiation may be a key factor for these enzymes to have perfected their photorepair potential. Generally, the extracted enzymes are first encapsulated and then added to the topical creams to increase their stability. However, other well consolidated immobilization methods are interesting strategies to be studied that may improve the biocatalyst performance. This review aims to go through the different Antarctic organisms that have exhibited photoreactivation activity, explaining the main mechanisms of photolyase DNA photorepair. The challenges of immobilizing these enzymes on porous and nanostructured supports is also discussed. The comparison of the most reported immobilization methods with respect to the structure of photolyases show that both covalent and ionic immobilization methods produced an increase in their stability. Moreover, the use of nanosized materials as photolyase support would permit the incorporation of the biocatalyst into the target cell, which is a technological requirement that photolyase based biocatalysts must fulfill.</t>
  </si>
  <si>
    <t>[Ramirez, Nicolas; Serey, Marcela; Illanes, Andres; Ottone, Carminna] Pontificia Univ Catolica Valparaiso, Escuela Ingn Bioquim, Ave Brasil 2085, Valparaiso, Chile; [Piumetti, Marco] Politecn Torino, Dept Appl Sci &amp; Technol, Corso Duca Abruzzi 24, I-10129 Turin, Italy</t>
  </si>
  <si>
    <t>Pontificia Universidad Catolica de Valparaiso; Polytechnic University of Turin</t>
  </si>
  <si>
    <t>Ottone, C (corresponding author), Pontificia Univ Catolica Valparaiso, Escuela Ingn Bioquim, Ave Brasil 2085, Valparaiso, Chile.;Piumetti, M (corresponding author), Politecn Torino, Dept Appl Sci &amp; Technol, Corso Duca Abruzzi 24, I-10129 Turin, Italy.</t>
  </si>
  <si>
    <t>marco.piumetti@polito.it; carminna.ottone@pucv.cl</t>
  </si>
  <si>
    <t>Ottone, Carminna/GZK-6711-2022; ottone, carminna/ACN-7158-2022; Ottone, Carminna/JCE-5415-2023</t>
  </si>
  <si>
    <t>Intesa Group; master degree scholarship PUCV 2020</t>
  </si>
  <si>
    <t>The authors thank the project VALPO for circular economy, financed by Intesa Group and master degree scholarship PUCV 2020 for the financial support of this work.</t>
  </si>
  <si>
    <t>ELSEVIER SCIENCE SA</t>
  </si>
  <si>
    <t>PO BOX 564, 1001 LAUSANNE, SWITZERLAND</t>
  </si>
  <si>
    <t>1011-1344</t>
  </si>
  <si>
    <t>1873-2682</t>
  </si>
  <si>
    <t>J PHOTOCH PHOTOBIO B</t>
  </si>
  <si>
    <t>J. Photochem. Photobiol. B-Biol.</t>
  </si>
  <si>
    <t>10.1016/j.jphotobiol.2020.112113</t>
  </si>
  <si>
    <t>QH9NS</t>
  </si>
  <si>
    <t>WOS:000618601100004</t>
  </si>
  <si>
    <t>Udy, DG; Vance, TR; Kiem, AS; Holbrook, NJ; Curran, MAJ</t>
  </si>
  <si>
    <t>Udy, Danielle G.; Vance, Tessa R.; Kiem, Anthony S.; Holbrook, Neil J.; Curran, Mark A. J.</t>
  </si>
  <si>
    <t>Links between Large Scale Modes of Climate Variability and Synoptic Weather Patterns in the Southern Indian Ocean</t>
  </si>
  <si>
    <t>Synoptic climatology; Interannual variability; Antarctic Oscillation; Blocking; Extratropical cyclones; Neural networks</t>
  </si>
  <si>
    <t>SELF-ORGANIZING MAPS; ANNULAR MODE; AUSTRALIAN RAINFALL; TEMPORAL VARIABILITY; SNOW ACCUMULATION; POLAR-REGIONS; LAW DOME; ENSO; ICE; PRECIPITATION</t>
  </si>
  <si>
    <t>Weather systems in the southern Indian Ocean (SIO) drive synoptic-scale precipitation variability in East Antarctica and southern Australia. Improved understanding of these dynamical linkages is beneficial to diagnose long-term climate changes from climate proxy records as well as informing regional weather and climate forecasts. Self-organizing maps (SOMs) are used to group daily 500-hPa geopotential height (z500; ERA-Interim) anomalies into nine regional synoptic types based on their dominant patterns over the SIO (30 degrees-75 degrees S, 40 degrees-180 degrees E) from January 1979 to October 2018. The pattern anomalies represented include four meridional, three mixed meridional-zonal, one zonal, and one transitional node. The frequency of the meridional nodes shows limited association with the phase of the southern annular mode (SAM), especially during September-November. The zonal and mixed patterns were nevertheless strongly and significantly correlated with SAM, although the regional synoptic representation of SAM+ conditions was not zonally symmetric and was represented by three separate nodes. We recommend consideration of how different synoptic conditions vary the atmospheric representation of SAM+ in any given season in the SIO. These different types of SAM+ mean a hemispheric index fails to capture the regional variability in surface weather conditions that is primarily driven by the synoptic variability rather than the absolute polarity of the SAM.</t>
  </si>
  <si>
    <t>[Udy, Danielle G.; Holbrook, Neil J.] Univ Tasmania, Inst Marine &amp; Antarctic Studies, Hobart, Tas, Australia; [Udy, Danielle G.; Holbrook, Neil J.] Univ Tasmania, ARC Ctr Excellence Climate Extremes, Hobart, Tas, Australia; [Vance, Tessa R.; Curran, Mark A. J.] Univ Tasmania, Inst Marine &amp; Antarctic Studies, Australian Antarctic Program Partnership, Hobart, Tas, Australia; [Kiem, Anthony S.] Univ Newcastle, Fac Sci, Ctr Water Climate &amp; Land, Callaghan, NSW, Australia; [Curran, Mark A. J.] Australian Antarctic Div, Kingston, Tas, Australia</t>
  </si>
  <si>
    <t>University of Tasmania; University of Tasmania; University of Tasmania; University of Newcastle; Australian Antarctic Division</t>
  </si>
  <si>
    <t>Udy, DG (corresponding author), Univ Tasmania, Inst Marine &amp; Antarctic Studies, Hobart, Tas, Australia.;Udy, DG (corresponding author), Univ Tasmania, ARC Ctr Excellence Climate Extremes, Hobart, Tas, Australia.</t>
  </si>
  <si>
    <t>danielle.udy@utas.edu.au</t>
  </si>
  <si>
    <t>Holbrook, Neil/M-7544-2013; Kiem, Anthony/D-9307-2013</t>
  </si>
  <si>
    <t>Holbrook, Neil/0000-0002-3523-6254; Udy, Danielle/0000-0002-7422-1469; Kiem, Anthony/0000-0002-3994-6958</t>
  </si>
  <si>
    <t>Australian Research Training Program scholarship; Australian Research Council (ARC) Centre of Excellence for Climate Extremes; ARC [DP180102522]; ARC Special Research Initiative for Antarctic Gateway Partnership [SR140300001]; Australian Antarctic Program Partnership [ASCI000002]; ARC Centre of Excellence for Climate Extremes [CE170100023]; Australian Government; National Science Foundation [NSF P2C2 18041212]; Australian Antarctic Science projects [4414, 4537, 4061]</t>
  </si>
  <si>
    <t>Australian Research Training Program scholarship; Australian Research Council (ARC) Centre of Excellence for Climate Extremes(Australian Research Council); ARC(Australian Research Council); ARC Special Research Initiative for Antarctic Gateway Partnership; Australian Antarctic Program Partnership; ARC Centre of Excellence for Climate Extremes; Australian Government(Australian Government); National Science Foundation(National Science Foundation (NSF)); Australian Antarctic Science projects</t>
  </si>
  <si>
    <t>DU is supported by an Australian Research Training Program scholarship and the Australian Research Council (ARC) Centre of Excellence for Climate Extremes. TV and AK acknowledge support from an ARC Discovery Project (DP180102522). TV also acknowledges support from the ARC Special Research Initiative for Antarctic Gateway Partnership (SR140300001) and the Australian Antarctic Program Partnership (ASCI000002). NH acknowledges support from the ARC Centre of Excellence for Climate Extremes (CE170100023). Analyses were undertaken with assistance from the National Computational Infrastructure (NCI), supported by the Australian Government. We thank James Risbey, Mike Pook, and Carly Tozer for helpful discussions and engagement around this work. The authors declare no known conflict of interest. This work contributes to Australian Antarctic Science projects (4414, 4537, and 4061) and a National Science Foundation project (NSF P2C2 18041212).</t>
  </si>
  <si>
    <t>10.1175/JCLI-D-20-0297.1</t>
  </si>
  <si>
    <t>QD4IX</t>
  </si>
  <si>
    <t>WOS:000615485100003</t>
  </si>
  <si>
    <t>Blanchard-Wrigglesworth, E; Roach, LA; Donohoe, A; Ding, QH</t>
  </si>
  <si>
    <t>Blanchard-Wrigglesworth, Edward; Roach, Lettie A.; Donohoe, Aaron; Ding, Qinghua</t>
  </si>
  <si>
    <t>Impact of Winds and Southern Ocean SSTs on Antarctic Sea Ice Trends and Variability</t>
  </si>
  <si>
    <t>Antarctica; Sea ice; Atmosphere-ocean interaction; Climate models</t>
  </si>
  <si>
    <t>Antarctic sea ice extent (SIE) has slightly increased over the satellite observational period (1979 to the present) despite global warming. Several mechanisms have been invoked to explain this trend, such as changes in winds, precipitation, or ocean stratification, yet there is no widespread consensus. Additionally, fully coupled Earth system models run under historic and anthropogenic forcing generally fail to simulate positive SIB trends over this time period. In this work, we quantify the role of winds and Southern Ocean SSTs on sea ice trends and variability with an Earth system model run under historic and anthropogenic forcing that nudges winds over the polar regions and Southern Ocean SSTs north of the sea ice to observations from 1979 to 2018. Simulations with nudged winds alone capture the observed interannual variability in SIE and the observed long-term trends from the early 1990s onward, yet for the longer 1979-2018 period they simulate a negative SIB trend, in part due to faster-than-observed warming at the global and hemispheric scale in the model. Simulations with both nudged winds and SSTs show no significant SIE trends over 1979-2018, in agreement with observations. At the regional scale, simulated sea ice shows higher skill compared to the pan-Antarctic scale both in capturing trends and interannual variability in all nudged simulations. We additionally find negligible impact of the initial conditions in 1979 on long-term trends.</t>
  </si>
  <si>
    <t>[Blanchard-Wrigglesworth, Edward; Roach, Lettie A.] Univ Washington, Dept Atmospher Sci, Seattle, WA 98195 USA; [Donohoe, Aaron] Univ Washington, Appl Phys Lab, Polar Sci Ctr, Seattle, WA 98105 USA; [Ding, Qinghua] Univ Calif Santa Barbara, Dept Geog, Earth Res Inst, Santa Barbara, CA 93106 USA</t>
  </si>
  <si>
    <t>University of Washington; University of Washington Seattle; University of Washington; University of Washington Seattle; University of California System; University of California Santa Barbara</t>
  </si>
  <si>
    <t>Blanchard-Wrigglesworth, E (corresponding author), Univ Washington, Dept Atmospher Sci, Seattle, WA 98195 USA.</t>
  </si>
  <si>
    <t>ed@atmos.washington.edu</t>
  </si>
  <si>
    <t>Roach, Lettie/HKV-2511-2023</t>
  </si>
  <si>
    <t>Roach, Lettie/0000-0003-4189-3928</t>
  </si>
  <si>
    <t>National Science Foundation; National Science Foundation (NSF) Antarctic Program [PLR1643436]; NSF [PLR-1643431LR, OPP-1744598]</t>
  </si>
  <si>
    <t>National Science Foundation(National Science Foundation (NSF)); National Science Foundation (NSF) Antarctic Program(National Science Foundation (NSF)); NSF(National Science Foundation (NSF))</t>
  </si>
  <si>
    <t>We would like to acknowledge high-performance computing support from Cheyenne (doi:10.5065/D6RX99HX) provided byNCAR'sComputational and Information Systems Laboratory, sponsored by the National Science Foundation. We also acknowledge support from Patrick Callaghan of NCAR, who developed the atmospheric nudgingmodule for CAM, and Sally Zhang and Nan Rosenbloom of NCAR, who provided support with the SST nudging methodology. We thank Mitch Bushuk for discussion and Andrew Pauling for technical support. E.B. W. and A.D., were supported by the National Science Foundation (NSF) Antarctic Program PLR1643436, L.R., was supported byNSF Grant PLR-1643431LR, and Q. D., was supported by NSF's Polar Programs OPP-1744598.</t>
  </si>
  <si>
    <t>10.1175/JCLI-D-20-0386.1</t>
  </si>
  <si>
    <t>WOS:000615485100007</t>
  </si>
  <si>
    <t>Marshall, GJ</t>
  </si>
  <si>
    <t>Marshall, Gareth J.</t>
  </si>
  <si>
    <t>Decadal Variability in the Impact of Atmospheric Circulation Patterns on the Winter Climate of Northern Russia</t>
  </si>
  <si>
    <t>Arctic; Atmospheric circulation; Teleconnections; Climate variability; Decadal variability</t>
  </si>
  <si>
    <t>SURFACE AIR-TEMPERATURE; ARCTIC SEA-ICE; EAST-ATLANTIC PATTERN; PACIFIC OSCILLATION; GEOPOTENTIAL HEIGHT; PRECIPITATION; EURASIA; SNOW; DYNAMICS; EUROPE</t>
  </si>
  <si>
    <t>The Arctic continues to warm at a much faster rate than the global average. One process contributing to Arctic amplification involves changes in low-frequency macroscale atmospheric circulation patterns and their consequent influence on regional climate. Here, using ERAS data, we examine decadal changes in the impact of seven such patterns on winter near-surface temperature (SAT) and precipitation (PPN) in northern Russia and calculate the temporal consistency of any statistically significant relationships. We demonstrate that the 40-yr climatology hides considerable decadal variability in the spatial extent of such circulation pattern-climate relationships across the region, with few areas where their temporal consistency exceeds 60%. This is primarily a response to the pronounced decadal expansion/contraction and/or mobility of the circulation patterns' centers of action. The North Atlantic Oscillation (NAO) is the dominant pattern (having the highest temporal consistency) affecting SAT west of the Urals. Farther east, the Scandinavian (SCA), Polar/ Eurasian (POL), and West Pacific patterns are successively the dominant pattern influencing SAT across the West Siberian Plains, Central Siberian Plateau, and mountains of Far East Siberia, respectively. From west to east, the SCA, POL, and Pacific-North American patterns exert the most consistent decadal influence on PPN. The only temporally invariant significant decadal relationships occur between the NAO and SAT and the SCA and PPN in small areas of the North European Plain.</t>
  </si>
  <si>
    <t>[Marshall, Gareth J.] British Antarctic Survey, Cambridge, England</t>
  </si>
  <si>
    <t>Marshall, GJ (corresponding author), British Antarctic Survey, Cambridge, England.</t>
  </si>
  <si>
    <t>gjma@bas.ac.uk</t>
  </si>
  <si>
    <t>U.K. Natural Environment Research Council (NERC) through the British Antarctic Survey research programme Polar Science for Planet Earth; British-Russian project Multiplatform remote sensing of the impact of climate change on the northern forests of Russia - British Council [352397111]; Ministry of Science and Higher Education of the Russian Federation [RFMEFI61618 X0099]; NERC [bas0100032] Funding Source: UKRI</t>
  </si>
  <si>
    <t>U.K. Natural Environment Research Council (NERC) through the British Antarctic Survey research programme Polar Science for Planet Earth; British-Russian project Multiplatform remote sensing of the impact of climate change on the northern forests of Russia - British Council; Ministry of Science and Higher Education of the Russian Federation; NERC(UK Research &amp; Innovation (UKRI)Natural Environment Research Council (NERC))</t>
  </si>
  <si>
    <t>We thank the editor and three reviewers for their positive critiques and suggestions. G.J.M. was supported by the U.K. Natural Environment Research Council (NERC) through the British Antarctic Survey research programme Polar Science for Planet Earth. The research was undertaken under the auspices of the British-Russian project Multiplatform remote sensing of the impact of climate change on the northern forests of Russia, funded by the British Council (Grant 352397111) and the Ministry of Science and Higher Education of the Russian Federation (project RFMEFI61618 X0099).</t>
  </si>
  <si>
    <t>10.1175/JCLI-D-20-0566.1</t>
  </si>
  <si>
    <t>WOS:000615485100010</t>
  </si>
  <si>
    <t>Shaw, CT; Bi, HS; Feinberg, LR; Peterson, WT</t>
  </si>
  <si>
    <t>Shaw, C. Tracy; Bi, Hongsheng; Feinberg, Leah R.; Peterson, William T.</t>
  </si>
  <si>
    <t>Cohort analysis of Euphausia pacifica from the Northeast Pacific population using a Gaussian mixture model</t>
  </si>
  <si>
    <t>Euphausia pacifica; Northeast Pacific; Cohort analysis; Growth rate; Survivorship; Gaussian mixture model</t>
  </si>
  <si>
    <t>ANTARCTIC KRILL; VERTICAL MIGRATION; UPWELLING ZONE; SIZE STRUCTURE; GROWTH; OREGON; VARIABILITY; SUPERBA; SHRINKAGE; MECHANISM</t>
  </si>
  <si>
    <t>Euphausia pacifica cohorts were identified from biweekly zooplankton samples collected on the Newport Hydrographic Line (Newport, Oregon, USA) from 2001 to 2011. Cohorts were identified using a Gaussian mixture model and tracked over time from the juvenile stage through adulthood. Initial size mode at the juvenile stage was typically 4-5 mm and final size modes ranged from 12 to 18 mm. In total, 28 cohorts were identified, of which 22 appear to be complete cohorts that were tracked from start to finish during the 11-year study period. Of these 22 cohorts, 19 were tracked for &lt;= 1.5 years. The three cohorts tracked for &gt;2 years grew more slowly than other cohorts, though their final size modes were similar. These three cohorts were associated with delayed upwelling and moderate chlorophyll concentrations, suggesting that their extended duration and slower growth were related to suboptimal environmental conditions. Growth rates calculated from cohort size modes decreased overall as animals reached adult size. Cohort analysis captured some instances of negative growth, particularly after animals reached a total length of 10 mm, similar to instantaneous growth rates (IGR) measured in a previous study. Survivorship curves were created from eggs and larvae for each year from 2001 to 2005. Survivorship was similar among years except in 2005 when upwelling and subsequent spawning were delayed by one month. Based on the survivorship curves, the E. pacifica juvenile stage lasts an average of six months and the total life span in the study area is approximately two years. Successful identification and tracking of cohorts suggests that euphausiids at station NH25 are representative of the overall population dynamics of Euphausia pacifica in the shelf-break region off the Oregon Coast.</t>
  </si>
  <si>
    <t>[Shaw, C. Tracy; Bi, Hongsheng; Feinberg, Leah R.] Hatfield Marine Sci Ctr, Cooperat Inst Marine Resources Studies, 2030 SE Marine Sci Dr, Newport, OR 97365 USA; [Peterson, William T.] NOAA Fisheries, Northwest Fisheries Sci Ctr, 2030 SE Marine Sci Dr, Newport, OR 97365 USA; [Bi, Hongsheng] Univ Maryland, Chesapeake Biol Lab, Ctr Environm Sci, Solomons, MD 20688 USA; [Feinberg, Leah R.] Natl Marine Fisheries Serv, Silver Spring, MD 20910 USA</t>
  </si>
  <si>
    <t>National Oceanic Atmospheric Admin (NOAA) - USA; University System of Maryland; University of Maryland Center for Environmental Science; National Oceanic Atmospheric Admin (NOAA) - USA</t>
  </si>
  <si>
    <t>Shaw, CT (corresponding author), Univ S Florida, Coll Marine Sci, 140 7th Ave S,MSL 119, St Petersburg, FL 33701 USA.</t>
  </si>
  <si>
    <t>ctshaw@usf.edu</t>
  </si>
  <si>
    <t>Bi, Hongsheng/B-9409-2012</t>
  </si>
  <si>
    <t>Bi, Hongsheng/0000-0003-2595-6271</t>
  </si>
  <si>
    <t>NOAA/NWFSC; ONR/NOPP; NSF/CoOP/COAST; NOAA-GLOBEC; NSF/CoOP/RISE; NOAA-SAIP</t>
  </si>
  <si>
    <t>NOAA/NWFSC; ONR/NOPP(Office of Naval Research); NSF/CoOP/COAST; NOAA-GLOBEC; NSF/CoOP/RISE; NOAA-SAIP</t>
  </si>
  <si>
    <t>This research was conducted in conjunction with projects funded by NOAA/NWFSC, ONR/NOPP, NSF/CoOP/COAST, NOAA-GLOBEC, NSF/CoOP/RISE, and NOAA-SAIP.</t>
  </si>
  <si>
    <t>10.1016/j.pocean.2020.102495</t>
  </si>
  <si>
    <t>QH9BK</t>
  </si>
  <si>
    <t>WOS:000618567600005</t>
  </si>
  <si>
    <t>Lim, ZS; Wong, RR; Wong, CY; Zulkharnain, A; Shaharuddin, NA; Ahmad, SA</t>
  </si>
  <si>
    <t>Lim, Zheng Syuen; Wong, Rasidnie Razin; Wong, Chiew-Yen; Zulkharnain, Azham; Shaharuddin, Noor Azmi; Ahmad, Siti Aqlima</t>
  </si>
  <si>
    <t>Bibliometric Analysis of Research on Diesel Pollution in Antarctica and a Review on Remediation Techniques</t>
  </si>
  <si>
    <t>APPLIED SCIENCES-BASEL</t>
  </si>
  <si>
    <t>Antarctica; diesel pollution; hydrocarbon toxicity; remediation; phytoremediation</t>
  </si>
  <si>
    <t>CRUDE-OIL; CONTAMINATED SOIL; FUEL SPILL; BIOREMEDIATION; HYDROCARBONS; PETROLEUM; TOXICITY; BIODEGRADATION; REMOVAL; MEIOFAUNA</t>
  </si>
  <si>
    <t>Diesel is a fuel commonly used in Antarctica to supply vessels and domestic applications on site. The increasing human activities in the continent consequently have generated high fuel demand, which in turn has increased the occurrence of oil pollution due to accidental events during refueling. A related study received growing interest as more detrimental effects have been reported on Antarctic ecosystems. By adopting the bibliometric analysis, the research on diesel pollution in Antarctica collected in the Scopus database was systematically analysed. An increment in annual publication growth from 1980 to 2019 was observed and two research clusters were illustrated with hydrocarbons as the core keyword. Several attempts have been conducted over the past decades to remove anthropogenic hydrocarbon from previous abandoned whaling sites as well as recent oil spill incidents. However, the remote and polar conditions of Antarctica constrained the installation and operation of clean-up infrastructure. This review also briefly encompasses the approaches from past to present on the management of fuel pollution in Antarctica and highlights the potential of phytoremediation as a new bioremediation prospect.</t>
  </si>
  <si>
    <t>[Lim, Zheng Syuen; Wong, Rasidnie Razin; Shaharuddin, Noor Azmi; Ahmad, Siti Aqlima] Univ Putra Malaysia, Fac Biotechnol &amp; Biomol Sci, Dept Biochem, Serdang 43400, Malaysia; [Wong, Chiew-Yen] Int Med Univ, Sch Hlth Sci, Kuala Lumpur 57000, Malaysia; [Wong, Chiew-Yen; Ahmad, Siti Aqlima] Univ Malaya, Natl Antarctic Res Ctr, B303 Level 3,Block B,IPS Bldg, Kuala Lumpur 50603, Malaysia; [Zulkharnain, Azham] Shibaura Inst Technol, Coll Syst Engn &amp; Sci, Dept Biosci &amp; Engn, Minuma Ku, 307 Fukasaku, Saitama 3378570, Japan</t>
  </si>
  <si>
    <t>Universiti Putra Malaysia; International Medical University Malaysia; Universiti Malaya; Shibaura Institute of Technology</t>
  </si>
  <si>
    <t>Ahmad, SA (corresponding author), Univ Putra Malaysia, Fac Biotechnol &amp; Biomol Sci, Dept Biochem, Serdang 43400, Malaysia.;Ahmad, SA (corresponding author), Univ Malaya, Natl Antarctic Res Ctr, B303 Level 3,Block B,IPS Bldg, Kuala Lumpur 50603, Malaysia.</t>
  </si>
  <si>
    <t>syuenylim@gmail.com; msrasidnie21@gmail.com; WongChiewYen@imu.edu.my; azham@shibaura-it.ac.jp; noorazmi@upm.edu.my; aqlima@upm.edu.my</t>
  </si>
  <si>
    <t>Yen, Wong Chiew/AFY-1719-2022; Zulkharnain, Azham/AAV-1241-2020</t>
  </si>
  <si>
    <t>Zulkharnain, Azham/0000-0001-9173-8171; Shaharuddin, Noor Azmi/0000-0003-0057-9932; Lim, Zheng Syuen/0000-0002-8650-8408; Wong, Chiew-Yen/0000-0003-0534-6206; Ahmad, Siti Aqlima/0000-0002-7625-3704; Wong, Rasidnie/0000-0002-0664-5980</t>
  </si>
  <si>
    <t>Universiti Putra Malaysia [9300436, 9678900]; Yayasan Penyelidikan Antartika Sultan Mizan (YPASM) Research Grant 2020 on Phytoremediation Potential of Antarctic Microalgae on Diesel Hydrocarbons</t>
  </si>
  <si>
    <t>Universiti Putra Malaysia; Yayasan Penyelidikan Antartika Sultan Mizan (YPASM) Research Grant 2020 on Phytoremediation Potential of Antarctic Microalgae on Diesel Hydrocarbons</t>
  </si>
  <si>
    <t>This research was funded by Universiti Putra Malaysia, Matching Grant Putra 9300436 and Putra Berimpak 9678900 and Yayasan Penyelidikan Antartika Sultan Mizan (YPASM) Research Grant 2020 on Phytoremediation Potential of Antarctic Microalgae on Diesel Hydrocarbons.</t>
  </si>
  <si>
    <t>2076-3417</t>
  </si>
  <si>
    <t>APPL SCI-BASEL</t>
  </si>
  <si>
    <t>Appl. Sci.-Basel</t>
  </si>
  <si>
    <t>10.3390/app11031123</t>
  </si>
  <si>
    <t>Chemistry, Multidisciplinary; Engineering, Multidisciplinary; Materials Science, Multidisciplinary; Physics, Applied</t>
  </si>
  <si>
    <t>Chemistry; Engineering; Materials Science; Physics</t>
  </si>
  <si>
    <t>QC7IU</t>
  </si>
  <si>
    <t>WOS:000615007900001</t>
  </si>
  <si>
    <t>Guan, ZF; Cheng, X; Liu, Y; Li, T; Zhang, BG; Yu, ZT</t>
  </si>
  <si>
    <t>Guan, Zhenfu; Cheng, Xiao; Liu, Yan; Li, Teng; Zhang, Baogang; Yu, Zhitong</t>
  </si>
  <si>
    <t>Effectively Extracting Iceberg Freeboard Using Bi-Temporal Landsat-8 Panchromatic Image Shadows</t>
  </si>
  <si>
    <t>iceberg; freeboard; shadow height; Antarctic; Landsat-8; optical remote sensing</t>
  </si>
  <si>
    <t>FRESH-WATER FLUX; ICE; OCEAN; SCIENCE; CLIMATE</t>
  </si>
  <si>
    <t>The freshwater flux from icebergs into the Southern Ocean plays an important role in the global climate through its impact on the deep-water formation. Large uncertainties exist in the ice volume transported by Southern Ocean icebergs due to the sparse spatial and temporal coverage of observations, especially observations of ice thickness. The iceberg freeboard is a critical geometric parameter for measuring the thickness of an iceberg and then estimating its volume. This study developed a new, highly efficient shadow-height method to precisely measure the freeboard of various icebergs surrounded by sea ice using Landsat-8 Operational Land Imager 15-m bi-temporal panchromatic image shadows at low-solar-elevation angles. We evaluated and validated shadow length precision according to bi-temporal measurements and comparison with the measurements from the unmanned aerial vehicle. We determined freeboard precision according to shadow length precision and solar elevation angle. In our case study area, 4832 available freeboard measuring points with shadow length precision better than 2 pixels covered 376 icebergs with sizes ranging from 0.002 to 0.7 km(2) and with freeboard ranging from 2.3 to 83.4 m. At the solar elevation angles of 5.2 degrees, the freeboard precision of 64.1% data could reach 1 m and 86.9% could reach 2 m. Our proposed method effectively filled in the data gap of existing freeboard measurement methods.</t>
  </si>
  <si>
    <t>[Guan, Zhenfu; Cheng, Xiao; Liu, Yan; Li, Teng; Zhang, Baogang] Beijing Normal Univ, Coll Global Change &amp; Earth Syst Sci GCESS, State Key Lab Remote Sensing Sci, Beijing 100875, Peoples R China; [Cheng, Xiao; Liu, Yan; Zhang, Baogang] Southern Marine Sci &amp; Engn Guangdong Lab Zhuhai, Zhuhai 519082, Peoples R China; [Cheng, Xiao; Liu, Yan; Zhang, Baogang] Univ Corp Polar Res UCPR, Beijing 100875, Peoples R China; [Cheng, Xiao] Sun Yat Sen Univ, Sch Geospatial Engn &amp; Sci, Zhuhai 519082, Peoples R China; [Yu, Zhitong] China Acad Space Technol, Qian Xuesen Lab Space Technol, Beijing 100094, Peoples R China</t>
  </si>
  <si>
    <t>Beijing Normal University; Southern Marine Science &amp; Engineering Guangdong Laboratory; Southern Marine Science &amp; Engineering Guangdong Laboratory (Zhuhai); Sun Yat Sen University</t>
  </si>
  <si>
    <t>Liu, Y (corresponding author), Beijing Normal Univ, Coll Global Change &amp; Earth Syst Sci GCESS, State Key Lab Remote Sensing Sci, Beijing 100875, Peoples R China.;Liu, Y (corresponding author), Southern Marine Sci &amp; Engn Guangdong Lab Zhuhai, Zhuhai 519082, Peoples R China.;Liu, Y (corresponding author), Univ Corp Polar Res UCPR, Beijing 100875, Peoples R China.</t>
  </si>
  <si>
    <t>zhenfu_guan@mail.bnu.edu.cn; chengxiao9@mail.sysu.edu.cn; liuyan2013@bnu.edu.cn; 201531490018@mail.bnu.edu.cn; zhang_bob@bnu.edu.cn; yuzhitong@qxslab.cn</t>
  </si>
  <si>
    <t>Li, Teng/E-9284-2018</t>
  </si>
  <si>
    <t>Zhang, Baogang/0000-0002-0686-9220; Yu, Zhitong/0000-0002-1896-3011; Li, Teng/0000-0002-5620-3662</t>
  </si>
  <si>
    <t>National Natural Science Foundation of China [41925027]; National Key Research and Development Program of China [2016YFA0600103]; Qian Xuesen Lab.-DFH Sat. Co. Joint Research and Development Fund</t>
  </si>
  <si>
    <t>National Natural Science Foundation of China(National Natural Science Foundation of China (NSFC)); National Key Research and Development Program of China; Qian Xuesen Lab.-DFH Sat. Co. Joint Research and Development Fund</t>
  </si>
  <si>
    <t>This research was funded by the National Natural Science Foundation of China (Grant No. 41925027), the National Key Research and Development Program of China (Grant No. 2016YFA0600103), and the Qian Xuesen Lab.-DFH Sat. Co. Joint Research and Development Fund.</t>
  </si>
  <si>
    <t>10.3390/rs13030430</t>
  </si>
  <si>
    <t>QD4FE</t>
  </si>
  <si>
    <t>WOS:000615475400001</t>
  </si>
  <si>
    <t>Ponti, S; Guglielmin, M</t>
  </si>
  <si>
    <t>Ponti, Stefano; Guglielmin, Mauro</t>
  </si>
  <si>
    <t>Shore Evidences of a High Antarctic Ocean Wave Event: Geomorphology, Event Reconstruction and Coast Dynamics through a Remote Sensing Approach</t>
  </si>
  <si>
    <t>beach processes; coastal storm; coastal geomorphology; sea ice; Antarctica</t>
  </si>
  <si>
    <t>Remote sensing can be helpful in defining the dynamic of a high-latitude coastal environment where the role of cryogenic processes like sea-ice or permafrost are the main drivers together with storm surge and wind action. Here we examined the geomorphological dynamics of a beach located at Edmonson Point (74 degrees S) not far from the Italian Antarctic Station Mario Zucchelli between 1993 and 2019 using different remote sensing techniques and field measurements. Our data demonstrate that the average rate of surficial increase of the beach (0.002 +/- 0.032 m yr(-1)) was slightly higher than the uplift rate determined by previous authors (0-1 cm yr(-1)) in case of pure isostatic rebound. However, we suggest that the evolution of EPNB is likely due to the couple effect of vertical uplift and high wave-energy events. Indeed, the coastline accumulation could be related to the subsurface sea water infiltration and annually freezing at the permafrost table interface as aggradational ice as suggested by the ERT carried out in 1996. This ERT suggests the occurrence of saline frozen permafrost or hypersaline brines under the sea level while permafrost with ice occurred above the sea level. The beach also revealed areas that had quite high subsidence values (between 0.08 and 0.011 m yr(-1)) located in the area where ice content was higher in 1996 and where the active layer thickening and wind erosion could explain the measured erosion rates. Here, we also dated at the late morning of 15 February 2019 coastal flooding and defined a significant wave height of 1.95 m. During the high oceanic wave event the sea level increased advancing shoreward up to 360 m, three times higher than the previous reported storm surge (81 m) and with a sea level rise almost five times higher than has been previously recorded in the Ross Sea.</t>
  </si>
  <si>
    <t>[Ponti, Stefano; Guglielmin, Mauro] Insubria Univ, Dept Theoret &amp; Appl Sci, I-21100 Varese, Italy</t>
  </si>
  <si>
    <t>University of Insubria</t>
  </si>
  <si>
    <t>Guglielmin, M (corresponding author), Insubria Univ, Dept Theoret &amp; Appl Sci, I-21100 Varese, Italy.</t>
  </si>
  <si>
    <t>s.ponti@uninsubria.it; mauro.guglielmin@uninsubria.it</t>
  </si>
  <si>
    <t>Ponti, Stefano/AAB-3484-2021</t>
  </si>
  <si>
    <t>Ponti, Stefano/0000-0002-4718-165X</t>
  </si>
  <si>
    <t>PNRA (National Antarctic Program) [PNRA PNRA16_00194-A1, PNRA18_00186-E]</t>
  </si>
  <si>
    <t>PNRA (National Antarctic Program)</t>
  </si>
  <si>
    <t>Please add: This research was funded by PNRA (National Antarctic Program), grant number PNRA PNRA16_00194-A1 Climate Change and Permafrost Ecosystems in Continental Antarctica and PNRA18_00186-E Interactions between permafrost and ecosystems in Continental Antarctica).</t>
  </si>
  <si>
    <t>10.3390/rs13030518</t>
  </si>
  <si>
    <t>QD4GG</t>
  </si>
  <si>
    <t>WOS:000615478200001</t>
  </si>
  <si>
    <t>Shin, NY; Kug, JS; McCormack, FS; Holbrook, NJ</t>
  </si>
  <si>
    <t>Shin, Na-Yeon; Kug, Jong-Seong; McCormack, F. S.; Holbrook, Neil J.</t>
  </si>
  <si>
    <t>The Double-Peaked El Nino and Its Physical Processes</t>
  </si>
  <si>
    <t>Ocean dynamics; El Nino; Air-sea interaction; Heat budgets/fluxes</t>
  </si>
  <si>
    <t>Recently, El Nino diversity has been paid much attention because of its different global impacts. However, most studies have focused on a single warm peak in sea surface temperature anomalies (SSTAs), either in the central Pacific or the eastern Pacific Ocean. Here, we demonstrate from observational analyses that several recent El Nino events show double warm peaks in SSTA-called double-peaked (DP) El Nino-that have only been observed since 2000. The DP El Nino has two warm centers, which grow concurrently but separately, in both the central and eastern Pacific. In general, the atmospheric and oceanic patterns of the DP El Nino are similar to those of the warm-pool (WP) El Nino from the development phase, such that the central Pacific peak is developed by the zonal advective feedback and reduced wind speed anomalies. However, a distinctive difference exists in the eastern Pacific where the DP El Nino has a second SSTA peak. In addition, the DP El Nino shows more distinctive anomalous precipitation along the Pacific intertropical convergence zone (ITCZ) when compared with the WP El Nino. We demonstrate that the peculiar precipitation anomalies along the Pacific ITCZ play a critical role in enhancing the equatorial westerly wind stress anomalies, which help to develop the eastern SSTA peak by deepening the thermocline in the eastern Pacific.</t>
  </si>
  <si>
    <t>[Shin, Na-Yeon; Kug, Jong-Seong] Pohang Univ Sci &amp; Technol, Div Environm Sci &amp; Engn, Pohang, South Korea; [McCormack, F. S.] Monash Univ, Sch Earth Atmosphere &amp; Environm, Clayton, Vic, Australia; [Holbrook, Neil J.] Univ Tasmania, Inst Marine &amp; Antarctic Studies, Hobart, Tas, Australia; [Holbrook, Neil J.] Univ Tasmania, ARC Ctr Excellence Climate Extremes, Hobart, Tas, Australia</t>
  </si>
  <si>
    <t>Pohang University of Science &amp; Technology (POSTECH); Monash University; University of Tasmania; University of Tasmania</t>
  </si>
  <si>
    <t>Kug, JS (corresponding author), Pohang Univ Sci &amp; Technol, Div Environm Sci &amp; Engn, Pohang, South Korea.</t>
  </si>
  <si>
    <t>jskug1@gmail.com</t>
  </si>
  <si>
    <t>KUG, JONG-SEONG/A-8053-2013; McCormack, Felicity/B-9218-2015; Holbrook, Neil/M-7544-2013</t>
  </si>
  <si>
    <t>McCormack, Felicity/0000-0002-2324-2120; Holbrook, Neil/0000-0002-3523-6254</t>
  </si>
  <si>
    <t>National Research Foundation of Korea [NRF-2018R1A5A1024958]; Australian Research Council Centre of Excellence for Climate Extremes [CE170100023]; National Environmental Science Programme Earth Systems and Climate Change Hub</t>
  </si>
  <si>
    <t>National Research Foundation of Korea(National Research Foundation of Korea); Australian Research Council Centre of Excellence for Climate Extremes(Australian Research Council); National Environmental Science Programme Earth Systems and Climate Change Hub</t>
  </si>
  <si>
    <t>This study is supported by the National Research Foundation of Korea (NRF-2018R1A5A1024958). Author Holbrook acknowledges funding received from the Australian Research Council Centre of Excellence for Climate Extremes (CE170100023) and the National Environmental Science Programme Earth Systems and Climate Change Hub.</t>
  </si>
  <si>
    <t>10.1175/JCLI-D-20-0402.1</t>
  </si>
  <si>
    <t>QD4IY</t>
  </si>
  <si>
    <t>WOS:000615485200004</t>
  </si>
  <si>
    <t>Doddridge, EW; Marshall, J; Song, H; Campin, JM; Kelley, M</t>
  </si>
  <si>
    <t>Doddridge, Edward W.; Marshall, John; Song, Hajoon; Campin, Jean-Michel; Kelley, Maxwell</t>
  </si>
  <si>
    <t>Southern Ocean Heat Storage, Reemergence, and Winter Sea Ice Decline Induced by Summertime Winds</t>
  </si>
  <si>
    <t>Sea ice; Southern Ocean; Mixing; Atmosphere-ocean interaction; Oceanic mixed layer; Sea surface temperature</t>
  </si>
  <si>
    <t>The observational record shows a substantial 40-yr upward trend in summertime westerly winds over the Southern Ocean, as characterized by the southern annular mode (SAM) index. Enhanced summertime westerly winds have been linked to cold summertime sea surface temperature (SST) anomalies. Previous studies have suggested that Ekman transport or upwelling is responsible for this seasonal cooling. Here, another process is presented in which enhanced vertical mixing, driven by summertime wind anomalies, moves heat downward, cooling the sea surface and simultaneously warming the subsurface waters. The anomalously cold SSTs draw heat from the atmosphere into the ocean, leading to increased depth-integrated ocean heat content. The subsurface heat is returned to the surface mixed layer during the autumn and winter as the mixed layer deepens. leading to anomalously warm SSTs and potentially reducing sea ice cover. Observational analyses and numerical experiments support our proposed mechanism, showing that enhanced vertical mixing produces subsurface warming and cools the surface mixed layer. Nevertheless, the dominant driver of surface cooling remains uncertain; the relative importance of advective and mixing contributions to the surface cooling is model dependent. Modeling results suggest that sea ice volume is more sensitive to summertime winds than sea ice extent, implying that enhanced summertime westerly winds may lead to thinner sea ice in the following winter, if not lesser ice extent. Thus, strong summertime winds could precondition the sea ice cover for a rapid retreat in the following melt season.</t>
  </si>
  <si>
    <t>[Doddridge, Edward W.; Marshall, John; Campin, Jean-Michel] MIT, Earth Atmospher &amp; Planetary Sci, 77 Massachusetts Ave, Cambridge, MA 02139 USA; [Doddridge, Edward W.] Univ Tasmania, Inst Marine &amp; Antarctic Studies, Australian Antarctic Program Partnership, Hobart, Tas, Australia; [Song, Hajoon] Yonsei Univ, Dept Atmospher Sci, Seoul, South Korea; [Kelley, Maxwell] NASA, Goddard Inst Space Studies, New York, NY 10025 USA</t>
  </si>
  <si>
    <t>Massachusetts Institute of Technology (MIT); University of Tasmania; Yonsei University; National Aeronautics &amp; Space Administration (NASA); NASA Goddard Space Flight Center; Goddard Institute for Space Studies</t>
  </si>
  <si>
    <t>Doddridge, EW (corresponding author), MIT, Earth Atmospher &amp; Planetary Sci, 77 Massachusetts Ave, Cambridge, MA 02139 USA.;Doddridge, EW (corresponding author), Univ Tasmania, Inst Marine &amp; Antarctic Studies, Australian Antarctic Program Partnership, Hobart, Tas, Australia.</t>
  </si>
  <si>
    <t>edward.doddridge@utas.edu.au</t>
  </si>
  <si>
    <t>Doddridge, Edward/GRJ-6149-2022</t>
  </si>
  <si>
    <t>Doddridge, Edward/0000-0002-6097-5729</t>
  </si>
  <si>
    <t>NSF's Antarctic program; MIT-GISS collaborative agreement; NASA Physical Oceanography Program; Yonsei University Research Fund [2018-22-0053]; National Research Foundation of Korea (NRF) grant - Korea government (MSIST) [NRF-2019R1C1C1003663]; Australian Government as part of the Antarctic Science Collaboration Initiative program; NASA Modeling, Analysis, and Prediction program; NSF Polar Antarctic Program</t>
  </si>
  <si>
    <t>NSF's Antarctic program; MIT-GISS collaborative agreement; NASA Physical Oceanography Program(National Aeronautics &amp; Space Administration (NASA)); Yonsei University Research Fund; National Research Foundation of Korea (NRF) grant - Korea government (MSIST); Australian Government as part of the Antarctic Science Collaboration Initiative program(Australian Government); NASA Modeling, Analysis, and Prediction program(National Aeronautics &amp; Space Administration (NASA)); NSF Polar Antarctic Program</t>
  </si>
  <si>
    <t>We are grateful to three anonymous reviewers for their feedback and guidance. Their input has greatly improved this manuscript. We thank Alex Haumann for helpful comments on an earlier draft. E. Doddridge acknowledges support from the NSF's Antarctic program. J. Marshall acknowledges support from the MIT-GISS collaborative agreement, the NASA Physical Oceanography Program, and the NSF Polar Antarctic Program. H. Song is supported by Yonsei University Research Fund (2018-22-0053) and National Research Foundation of Korea (NRF) grant funded byKorea government (MSIST) (NRF-2019R1C1C1003663). 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GeoscienceAustralia, theBureau ofMeteorology, the Tasmanian State Government, and Australia's Integrated Marine Observing System. Climate modeling at NASA-GISS is supported by the NASA Modeling, Analysis, and Prediction program. Computational resources for the E2.1 simulations in this study were provided by the NASA High-End Computing Program through the NASA Center for Climate Simulation (NCCS) at Goddard Space Flight Center.</t>
  </si>
  <si>
    <t>10.1175/JCLI-D-20-0322.1</t>
  </si>
  <si>
    <t>WOS:000615485200011</t>
  </si>
  <si>
    <t>Couston, LA; Siegert, M</t>
  </si>
  <si>
    <t>Couston, Louis-Alexandre; Siegert, Martin</t>
  </si>
  <si>
    <t>Dynamic flows create potentially habitable conditions in Antarctic subglacial lakes</t>
  </si>
  <si>
    <t>Trapped beneath the Antarctic ice sheet lie over 400 subglacial lakes, which are considered to be extreme, isolated, yet viable habitats for microbial life. The physical conditions within subglacial lakes are critical to evaluating how and where life may best exist. Here, we propose that Earth's geothermal flux provides efficient stirring of Antarctic subglacial lake water. We demonstrate that most lakes are in a regime of vigorous turbulent vertical convection, enabling suspension of spherical particulates with diameters up to 36 micrometers. Thus, dynamic conditions support efficient mixing of nutrient- and oxygen-enriched meltwater derived from the overlying ice, which is essential for biome support within the water column. We caution that accreted ice analysis cannot always be used as a proxy for water sampling of lakes beneath a thin (&lt;3.166 kilometers) ice cover, because a stable layer isolates the well-mixed bulk water from the ice-water interface where freezing may occur.</t>
  </si>
  <si>
    <t>[Couston, Louis-Alexandre] British Antarctic Survey, Cambridge CB3 0ET, England; [Couston, Louis-Alexandre] Univ Cambridge, Dept Appl Math &amp; Theoret Phys, Cambridge CB3 0WA, England; [Couston, Louis-Alexandre] Univ Claude Bernard, Univ Lyon, ENS Lyon, CNRS,Lab Phys, F-69342 Lyon, France; [Siegert, Martin] Imperial Coll London, Grantham Inst, London SW7 2AZ, England; [Siegert, Martin] Imperial Coll London, Dept Earth Sci &amp; Engn, London SW7 2AZ, England</t>
  </si>
  <si>
    <t>UK Research &amp; Innovation (UKRI); Natural Environment Research Council (NERC); NERC British Antarctic Survey; University of Cambridge; Universite Claude Bernard Lyon 1; Ecole Normale Superieure de Lyon (ENS de LYON); Universite Paris Cite; Centre National de la Recherche Scientifique (CNRS); Imperial College London; Imperial College London</t>
  </si>
  <si>
    <t>Couston, LA (corresponding author), British Antarctic Survey, Cambridge CB3 0ET, England.;Couston, LA (corresponding author), Univ Cambridge, Dept Appl Math &amp; Theoret Phys, Cambridge CB3 0WA, England.;Couston, LA (corresponding author), Univ Claude Bernard, Univ Lyon, ENS Lyon, CNRS,Lab Phys, F-69342 Lyon, France.</t>
  </si>
  <si>
    <t>Siegert, Martin/M-9939-2019; Couston, Louis-Alexandre/ABC-7665-2020</t>
  </si>
  <si>
    <t>Siegert, Martin/0000-0002-0090-4806; Couston, Louis-Alexandre/0000-0002-2184-2472</t>
  </si>
  <si>
    <t>European Union's Horizon 2020 Research and Innovation Programme under the Marie Sklodowska-Curie grant [793450]; Marie Curie Actions (MSCA) [793450] Funding Source: Marie Curie Actions (MSCA); NERC [bas0100033] Funding Source: UKRI</t>
  </si>
  <si>
    <t>European Union's Horizon 2020 Research and Innovation Programme under the Marie Sklodowska-Curie grant(Marie Curie Actions); Marie Curie Actions (MSCA)(Marie Curie Actions); NERC(UK Research &amp; Innovation (UKRI)Natural Environment Research Council (NERC))</t>
  </si>
  <si>
    <t>This project has received funding from the European Union's Horizon 2020 Research and Innovation Programme under the Marie Sklodowska-Curie grant agreement 793450. We acknowledge PRACE for awarding us access to Marconi at CINECA, Italy.</t>
  </si>
  <si>
    <t>eabc3972</t>
  </si>
  <si>
    <t>10.1126/sciadv.abc3972</t>
  </si>
  <si>
    <t>QK1NC</t>
  </si>
  <si>
    <t>Green Accepted, Green Published, Green Submitted, gold</t>
  </si>
  <si>
    <t>WOS:000620146100005</t>
  </si>
  <si>
    <t>Owen, K; Saeki, K; Warren, JD; Bocconcelli, A; Wiley, DN; Ohira, SI; Bombosch, A; Toda, K; Zitterbart, DP</t>
  </si>
  <si>
    <t>Owen, Kylie; Saeki, Kentaro; Warren, Joseph D.; Bocconcelli, Alessandro; Wiley, David N.; Ohira, Shin-Ichi; Bombosch, Annette; Toda, Kei; Zitterbart, Daniel P.</t>
  </si>
  <si>
    <t>Natural dimethyl sulfide gradients would lead marine predators to higher prey biomass</t>
  </si>
  <si>
    <t>Finding prey is essential to survival, with marine predators hypothesised to track chemicals such as dimethyl sulfide (DMS) while foraging. Many predators are attracted to artificially released DMS, and laboratory experiments have shown that zooplankton grazing on phytoplankton accelerates DMS release. However, whether natural DMS concentrations are useful for predators and correlated to areas of high prey biomass remains a fundamental knowledge gap. Here, we used concurrent hydroacoustic surveys and in situ DMS measurements to present evidence that zooplankton biomass is spatially correlated to natural DMS concentration in air and seawater. Using agent simulations, we also show that following gradients of DMS would lead zooplankton predators to areas of higher prey biomass than swimming randomly. Further understanding of the conditions and scales over which these gradients occur, and how they are used by predators, is essential to predicting the impact of future changes in the ocean on predator foraging success. Kylie Owen et al. sample concurrent prey biomass and natural dimethyl sulfide (DMS) concentration, and show that these variables are correlated in air and seawater. Agent simulations show that following fine-scale gradients of DMS would lead zooplankton predators to higher prey biomass, shedding light on how marine predators may use these cues for foraging.</t>
  </si>
  <si>
    <t>[Owen, Kylie; Bocconcelli, Alessandro; Bombosch, Annette; Zitterbart, Daniel P.] Woods Hole Oceanog Inst, Appl Ocean Phys &amp; Engn Dept, Woods Hole, MA 02543 USA; [Owen, Kylie] Univ Tasmania, Ecol &amp; Biodivers Ctr, Inst Marine &amp; Antarctic Studies, Battery Point, Tas, Australia; [Owen, Kylie] Swedish Museum Nat Hist, Dept Environm Res &amp; Monitoring, Stockholm, Sweden; [Saeki, Kentaro; Ohira, Shin-Ichi; Toda, Kei] Kumamoto Univ, Dept Chem, Kumamoto, Japan; [Warren, Joseph D.] SUNY Stony Brook, Sch Marine &amp; Atmospher Sci, Southampton, NY USA; [Wiley, David N.] NOAA, Stellwagen Bank Natl Marine Sanctuary, Natl Ocean Serv, Scituate, MA USA; [Zitterbart, Daniel P.] Friedrich Alexander Univ Erlangen Nurnberg, Biophys Lab, Erlangen, Germany; [Zitterbart, Daniel P.] Kumamoto Univ, Int Res Org Adv Sci &amp; Technol IROAST, Kumamoto, Japan</t>
  </si>
  <si>
    <t>Woods Hole Oceanographic Institution; University of Tasmania; Swedish Museum of Natural History; Kumamoto University; State University of New York (SUNY) System; State University of New York (SUNY) Stony Brook; National Oceanic Atmospheric Admin (NOAA) - USA; National Ocean Service, NOAA; University of Erlangen Nuremberg; Kumamoto University</t>
  </si>
  <si>
    <t>Zitterbart, DP (corresponding author), Woods Hole Oceanog Inst, Appl Ocean Phys &amp; Engn Dept, Woods Hole, MA 02543 USA.;Toda, K (corresponding author), Kumamoto Univ, Dept Chem, Kumamoto, Japan.;Zitterbart, DP (corresponding author), Friedrich Alexander Univ Erlangen Nurnberg, Biophys Lab, Erlangen, Germany.;Zitterbart, DP (corresponding author), Kumamoto Univ, Int Res Org Adv Sci &amp; Technol IROAST, Kumamoto, Japan.</t>
  </si>
  <si>
    <t>todakei@kumamoto-u.ac.jp; dpz@whoi.edu</t>
  </si>
  <si>
    <t>Zitterbart, Daniel P/N-7489-2013; Owen, Kylie/K-9400-2015</t>
  </si>
  <si>
    <t>Ohira, Shin-Ichi/0000-0002-5958-339X; Zitterbart, Daniel/0000-0001-9429-4350; Saeki, Kentaro/0000-0003-2401-3570; Toda, Kei/0000-0001-6577-1752</t>
  </si>
  <si>
    <t>10.1038/s42003-021-01668-3</t>
  </si>
  <si>
    <t>QF5KM</t>
  </si>
  <si>
    <t>WOS:000616932800001</t>
  </si>
  <si>
    <t>Ponti, S; Scipinotti, R; Pierattini, S; Guglielmin, M</t>
  </si>
  <si>
    <t>Ponti, Stefano; Scipinotti, Riccardo; Pierattini, Samuele; Guglielmin, Mauro</t>
  </si>
  <si>
    <t>The Spatio-Temporal Variability of Frost Blisters in a Perennial Frozen Lake along the Antarctic Coast as Indicator of the Groundwater Supply</t>
  </si>
  <si>
    <t>frost mounds; frozen lakes; structure from motion; Antarctic coasts</t>
  </si>
  <si>
    <t>Remote sensing, and unmanned aerial vehicles (UAVs) in particular, can be a valid tool for assessing the dynamics of cryotic features as frost blisters and to monitor the surface changes and the sublimation rates on perennially frozen lakes that host important ecosystems. In this paper, through the use of these remote sensing techniques, we aim to understand the type of groundwater supply of an Antarctic perennial frozen lake that encompasses two frost blisters (M1 and M2) through the temporal analysis of the features' elevation changes (frost blisters and lake ice level). The frozen lake is located at Boulder Clay (northern Victoria Land, Antarctica). We relied on several photogrammetric models, past satellite images and ground pictures to conduct differencing of digital elevation models, areal variations and pixel counting. In addition, in situ measurements of the ice sublimation or snow accumulation were carried out. The two frost blisters showed different elevation trends with M1 higher in the past (1996-2004) than recently (2014-2019), while M2 showed an opposite trend, similarly to the ice level. Indeed, the linear regression between M2 elevation changes and the ice level variation was statistically significant, as well as with the annual thawing degree days, while M1 did not show significant results. From these results we can infer that the groundwater supply of M1 can be related to a sublake open talik (hydraulic system) as confirmed also by pressurized brines found below M1, during a drilling in summer 2019. For M2 the groundwater flow is still not completely clear although the hydrostatic system seems the easiest explanation as well as for the uplift of the lake ice.</t>
  </si>
  <si>
    <t>[Ponti, Stefano; Guglielmin, Mauro] Insubria Univ, Dept Theoret &amp; Appl Sci, I-21100 Varese, Italy; [Scipinotti, Riccardo] Natl Agcy New Technol, Tech Antarctic Unite Energy &amp; Sustainable Econ De, I-40129 Bologna, Italy; [Pierattini, Samuele] Natl Agcy New Technol Energy &amp; Sustainable Econ D, Comp Syst &amp; ICT Dev, I-50019 Sesto Fiorentino, Italy</t>
  </si>
  <si>
    <t>University of Insubria; Italian National Agency New Technical Energy &amp; Sustainable Economics Development; Italian National Agency New Technical Energy &amp; Sustainable Economics Development</t>
  </si>
  <si>
    <t>s.ponti@uninsubria.it; riccardo.scipinotti@enea.it; samuele.pierattini@enea.it; mauro.guglielmin@uninsubria.it</t>
  </si>
  <si>
    <t>Ponti, Stefano/0000-0002-4718-165X; Pierattini, Samuele/0009-0000-3428-496X; Scipinotti, Riccardo/0000-0002-0291-7272</t>
  </si>
  <si>
    <t>PNRA [PNRA16_00194-A1, PNRA18_00186-E]</t>
  </si>
  <si>
    <t>This research was funded by PNRA, grant number PNRA16_00194-A1 Climate Change and Permafrost Ecosystems in Continental Antarctica and PNRA18_00186-E Interactions between permafrost and ecosystems in Continental Antarctica.</t>
  </si>
  <si>
    <t>10.3390/rs13030435</t>
  </si>
  <si>
    <t>QD4WT</t>
  </si>
  <si>
    <t>WOS:000615521100001</t>
  </si>
  <si>
    <t>Zhan, JG; Shi, HL; Wang, Y; Yao, YX</t>
  </si>
  <si>
    <t>Zhan, Jingang; Shi, Hongling; Wang, Yong; Yao, Yixin</t>
  </si>
  <si>
    <t>Complex Principal Component Analysis of Antarctic Ice Sheet Mass Balance</t>
  </si>
  <si>
    <t>grace gravity satellite; El Niñ o; ice sheet mass balance; complex principal component analysis</t>
  </si>
  <si>
    <t>Ice sheet changes of the Antarctic are the result of interactions among the ocean, atmosphere, and ice sheet. Studying the ice sheet mass variations helps us to understand the possible reasons for these changes. We used 164 months of Gravity Recovery and Climate Experiment (GRACE) satellite time-varying solutions to study the principal components (PCs) of the Antarctic ice sheet mass change and their time-frequency variation. This assessment was based on complex principal component analysis (CPCA) and the wavelet amplitude-period spectrum (WAPS) method to study the PCs and their time-frequency information. The CPCA results revealed the PCs that affect the ice sheet balance, and the wavelet analysis exposed the time-frequency variation of the quasi-periodic signal in each component. The results show that the first PC, which has a linear term and low-frequency signals with periods greater than five years, dominates the variation trend of ice sheet in the Antarctic. The ratio of its variance to the total variance shows that the first PC explains 83.73% of the mass change in the ice sheet. Similar low-frequency signals are also found in the meridional wind at 700 hPa in the South Pacific and the sea surface temperature anomaly (SSTA) in the equatorial Pacific, with the correlation between the low-frequency periodic signal of SSTA in the equatorial Pacific and the first PC of the ice sheet mass change in Antarctica found to be 0.73. The phase signals in the mass change of West Antarctica indicate the upstream propagation of mass loss information over time from the ocean-ice interface to the southward upslope, which mainly reflects ocean-driven factors such as enhanced ice-ocean interaction and the intrusion of warm saline water into the cavities under ice shelves associated with ice sheets which sit on retrograde slopes. Meanwhile, the phase signals in the mass change of East Antarctica indicate the downstream propagation of mass increase information from the South Pole toward Dronning Maud Land, which mainly reflects atmospheric factors such as precipitation accumulation.</t>
  </si>
  <si>
    <t>[Zhan, Jingang; Shi, Hongling; Wang, Yong] Chinese Acad Sci, Innovat Acad Precis Measurement Sci &amp; Technol, State Key Lab Geodesy &amp; Earths Dynam, Wuhan 430077, Peoples R China; [Yao, Yixin] Natl Satellite Meteorol Ctr, Beijing 100081, Peoples R China</t>
  </si>
  <si>
    <t>Chinese Academy of Sciences; Innovation Academy for Precision Measurement Science &amp; Technology, CAS</t>
  </si>
  <si>
    <t>Zhan, JG (corresponding author), Chinese Acad Sci, Innovat Acad Precis Measurement Sci &amp; Technol, State Key Lab Geodesy &amp; Earths Dynam, Wuhan 430077, Peoples R China.</t>
  </si>
  <si>
    <t>zjg@apm.ac.cn; hlshi@apm.ac.cn; ywang@apm.ac.cn; yaoyx@cma.gov.cn</t>
  </si>
  <si>
    <t>SHI, HL/HHC-5506-2022</t>
  </si>
  <si>
    <t>SHI, HL/0000-0003-2045-7115</t>
  </si>
  <si>
    <t>National Natural Science Foundation of China [41874093, 41774022, 42074094, 41574073]</t>
  </si>
  <si>
    <t>This research was funded by National Natural Science Foundation of China (grant 41874093, 41774022, 42074094, 41574073).</t>
  </si>
  <si>
    <t>10.3390/rs13030480</t>
  </si>
  <si>
    <t>QD4CA</t>
  </si>
  <si>
    <t>WOS:000615467200001</t>
  </si>
  <si>
    <t>Lo Giudice, A; Conte, A; Papale, M; Rizzo, C; Azzaro, M; Guglielmin, M</t>
  </si>
  <si>
    <t>Lo Giudice, Angelina; Conte, Antonella; Papale, Maria; Rizzo, Carmen; Azzaro, Maurizio; Guglielmin, Mauro</t>
  </si>
  <si>
    <t>Prokaryotic Diversity and Metabolically Active Communities in Brines from Two Perennially Ice-Covered Antarctic Lakes</t>
  </si>
  <si>
    <t>ASTROBIOLOGY</t>
  </si>
  <si>
    <t>Prokaryotic diversity and activities; Extremophiles; Methanogens; Thermophiles; Halophiles</t>
  </si>
  <si>
    <t>The genomic diversity of bacteria and archaea in brines (BC1, BC2, and BC3) from two adjacent and perennially frozen Antarctic lakes (L16 and L-2) in the Boulder Clay (BC) area was investigated together with the metabolically active fraction of both communities, by analyzing the bulk rRNA as a general marker of metabolic activity. Although similar bacterial and archaeal assemblages were observed at phylum level, differences were encountered when considering the distribution in species. Overall, the total bacterial communities were dominated by Bacteroidetes. A massive occurrence of flavobacterial sequences was observed within the metabolically active bacterial communities of the BC1 brine, whereas the active fractions in BC2 and BC3 strongly differed from the bulk communities being dominated by Betaproteobacteria (mainly Hydrogenophaga members). The BC lakes also hosted sequences of the most thermally tolerant archaea, also related to well-known hyperthermophiles. Interestingly, RNA sequences of the hyperthermophilic genus Ferroglobus were retrieved in all brine samples. Finally, a high abundance of the strictly anaerobic methanogens (such as Methanosarcina members) within the active community suggests that anoxic conditions might occur in the lake brines. Our findings indicate perennially ice-covered Antarctic lakes as plausible terrestrial candidates for the study of the potential for extant life on different bodies of our solar system.</t>
  </si>
  <si>
    <t>[Lo Giudice, Angelina; Papale, Maria; Azzaro, Maurizio] Natl Res Council ISP CNR, Inst Polar Sci, Spianata S Raineri 86, I-98122 Messina, Italy; [Lo Giudice, Angelina; Conte, Antonella] Univ Messina, Dept Chem Biol Pharmaceut &amp; Environm Sci, Messina, Italy; [Rizzo, Carmen] Natl Inst Biol, Stn Zool Anton Dohrn, Dept BIOTECH, Messina, Italy; [Guglielmin, Mauro] Univ Insubria, Dipartimento Sci Teor &amp; Applicate, Varese, Italy</t>
  </si>
  <si>
    <t>Consiglio Nazionale delle Ricerche (CNR); Istituto di Scienze Polari (ISP-CNR); University of Messina; Stazione Zoologica Anton Dohrn di Napoli; University of Insubria</t>
  </si>
  <si>
    <t>Lo Giudice, A (corresponding author), Natl Res Council ISP CNR, Inst Polar Sci, Spianata S Raineri 86, I-98122 Messina, Italy.</t>
  </si>
  <si>
    <t>angelina.logiudice@cnr.it</t>
  </si>
  <si>
    <t>Rizzo, Carmen/AAA-3075-2022; Papale, Maria/IVV-7230-2023; Rizzo, Carmen/S-6285-2019; Conte, Antonella/J-4508-2012; azzaro, Maurizio/AAE-6784-2019</t>
  </si>
  <si>
    <t>azzaro, Maurizio/0000-0001-7885-2340</t>
  </si>
  <si>
    <t>National Antarctic Research Program (PNRA), Italian Ministry of Education and Research [PNRA 2013/AZ1.05, PNRA 2016_00194-A1, PNRA 2018_00186-E]</t>
  </si>
  <si>
    <t>National Antarctic Research Program (PNRA), Italian Ministry of Education and Research</t>
  </si>
  <si>
    <t>This study was supported by grants from the National Antarctic Research Program (PNRA), Italian Ministry of Education and Research (Research Projects PNRA 2013/AZ1.05; PNRA 2016_00194-A1; and PNRA 2018_00186-E).</t>
  </si>
  <si>
    <t>MARY ANN LIEBERT, INC</t>
  </si>
  <si>
    <t>NEW ROCHELLE</t>
  </si>
  <si>
    <t>140 HUGUENOT STREET, 3RD FL, NEW ROCHELLE, NY 10801 USA</t>
  </si>
  <si>
    <t>1531-1074</t>
  </si>
  <si>
    <t>1557-8070</t>
  </si>
  <si>
    <t>Astrobiology</t>
  </si>
  <si>
    <t>10.1089/ast.2020.2238</t>
  </si>
  <si>
    <t>Astronomy &amp; Astrophysics; Biology; Geosciences, Multidisciplinary</t>
  </si>
  <si>
    <t>Astronomy &amp; Astrophysics; Life Sciences &amp; Biomedicine - Other Topics; Geology</t>
  </si>
  <si>
    <t>RY0XD</t>
  </si>
  <si>
    <t>WOS:000614551900001</t>
  </si>
  <si>
    <t>He, YY; Qu, CF; Zhang, LP; Miao, JL</t>
  </si>
  <si>
    <t>He, Yingying; Qu, Changfeng; Zhang, Liping; Miao, Jinlai</t>
  </si>
  <si>
    <t>DNA photolyase from Antarctic marine bacterium Rhodococcus sp. NJ-530 can repair DNA damage caused by ultraviolet</t>
  </si>
  <si>
    <t>3 BIOTECH</t>
  </si>
  <si>
    <t>Antarctica; Rhodococcus sp; NJ-530; Photolyase; DNA damage; DNA repair; Photorepair</t>
  </si>
  <si>
    <t>CANCERIZATION FIELD; ACTINIC KERATOSIS; GENE; SKIN; EXPRESSION; MECHANISMS; RADIATION; ENZYME; CRYPTOCHROME; NONMELANOMA</t>
  </si>
  <si>
    <t>Marine bacterium Rhodococcus sp. NJ-530 has developed several ultraviolet (UV) adaptive characteristics for survival and growth in extreme Antarctic environment. Rhodococcus sp. NJ-530 DNA photolyase encoded by a 1146 bp photolyase-homologous region (phr) was identified in genome. Quantitative real-time PCR demonstrated that transcriptional levels of phr were highly up-regulated by ultraviolet-B (UV-B) radiation (90 mu W center dot cm(-2)) and increased to a maximum of 149.17-fold after exposure for 20 min. According to the results of SDS-PAGE and western blot, PHR was effectively induced by isopropyl-beta-d-1-thiogalactopyranoside (IPTG) at the genetically engineered BL21(DE3)-pET-32a( +)-phr construct under the condition of 15 degrees C for 16 h and 37 degrees C for 4 h. In terms of in vivo activity, compared with a phr-defective E. coli strain, phr-transformed E. coli exhibited higher survival rate under high UV-B intensity of 90 mu W center dot cm(-2). Meanwhile, the purified PHR, with blue light, presented obvious photorepair activity toward UV-induced DNA damage in vitro assays. To sum up, studying the mechanisms of Rhodococcus sp. NJ-530 photolyase is of great interest to understand the adaptation of polar bacteria to high UV radiation, and such data present important therapeutic value for further UV-induced human skin and genetic damage diseases.</t>
  </si>
  <si>
    <t>[He, Yingying; Zhang, Liping; Miao, Jinlai] Qingdao Univ, Sch Basic Med, Dept Specialty Med, Qingdao 266071, Peoples R China; [He, Yingying; Qu, Changfeng; Zhang, Liping; Miao, Jinlai] Minist Nat Resource, Inst Oceanog 1, Key Lab Marine Ecoenvironm Sci &amp; Technol, Qingdao 266061, Peoples R China; [Qu, Changfeng; Miao, Jinlai] Qingdao Pilot Natl Lab Marine Sci &amp; Technol, Lab Marine Drugs &amp; Bioprod, Qingdao 266237, Peoples R China</t>
  </si>
  <si>
    <t>Qingdao University; Laoshan Laboratory</t>
  </si>
  <si>
    <t>Miao, JL (corresponding author), Qingdao Univ, Sch Basic Med, Dept Specialty Med, Qingdao 266071, Peoples R China.;Qu, CF; Miao, JL (corresponding author), Minist Nat Resource, Inst Oceanog 1, Key Lab Marine Ecoenvironm Sci &amp; Technol, Qingdao 266061, Peoples R China.;Qu, CF; Miao, JL (corresponding author), Qingdao Pilot Natl Lab Marine Sci &amp; Technol, Lab Marine Drugs &amp; Bioprod, Qingdao 266237, Peoples R China.</t>
  </si>
  <si>
    <t>cfqu@fio.org.cn; miaojinlai@fio.org.cn</t>
  </si>
  <si>
    <t>He, Ying Ying/HZL-0137-2023</t>
  </si>
  <si>
    <t>He, Ying Ying/0000-0002-8759-3157</t>
  </si>
  <si>
    <t>National Key Research and Development Program of China [2018YFD0900705]; China Ocean Mineral Resources RD Association [DY135-B2-14]; Natural Science Foundation of China [41576187]; Natural Science Foundation of Shandong [ZR2019BD023]; Key Research and Development Program of Shandong Province [2018GHY115034, 2018GHY115039]; Ningbo Public Service Platform for High-Value Utilization of Marine Biological Resources [NBHY-2017-P2]; Youth Fund Project of Shandong Natural Science Foundation [ZR2017QD008]</t>
  </si>
  <si>
    <t>National Key Research and Development Program of China; China Ocean Mineral Resources RD Association; Natural Science Foundation of China(National Natural Science Foundation of China (NSFC)); Natural Science Foundation of Shandong(Natural Science Foundation of Shandong Province); Key Research and Development Program of Shandong Province; Ningbo Public Service Platform for High-Value Utilization of Marine Biological Resources; Youth Fund Project of Shandong Natural Science Foundation</t>
  </si>
  <si>
    <t>This study was funded by the National Key Research and Development Program of China (2018YFD0900705), the China Ocean Mineral Resources R&amp;D Association (DY135-B2-14), the Natural Science Foundation of China (41576187), the Natural Science Foundation of Shandong (ZR2019BD023), Key Research and Development Program of Shandong Province (2018GHY115034, 2018GHY115039), Ningbo Public Service Platform for High-Value Utilization of Marine Biological Resources (NBHY-2017-P2), and Youth Fund Project of Shandong Natural Science Foundation (ZR2017QD008).</t>
  </si>
  <si>
    <t>2190-572X</t>
  </si>
  <si>
    <t>2190-5738</t>
  </si>
  <si>
    <t>3 Biotech</t>
  </si>
  <si>
    <t>10.1007/s13205-021-02660-8</t>
  </si>
  <si>
    <t>QA5FM</t>
  </si>
  <si>
    <t>WOS:000613469200001</t>
  </si>
  <si>
    <t>Berneira, LM; da Silva, CC; Passos, LF; Mansilla, A; dos Santos, MAZ; de Pereira, CMP</t>
  </si>
  <si>
    <t>Berneira, Lucas Moraes; da Silva, Caroline Carapina; Passos, Luan Ferreira; Mansilla, Andres; dos Santos, Marco Aurelio Ziemann; de Pereira, Claudio Martin Pereira</t>
  </si>
  <si>
    <t>Evaluation of volatile organic compounds in brown and red sub-Antarctic macroalgae</t>
  </si>
  <si>
    <t>Gas chromatography-mass spectrometry; Ochrophyta; Rhodophyta; Sub-Antarctic region; Volatile organic compounds</t>
  </si>
  <si>
    <t>Volatile organic compounds (VOCs) comprise a wide range of compounds with low molecular weight that are released from seaweeds as secondary metabolites. Therefore, the aim of this work was to evaluate the profile of VOCs from six sub-Antarctic macroalgae by means of gas chromatography-mass spectrometry. Results indicated that the studied seaweeds contained approximately 40 different compounds found as aldehydes, ketones, hydrocarbons and alcohols, for instance. For brown macroalgae, hexanal was found in greater amounts (12.87-29.46%) followed by 2-pentylfuran (5.52-11.61%) and pentadecane (4.29-10.28%), while red seaweeds were mainly composed of heptadecane (27.79-85.12%), hexanal (1.78-11.62%) and benzaldehyde (1.36-2.87%). Further evaluation using principal component analysis showed that distinct compositions of VOCs could differentiate brown and red seaweeds. Therefore, sub-Antarctic macroalgae had their VOCs elucidated for the first time assisting in the efforts for understanding their biochemical constitution as well as supporting in further potential pharmacological and biotechnological applications.</t>
  </si>
  <si>
    <t>[Berneira, Lucas Moraes; da Silva, Caroline Carapina; Passos, Luan Ferreira; dos Santos, Marco Aurelio Ziemann; de Pereira, Claudio Martin Pereira] Univ Fed Pelotas, Ctr Chem Pharmaceut &amp; Food Sci, Lipid &amp; Bioorgan Lab, Bioforens Res Grp, Eliseu Maciel St S-N, BR-96900010 Pelotas, RS, Brazil; [Mansilla, Andres] Univ Magallanes, Biodivers &amp; Ecol Inst, Antarctic &amp; Subantarctic Marine Ecosyst Lab, 01855 Bulnes Ave, Punta Arenas 6200000, Chile</t>
  </si>
  <si>
    <t>Universidade Federal de Pelotas; Universidad de Magallanes</t>
  </si>
  <si>
    <t>de Pereira, CMP (corresponding author), Univ Fed Pelotas, Ctr Chem Pharmaceut &amp; Food Sci, Lipid &amp; Bioorgan Lab, Bioforens Res Grp, Eliseu Maciel St S-N, BR-96900010 Pelotas, RS, Brazil.</t>
  </si>
  <si>
    <t>Passos, Luan Ferreira/AAP-9377-2020</t>
  </si>
  <si>
    <t>Passos, Luan Ferreira/0000-0002-0137-0930; Mansilla, Andres/0000-0003-3505-7018</t>
  </si>
  <si>
    <t>Antarctic and Sub-Antarctic Marine Ecosystems Laboratory, Coordination for Improvement of Higher Level Personnel [CAPES-PGCI-99999.002378/2015]; Research Support Foundation of the Rio Grande do Sul State (FAPERGS)</t>
  </si>
  <si>
    <t>Antarctic and Sub-Antarctic Marine Ecosystems Laboratory, Coordination for Improvement of Higher Level Personnel; Research Support Foundation of the Rio Grande do Sul State (FAPERGS)(Fundacao de Amparo a Ciencia e Tecnologia do Estado do Rio Grande do Sul (FAPERGS))</t>
  </si>
  <si>
    <t>The authors are thankful to the Antarctic and Sub-Antarctic Marine Ecosystems Laboratory, Coordination for Improvement of Higher Level Personnel (CAPES-PGCI-99999.002378/2015) and to the Research Support Foundation of the Rio Grande do Sul State (FAPERGS).</t>
  </si>
  <si>
    <t>10.1007/s40415-020-00684-7</t>
  </si>
  <si>
    <t>QH6JZ</t>
  </si>
  <si>
    <t>WOS:000613611600003</t>
  </si>
  <si>
    <t>Martínez, D; Moncada-Kopp, C; Paschke, K; Navarro, JM; Vargas-Chacoff, L</t>
  </si>
  <si>
    <t>Martinez, Danixa; Moncada-Kopp, Catalina; Paschke, Kurt; Navarro, Jorge M.; Vargas-Chacoff, Luis</t>
  </si>
  <si>
    <t>Warming and freshening activate the transcription of genes involved in the cellular stress response in Harpagifer antarcticus</t>
  </si>
  <si>
    <t>FISH PHYSIOLOGY AND BIOCHEMISTRY</t>
  </si>
  <si>
    <t>Harpagifer antarcticus; Heat shock proteins; Antarctic notothenioid; Gene expression; Thermal stress; Salinity</t>
  </si>
  <si>
    <t>HEAT-SHOCK-PROTEIN; FISH; ADAPTATION; EXPRESSION; SALINITY; APOPTOSIS; SYSTEM; GILLS; CELLS</t>
  </si>
  <si>
    <t>Thermal and saline variations of the Southern Ocean are important signs of climate change which can alter the physiological responses of stenotic species residing at high latitudes. Our study aimed to evaluate the cellular stress response (CSR) of Harpagifer antarcticus subjected to increased ambient temperature and decreased salinity. The fish were distributed in different thermal (2, 5, 8, 11, and 14 degrees C) and saline (23, 28, and 33 psu) combinations for 10 days. We used qPCR analysis to evaluate the transcription of genes involved in the thermal shock response (HSP70, HSC70, HSP90, and GRP78), ubiquitination (E2, E3, ubiquitin, and CHIP), 26S proteasome complex (PSMA2, PSMB7, and PSMC1), and apoptosis (SMAC/Diablo and BAX) in the liver and gill. The expression profiles were tissue-specific and mainly dependent on temperature rather than salinity in the gill; meanwhile, in the liver, both conditions modulated the expression of these genes. Transcription of markers involved in the heat shock response was much higher in the liver than in the gill and was higher when salinity decreased and the temperature increased. Similarly, the genes involved in the ubiquitination pathway, 26S complex of the proteasome, and the apoptotic pathway showed the same pattern, being mainly induced in the liver rather than in the gill. This is the first study to show that this Antarctic fish can induce the cellular stress response in their tissues when subjected to these thermal/saline combinations.</t>
  </si>
  <si>
    <t>[Martinez, Danixa; Moncada-Kopp, Catalina; Navarro, Jorge M.; Vargas-Chacoff, Luis] Univ Austral Chile, Inst Ciencias Marinas &amp; Limnol, Valdivia, Chile; [Moncada-Kopp, Catalina; Paschke, Kurt; Navarro, Jorge M.; Vargas-Chacoff, Luis] Univ Austral Chile, Ctr FONDAP Invest Altas Latitudes FONDAP IDEAL, Valdivia, Chile; [Paschke, Kurt] Univ Austral Chile, Inst Acuicultura, Puerto Montt, Chile</t>
  </si>
  <si>
    <t>Universidad Austral de Chile; Universidad Austral de Chile; Universidad Austral de Chile</t>
  </si>
  <si>
    <t>Martínez, D (corresponding author), Univ Austral Chile, Inst Ciencias Marinas &amp; Limnol, Valdivia, Chile.;Vargas-Chacoff, L (corresponding author), Univ Austral Chile, Ctr FONDAP Invest Altas Latitudes FONDAP IDEAL, Valdivia, Chile.</t>
  </si>
  <si>
    <t>danixapamela@gmail.com; luis.vargas@uach.cl</t>
  </si>
  <si>
    <t>Vargas-Chacoff, Luis LVCh/A-5855-2012</t>
  </si>
  <si>
    <t>Vargas-Chacoff, Luis/0000-0002-0497-2582; MARTINEZ GONZALEZ, DANIXA PAMELA/0000-0002-7363-419X</t>
  </si>
  <si>
    <t>Fondap-Ideal Grant [15150003]; Fondecyt Regular Grant [1160877]; Agencia Nacional de Investigacion y Desarrollo (ANID) [3200418]</t>
  </si>
  <si>
    <t>Fondap-Ideal Grant; Fondecyt Regular Grant(Comision Nacional de Investigacion Cientifica y Tecnologica (CONICYT)CONICYT FONDECYT); Agencia Nacional de Investigacion y Desarrollo (ANID)</t>
  </si>
  <si>
    <t>This investigation was financed by Fondap-Ideal Grant No. 15150003 and Fondecyt Regular Grant No. 1160877. D. Martinez was funded by the Agencia Nacional de Investigacion y Desarrollo (ANID) through a national Postdoctoral scholarship No. 3200418. The Instituto Antartico Chileno (INACH) for logistic support.</t>
  </si>
  <si>
    <t>0920-1742</t>
  </si>
  <si>
    <t>1573-5168</t>
  </si>
  <si>
    <t>FISH PHYSIOL BIOCHEM</t>
  </si>
  <si>
    <t>Fish Physiol. Biochem.</t>
  </si>
  <si>
    <t>10.1007/s10695-021-00931-y</t>
  </si>
  <si>
    <t>Biochemistry &amp; Molecular Biology; Fisheries; Physiology</t>
  </si>
  <si>
    <t>RJ7YC</t>
  </si>
  <si>
    <t>WOS:000613581800002</t>
  </si>
  <si>
    <t>Kappes, PJ; Dugger, KM; Lescroël, A; Ainley, DG; Ballard, G; Barton, KJ; Lyver, PO; Wilson, PR</t>
  </si>
  <si>
    <t>Kappes, Peter J.; Dugger, Katie M.; Lescroel, Amelie; Ainley, David G.; Ballard, Grant; Barton, Kerry J.; Lyver, Phil O'B.; Wilson, Peter R.</t>
  </si>
  <si>
    <t>Age-related reproductive performance of the Adelie penguin, a long-lived seabird exhibiting similar outcomes regardless of individual life-history strategy</t>
  </si>
  <si>
    <t>Ad-lie penguin; age of first reproduction; breeding experience; individual life-history strategies; Pygoscelis adeliae; reproductive performance; senescence</t>
  </si>
  <si>
    <t>FORAGING BEHAVIOR; BREEDING SUCCESS; SURVIVAL; SENESCENCE; SELECTION; INVESTMENT; CHICKS; INCREASES; PATTERNS; COLONIES</t>
  </si>
  <si>
    <t>Age-related variation in reproductive performance in long-lived iteroparous vertebrate species is common, with performance being influenced by within-individual processes, such as improvement and senescence, in combination with among-individual processes, such as selective appearance and disappearance. Few studies of age-related reproductive performance have compared the role of these drivers within a metapopulation, subject to varying degrees of resource competition. We accounted for within- and among-individual changes among known-aged Adelie penguins Pygoscelis adeliae during 17 years (1997-2013), at three clustered colonies of disparate size, to understand patterns in age-related reproductive success during early and late adulthood. Age at first reproduction (AFR) was lowest, and number of breeding attempts highest, at the largest colony. Regardless of AFR, success improved with early post-recruitment experience. For both oldest and youngest recruitment groups, peak performance occurred at the end of their reproductive life span indicating a possible cost of reproduction. Intermediate recruitment groups reached peak performance in their mid-reproductive life span and with intermediate breeding experience, before decreasing. Breeding success was lowest for the initial breeding attempt regardless of AFR, but we observed subsequent variation relative to recruitment age. Gaining experience by delaying recruitment positively influenced reproductive performance early in the reproductive life span and was most evident for the youngest breeders. Oldest recruits had the highest initial and peak breeding success. Differences in AFR resulted in trade-offs in reproductive life span or timing of senescence but not in the overall number of breeding attempts. Patterns differed as a function of colony size, and thus competition for resources. Early life improvement in performance at the larger colonies was primarily due to within-individual factors and at the largest colony, AFR. Regardless of colony size late-life performance was positively related to the age at last reproduction, indicating selective disappearance of lower performing individuals. These results highlight that different life-history strategies were equally successful, indicating that individuals can overcome potential trade-offs associated with early- and late-life performance. These results have important implications for understanding the evolution of life-history strategies responsible for driving population change.</t>
  </si>
  <si>
    <t>[Kappes, Peter J.] Oregon State Univ, Dept Fisheries &amp; Wildlife, Oregon Cooperat Fish &amp; Wildlife Res Unit, Corvallis, OR 97331 USA; [Kappes, Peter J.] Mississippi State Univ, Coastal Res &amp; Extens Ctr, Biloxi, MS 39532 USA; [Dugger, Katie M.] Oregon State Univ, Dept Fisheries &amp; Wildlife, US Geol Survey, Oregon Cooperat Fish &amp; Wildlife Res Unit, Corvallis, OR 97331 USA; [Lescroel, Amelie; Ballard, Grant] Point Blue Conservat Sci, Petaluma, CA USA; [Lescroel, Amelie] Univ Paul Valery Montpellier, Univ Montpellier, CNRS, Ctr Ecol Fonct &amp; Evolut,UMR 5175, Montpellier 3, France; [Ainley, David G.] HT Harvey Associates Ecol Consultants, Los Gatos, CA USA; [Barton, Kerry J.; Lyver, Phil O'B.; Wilson, Peter R.] Manaaki Whenua Landcare Res, Lincoln, New Zealand</t>
  </si>
  <si>
    <t>Oregon State University; Mississippi State University; Oregon State University; United States Department of the Interior; United States Geological Survey; Universite PSL; Ecole Pratique des Hautes Etudes (EPHE); Institut Agro; Montpellier SupAgro; CIRAD; Centre National de la Recherche Scientifique (CNRS); Institut de Recherche pour le Developpement (IRD); Universite Paul-Valery; Universite de Montpellier; Landcare Research - New Zealand</t>
  </si>
  <si>
    <t>Kappes, PJ (corresponding author), Oregon State Univ, Dept Fisheries &amp; Wildlife, Oregon Cooperat Fish &amp; Wildlife Res Unit, Corvallis, OR 97331 USA.;Kappes, PJ (corresponding author), Mississippi State Univ, Coastal Res &amp; Extens Ctr, Biloxi, MS 39532 USA.</t>
  </si>
  <si>
    <t>pk565@msstate.edu</t>
  </si>
  <si>
    <t>Kappes, Peter/AGT-9289-2022; Kappes, Peter/C-4063-2015</t>
  </si>
  <si>
    <t>Dugger, Katie/0000-0002-4148-246X; Lescroel, Amelie/0000-0002-9030-6593; Ballard, Grant/0000-0002-8604-7066; Kappes, Peter/0000-0001-6029-5355</t>
  </si>
  <si>
    <t>New Zealand Ministry of Business, Innovation, and Employment Grant [C01X1001, C09527, C09X0510]; New Zealand's Ministry for Primary Industries [MPI17238-S01-LC]; Office of Polar Programs [0125608, 0440643, 0944411, 154398, 9526865, 9814882]; US Antarctic Program; Antarctic Support Contractors; Antarctica New Zealand; Antarctic Conservation Act; National Science Foundation Office of Polar Programs; Landcare Research Animal Ethics Committee [0509/01]; Oregon State University; Office of Polar Programs (OPP); Directorate For Geosciences [0125608, 9814882] Funding Source: National Science Foundation; Office of Polar Programs (OPP); Directorate For Geosciences [9526865, 0440643] Funding Source: National Science Foundation</t>
  </si>
  <si>
    <t>New Zealand Ministry of Business, Innovation, and Employment Grant(New Zealand Ministry of Business, Innovation and Employment (MBIE)); New Zealand's Ministry for Primary Industries; Office of Polar Programs(National Science Foundation (NSF)NSF - Directorate for Geosciences (GEO)); US Antarctic Program; Antarctic Support Contractors; Antarctica New Zealand; Antarctic Conservation Act; National Science Foundation Office of Polar Programs(National Science Foundation (NSF)NSF - Directorate for Geosciences (GEO)); Landcare Research Animal Ethics Committee; Oregon State University; Office of Polar Programs (OPP); Directorate For Geosciences(National Science Foundation (NSF)NSF - Directorate for Geosciences (GEO)); Office of Polar Programs (OPP); Directorate For Geosciences(National Science Foundation (NSF)NSF - Directorate for Geosciences (GEO))</t>
  </si>
  <si>
    <t>New Zealand Ministry of Business, Innovation, and Employment Grant, Grant/Award Number: C01X1001, C09527 and C09X0510; New Zealand's Ministry for Primary Industries, Grant/Award Number: MPI17238-S01-LC; Office of Polar Programs, Grant/Award Number: 0125608, 0440643, 0944411, 154398, 9526865 and 9814882; US Antarctic Program; Antarctic Support Contractors; Antarctica New Zealand; Antarctic Conservation Act; National Science Foundation Office of Polar Programs; Landcare Research Animal Ethics Committee Permit, Grant/Award Number: 0509/01; Oregon State University</t>
  </si>
  <si>
    <t>10.1111/1365-2656.13422</t>
  </si>
  <si>
    <t>RI3SQ</t>
  </si>
  <si>
    <t>WOS:000613397800001</t>
  </si>
  <si>
    <t>Bustos, J; Vergara, JA; Correa, FA</t>
  </si>
  <si>
    <t>Bustos, Joaquin; Vergara, Julio A.; Correa, Faustino A.</t>
  </si>
  <si>
    <t>Development of a concept power plant using a Small Modular Reactor coupled with a Supercritical CO2 Brayton cycle for sustainable Antarctic stations</t>
  </si>
  <si>
    <t>PROGRESS IN NUCLEAR ENERGY</t>
  </si>
  <si>
    <t>Sustainable energy; Small Modular Reactor; Antarctica; Supercritical CO2; Recompression Brayton cycle</t>
  </si>
  <si>
    <t>Antarctica is the continent with harshest conditions on Earth, despite this it gathers a fairly large population due to its importance in scientific research dispersed in several bases. Because of its role in science, it may become more populated and new areas of research may be opened. Therefore, a sustainable energy system is needed in order to maintain the pristine condition of this continent. The objective of this work was to develop a concept power plant suitable for McMurdo-Scott, South Pole and South Shetland islands, the most relevant year-round Antarctic stations that rely almost fully on fossil fuels. After a thorough analysis of the energy requirements and energy conversion cycles we reviewed several advanced reactor designs and selected a very Small Modular Reactor coupled to a supercritical CO2 cycle as an emissions free solution for Antarctica. A mathematical model was applied to optimize the heat cycle after an analysis of the total conductance value in the recuperators. The result was a Heat Pipe SMR with a supercritical recompression CO2 Brayton cycle with net electrical power of 1500 kW and efficiency of 40, 55% cooled by air.</t>
  </si>
  <si>
    <t>[Bustos, Joaquin; Vergara, Julio A.] Pontificia Univ Catolica Chile, Dept Mech &amp; Met Engn, Ave Vicuna Mackenna 4860, Santiago, Chile; [Correa, Faustino A.] Univ Tecn Federico Santa Maria, Dept Mech Engn, Ave Vicuna Mackenna 3939, Santiago, Chile</t>
  </si>
  <si>
    <t>Pontificia Universidad Catolica de Chile; Universidad Tecnica Federico Santa Maria</t>
  </si>
  <si>
    <t>Bustos, J (corresponding author), Pontificia Univ Catolica Chile, Dept Mech &amp; Met Engn, Ave Vicuna Mackenna 4860, Santiago, Chile.</t>
  </si>
  <si>
    <t>jbustos2@uc.cl</t>
  </si>
  <si>
    <t>Vergara, Julio A/D-3310-2014</t>
  </si>
  <si>
    <t>Bustos, Joaquin/0000-0003-3365-5022; Correa, Faustino/0000-0002-4102-6915</t>
  </si>
  <si>
    <t>0149-1970</t>
  </si>
  <si>
    <t>1878-4224</t>
  </si>
  <si>
    <t>PROG NUCL ENERG</t>
  </si>
  <si>
    <t>Prog. Nucl. Energy</t>
  </si>
  <si>
    <t>10.1016/j.pnucene.2020.103606</t>
  </si>
  <si>
    <t>Nuclear Science &amp; Technology</t>
  </si>
  <si>
    <t>QB1QL</t>
  </si>
  <si>
    <t>WOS:000613917800003</t>
  </si>
  <si>
    <t>Lopez-Lopez, L; Parmiggiani, F; Moctezuma-Flores, M; Guerrieri, L</t>
  </si>
  <si>
    <t>Lopez-Lopez, Ludwin; Parmiggiani, Flavio; Moctezuma-Flores, Miguel; Guerrieri, Lorenzo</t>
  </si>
  <si>
    <t>On the Detection and Long-Term Path Visualisation of A-68 Iceberg</t>
  </si>
  <si>
    <t>SAR image processing; A-68 iceberg; stochastic processes</t>
  </si>
  <si>
    <t>The article presents a methodology for examining a temporal sequence of synthetic aperture radar (SAR) images, as applied to the detection of the A-68 iceberg and its drifting trajectory. Using an improved image processing scheme, the analysis covers a period of eighteen months and makes use of a set of Sentinel-1 images. A-68 iceberg calved from the Larsen C ice shelf in July 2017 and is one of the largest icebergs observed by remote sensing on record. After the calving, there was only a modest decrease in the area (about 1%) in the first six months. It has been drifting along the east coast of the Antarctic Peninsula, and is expected to continue its path for more than a decade. It is important to track the huge A-68 iceberg to retrieve information on the physics of iceberg dynamics and for maritime security reasons. Two relevant problems are addressed by the image processing scheme presented here: (a) How to achieve quasi-automatic analysis using a fuzzy logic approach to image contrast enhancement, and (b) The use of ferromagnetic concepts to define a stochastic segmentation. The Ising equation is used to model the energy function of the process, and the segmentation is the result of a stochastic minimization.</t>
  </si>
  <si>
    <t>[Lopez-Lopez, Ludwin; Moctezuma-Flores, Miguel] Univ Nacl Autonoma Mexico, Fac Ingn, Ciudad De Mexico 01430, Mexico; [Parmiggiani, Flavio] Inst Polar Sci CNR, Via Gobetti 101, I-40129 Bologna, Italy; [Guerrieri, Lorenzo] Natl Inst Geophys &amp; Volcanol, Via Vigna Murata 605, I-00143 Rome, Italy</t>
  </si>
  <si>
    <t>Universidad Nacional Autonoma de Mexico; Consiglio Nazionale delle Ricerche (CNR); Istituto di Scienze Polari (ISP-CNR); Istituto Nazionale Geofisica e Vulcanologia (INGV)</t>
  </si>
  <si>
    <t>Moctezuma-Flores, M (corresponding author), Univ Nacl Autonoma Mexico, Fac Ingn, Ciudad De Mexico 01430, Mexico.</t>
  </si>
  <si>
    <t>ludwinventura@exalumno.unam.mx; f.parmiggiani@isac.cnr.it; mmoctezuma@fi-b.unam.mx; lorenzo.guerrieri@ingv.it</t>
  </si>
  <si>
    <t>Guerrieri, Lorenzo/0000-0003-1894-5048; Moctezuma-Flores, Miguel/0000-0002-6046-2421; PARMIGGIANI, FLAVIO/0000-0001-7090-1291</t>
  </si>
  <si>
    <t>Universidad Nacional Autonoma de Mexico; Consejo Nacional de Ciencia y Tecnologia [099598462]</t>
  </si>
  <si>
    <t>Universidad Nacional Autonoma de Mexico(Universidad Nacional Autonoma de Mexico); Consejo Nacional de Ciencia y Tecnologia(Consejo Nacional de Ciencia y Tecnologia (CONACyT))</t>
  </si>
  <si>
    <t>This research was partially funded by Universidad Nacional Autonoma de Mexico and Consejo Nacional de Ciencia y Tecnologia through scholarship grant number 099598462.</t>
  </si>
  <si>
    <t>10.3390/rs13030460</t>
  </si>
  <si>
    <t>QD4DB</t>
  </si>
  <si>
    <t>WOS:000615469900001</t>
  </si>
  <si>
    <t>Höschle, C; Cubaynes, HC; Clarke, PJ; Humphries, G; Borowicz, A</t>
  </si>
  <si>
    <t>Hoeschle, Caroline; Cubaynes, Hannah C.; Clarke, Penny J.; Humphries, Grant; Borowicz, Alex</t>
  </si>
  <si>
    <t>The Potential of Satellite Imagery for Surveying Whales</t>
  </si>
  <si>
    <t>very high-resolution (VHR) satellite imagery; remote sensing; great whale species</t>
  </si>
  <si>
    <t>The emergence of very high-resolution (VHR) satellite imagery (less than 1 m spatial resolution) is creating new opportunities within the fields of ecology and conservation biology. The advancement of sub-meter resolution imagery has provided greater confidence in the detection and identification of features on the ground, broadening the realm of possible research questions. To date, VHR imagery studies have largely focused on terrestrial environments; however, there has been incremental progress in the last two decades for using this technology to detect cetaceans. With advances in computational power and sensor resolution, the feasibility of broad-scale VHR ocean surveys using VHR satellite imagery with automated detection and classification processes has increased. Initial attempts at automated surveys are showing promising results, but further development is necessary to ensure reliability. Here we discuss the future directions in which VHR satellite imagery might be used to address urgent questions in whale conservation. We highlight the current challenges to automated detection and to extending the use of this technology to all oceans and various whale species. To achieve basin-scale marine surveys, currently not feasible with any traditional surveying methods (including boat-based and aerial surveys), future research requires a collaborative effort between biology, computation science, and engineering to overcome the present challenges to this platform's use.</t>
  </si>
  <si>
    <t>[Hoeschle, Caroline] BioConsult SH GmbH &amp; Co KG, Schobuller Str 36, D-25813 Husum, Germany; [Cubaynes, Hannah C.; Clarke, Penny J.] British Antarctic Survey, Madingley Rd, Cambridge CB3 0ET, England; [Cubaynes, Hannah C.] Univ Cambridge, Dept Geog, Scott Polar Res Inst, Cambridge CB2 1TN, England; [Clarke, Penny J.] UK Antarctic Heritage Trust, Madingley Rd, Cambridge CB3 0ET, England; [Humphries, Grant] Aerial Surveying Ltd, HiDef, 17 Silvermills Court, Edinburgh EH3 5DG, Midlothian, Scotland; [Borowicz, Alex] SUNY Stony Brook, Dept Ecol &amp; Evolut, Stony Brook, NY 11794 USA</t>
  </si>
  <si>
    <t>UK Research &amp; Innovation (UKRI); Natural Environment Research Council (NERC); NERC British Antarctic Survey; University of Cambridge; State University of New York (SUNY) System; State University of New York (SUNY) Stony Brook</t>
  </si>
  <si>
    <t>Höschle, C (corresponding author), BioConsult SH GmbH &amp; Co KG, Schobuller Str 36, D-25813 Husum, Germany.</t>
  </si>
  <si>
    <t>c.hoeschle@bioconsult-sh.de; hannah.cubaynes@gmail.com; clarke.pennyj@gmail.com; Grant.Humphries@hidefsurveying.co.uk; alexjborowicz@gmail.com</t>
  </si>
  <si>
    <t>Borowicz, Alex/AAW-9390-2021</t>
  </si>
  <si>
    <t>Borowicz, Alex/0000-0001-5888-5137; Cubaynes, Hannah/0000-0002-9497-154X; Humphries, Grant/0000-0001-5783-9892; Clarke, Penny/0000-0002-2648-9639</t>
  </si>
  <si>
    <t>NERC [bas0100035] Funding Source: UKRI</t>
  </si>
  <si>
    <t>10.3390/s21030963</t>
  </si>
  <si>
    <t>QD4MI</t>
  </si>
  <si>
    <t>WOS:000615494000001</t>
  </si>
  <si>
    <t>Wang, YC; Dou, YK; Yang, WX; Guo, JX; Chang, XM; Ding, MH; Tang, XY</t>
  </si>
  <si>
    <t>Wang, Yuchen; Dou, Yinke; Yang, Wangxiao; Guo, Jingxue; Chang, Xiaomin; Ding, Minghu; Tang, Xueyuan</t>
  </si>
  <si>
    <t>A New Machine Learning Algorithm for Numerical Prediction of Near-Earth Environment Sensors along the Inland of East Antarctica</t>
  </si>
  <si>
    <t>neural network; East Antarctica; multi-sensor; LSTM</t>
  </si>
  <si>
    <t>ERROR</t>
  </si>
  <si>
    <t>Accurate short-term small-area meteorological forecasts are essential to ensure the safety of operations and equipment operations in the Antarctic interior. This study proposes a deep learning-based multi-input neural network model to address this problem. The newly proposed model is predicted by combining a stacked autoencoder and a long- and short-term memory network. The self-stacking autoencoder maximises the features and removes redundancy from the target weather station's sensor data and extracts temporal features from the sensor data using a long- and short-term memory network. The proposed new model evaluates the prediction performance and generalisation capability at four observation sites at different East Antarctic latitudes (including the Antarctic maximum and the coastal region). The performance of five deep learning networks is compared through five evaluation metrics, and the optimal form of input combination is discussed. The results show that the prediction capability of the model outperforms the other models. It provides a new method for short-term meteorological prediction in a small inland Antarctic region.</t>
  </si>
  <si>
    <t>[Wang, Yuchen; Dou, Yinke; Yang, Wangxiao] Taiyuan Univ Technol, Coll Elect &amp; Power Engn, Taiyuan 030024, Peoples R China; [Wang, Yuchen; Guo, Jingxue; Tang, Xueyuan] Polar Res Inst China, SOA Key Lab Polar Sci, Shanghai 200136, Peoples R China; [Chang, Xiaomin] Taiyuan Univ Technol, Coll Water Resources Sci &amp; Engn, Taiyuan 030024, Peoples R China; [Ding, Minghu] Chinese Acad Meteorol Sci, State Key Lab Severe Weather, Beijing 100081, Peoples R China; [Ding, Minghu] Chinese Acad Meteorol Sci, Inst Tibetan Plateau &amp; Polar Meteorol, Beijing 100081, Peoples R China</t>
  </si>
  <si>
    <t>Taiyuan University of Technology; Polar Research Institute of China; Taiyuan University of Technology; China Meteorological Administration; Chinese Academy of Meteorological Sciences (CAMS); China Meteorological Administration; Chinese Academy of Meteorological Sciences (CAMS)</t>
  </si>
  <si>
    <t>Dou, YK (corresponding author), Taiyuan Univ Technol, Coll Elect &amp; Power Engn, Taiyuan 030024, Peoples R China.</t>
  </si>
  <si>
    <t>wangyuchen0204@link.tyut.edu.cn; douyinke@tyut.edu.cn; yangwangxiao0038@link.tyut.edu.cn; guojingxue@pric.org.cn; changxiaomin@tyut.edu.cn; dingmh@cma.gov.cn; tangxueyuan@pric.org.cn</t>
  </si>
  <si>
    <t>Ding, Minghu/AFU-3600-2022</t>
  </si>
  <si>
    <t>Ding, Minghu/0000-0002-1142-6598</t>
  </si>
  <si>
    <t>National Key Research and Development Program of China [2018YFB1307504]</t>
  </si>
  <si>
    <t>National Key Research and Development Program of China</t>
  </si>
  <si>
    <t>This research was funded by the National Key Research and Development Program of China grant number 2018YFB1307504.</t>
  </si>
  <si>
    <t>10.3390/s21030755</t>
  </si>
  <si>
    <t>QD4TG</t>
  </si>
  <si>
    <t>WOS:000615512000001</t>
  </si>
  <si>
    <t>Wang, JR; Feckan, M; Zhang, WL</t>
  </si>
  <si>
    <t>Wang, JinRong; Feckan, Michal; Zhang, Wenlin</t>
  </si>
  <si>
    <t>On the nonlocal boundary value problem of geophysical fluid flows</t>
  </si>
  <si>
    <t>ZEITSCHRIFT FUR ANGEWANDTE MATHEMATIK UND PHYSIK</t>
  </si>
  <si>
    <t>Nonlocal boundary value problem; Positive solutions; Fredholm operator; Leray-Schauder degree</t>
  </si>
  <si>
    <t>ANTARCTIC CIRCUMPOLAR CURRENT; PURELY AZIMUTHAL FLOW; EXISTENCE; STEADY; MODEL; PRESSURE; EQUATION; EDDIES; WIND</t>
  </si>
  <si>
    <t>This paper proposes a nonlocal formulation regarding the modeling of Antarctic Circumpolar Current by introducing flow functions to encode horizontal flow components without considering vertical motion. Using topological degree, zero exponent theory and fixed point technique, we show the existence of positive solutions to nonlocal boundary value problems with nonlinear vorticity.</t>
  </si>
  <si>
    <t>[Wang, JinRong; Zhang, Wenlin] Guizhou Univ, Dept Math, Guiyang 550025, Guizhou, Peoples R China; [Feckan, Michal] Comenius Univ, Fac Math Phys &amp; Informat, Dept Math Anal &amp; Numer Math, Bratislava 84248, Slovakia; [Feckan, Michal] Slovak Acad Sci, Math Inst, Stefanikova 49, Bratislava 81473, Slovakia; [Wang, JinRong] Qufu Normal Univ, Sch Math Sci, Qufu 273165, Shandong, Peoples R China; [Zhang, Wenlin] Liupanshui Normal Univ, Sch Math &amp; Comp Sci, Liupanshui 553004, Guizhou, Peoples R China</t>
  </si>
  <si>
    <t>Guizhou University; Comenius University Bratislava; Slovak Academy of Sciences; Mathematical Institute, SAS; Qufu Normal University</t>
  </si>
  <si>
    <t>Wang, JR (corresponding author), Guizhou Univ, Dept Math, Guiyang 550025, Guizhou, Peoples R China.</t>
  </si>
  <si>
    <t>jrwang@gzu.edu.cn; Michal.Feckan@fmph.uniba.sk; wlzhang1025@163.com</t>
  </si>
  <si>
    <t>National Natural Science Foundation of China [11661016]; Training Object of High Level and Innovative Talents of Guizhou Province [(2016)4006]; Major Research Project of Innovative Group in Guizhou Education Department [[2018]012]; Guizhou Data Driven Modeling Learning and Optimization Innovation Team [[2020]5016]; Slovak Research and Development Agency [APVV-18-0308]; Slovak Grant Agency VEGA [1/0358/20, 2/0127/20]</t>
  </si>
  <si>
    <t>National Natural Science Foundation of China(National Natural Science Foundation of China (NSFC)); Training Object of High Level and Innovative Talents of Guizhou Province; Major Research Project of Innovative Group in Guizhou Education Department; Guizhou Data Driven Modeling Learning and Optimization Innovation Team; Slovak Research and Development Agency(Slovak Research and Development Agency); Slovak Grant Agency VEGA(Vedecka grantova agentura MSVVaS SR a SAV (VEGA))</t>
  </si>
  <si>
    <t>This work is partially supported by the National Natural Science Foundation of China (11661016), Training Object of High Level and Innovative Talents of Guizhou Province ((2016)4006), Major Research Project of Innovative Group in Guizhou Education Department ([2018]012), Guizhou Data Driven Modeling Learning and Optimization Innovation Team ([2020]5016), the Slovak Research and Development Agency under the contract No. APVV-18-0308, and the Slovak Grant Agency VEGA No. 1/0358/20 and No. 2/0127/20.</t>
  </si>
  <si>
    <t>SPRINGER INT PUBL AG</t>
  </si>
  <si>
    <t>CHAM</t>
  </si>
  <si>
    <t>GEWERBESTRASSE 11, CHAM, CH-6330, SWITZERLAND</t>
  </si>
  <si>
    <t>0044-2275</t>
  </si>
  <si>
    <t>1420-9039</t>
  </si>
  <si>
    <t>Z ANGEW MATH PHYS</t>
  </si>
  <si>
    <t>Z. Angew. Math. Phys.</t>
  </si>
  <si>
    <t>10.1007/s00033-020-01452-z</t>
  </si>
  <si>
    <t>PU6PZ</t>
  </si>
  <si>
    <t>WOS:000609425000008</t>
  </si>
  <si>
    <t>Stehmann, MFW; Weigmann, S; Naylor, GJP</t>
  </si>
  <si>
    <t>Stehmann, Matthias F. W.; Weigmann, Simon; Naylor, Gavin J. P.</t>
  </si>
  <si>
    <t>First complete description of the dark-mouth skate Raja arctowskii Dollo, 1904 from Antarctic waters, assigned to the genus Bathyraja (Elasmobranchii, Rajiformes, Arhynchobatidae)</t>
  </si>
  <si>
    <t>MARINE BIODIVERSITY</t>
  </si>
  <si>
    <t>Systematics; Taxonomy; Morphology; DNA analysis; Egg capsules; Southern Ocean</t>
  </si>
  <si>
    <t>FRV WALTHER HERWIG; SP-N PISCES; CONTINENTAL-SLOPE; RESEARCH CRUISES; SOUTH-AMERICA; EGG CAPSULES; CHONDRICHTHYES; RAJIDAE; RECORDS; DIVERSITY</t>
  </si>
  <si>
    <t>The dark-mouth skate, Raja arctowskii Dollo, 1904 from Antarctic waters is an extraordinary case in skate taxonomy. For more than 100 years, this species has been known only from three empty egg capsules and the species as such has remained undescribed due to the lack of specimens that could be assigned to Dollo's small capsules. Since trawled egg capsules and an egg capsule containing a near-term embryo became available, it finally was possible to connect specimens with the empty egg capsules and completely describe Dollo's R. arctowskii with detailed external morphology, skeletal features, clasper morphology, and clasper skeleton and assign it to the genus Bathyraja Ishiyama, 1958a. Bathyraja arctowskii is one of the smallest known species of Bathyraja, attaining only a 61 cm total length (TL). It is characterized by an at least partly, usually completely medium to dark grayish pigmented mouth cavity, as well as the often dark underside of the nasal curtain from very small juvenile stages onwards. It further differs from most congeners in Antarctic and Subantarctic waters in the absence of thorns on the dorsal disc. It appears to be a wide-ranging, circumantarctic species found in the Atlantic, Pacific, and Indian Ocean sectors of the Southern Ocean. The species seems to be locally common at least in the Atlantic sector, with up to 94 juvenile to subadult specimens caught in one single haul.</t>
  </si>
  <si>
    <t>[Stehmann, Matthias F. W.] ICHTHYS, Ichthyol Res Lab &amp; Consultant, Hildesheimer Weg 13, D-22459 Hamburg, Germany; [Weigmann, Simon] Elasmo Lab, Elasmobranch Res Lab, Georg Bonne Str 83, D-22609 Hamburg, Germany; [Weigmann, Simon] Univ Hamburg, Ctr Nat Hist, Martin Luther King Pl 3, D-20146 Hamburg, Germany; [Naylor, Gavin J. P.] Univ Florida, Florida Museum Nat Hist, Dickinson Hall,1659 Museum Rd, Gainesville, FL 32611 USA</t>
  </si>
  <si>
    <t>University of Hamburg; State University System of Florida; University of Florida</t>
  </si>
  <si>
    <t>Stehmann, MFW (corresponding author), ICHTHYS, Ichthyol Res Lab &amp; Consultant, Hildesheimer Weg 13, D-22459 Hamburg, Germany.</t>
  </si>
  <si>
    <t>stehmann@ichthys-fisch.info</t>
  </si>
  <si>
    <t>NZ National Institute of Water and Atmospheric Research Ltd.; U.S. NSF Foundation [DEB 01132229]</t>
  </si>
  <si>
    <t>NZ National Institute of Water and Atmospheric Research Ltd.; U.S. NSF Foundation</t>
  </si>
  <si>
    <t>This work was supported (in part) by the NZ National Institute of Water and Atmospheric Research Ltd. Core Funded Coasts &amp; Oceans Programme 2: Biological Resources subcontract for fundamental knowledge of marine fish biodiversity with the Museum of New Zealand Te Papa Tongarewa. The collection of sequence data was supported with an award from the U.S. NSF Foundation to GJPN, DEB 01132229.</t>
  </si>
  <si>
    <t>1867-1616</t>
  </si>
  <si>
    <t>1867-1624</t>
  </si>
  <si>
    <t>MAR BIODIVERS</t>
  </si>
  <si>
    <t>Mar. Biodivers.</t>
  </si>
  <si>
    <t>10.1007/s12526-020-01124-1</t>
  </si>
  <si>
    <t>Biodiversity Conservation; Marine &amp; Freshwater Biology</t>
  </si>
  <si>
    <t>Biodiversity &amp; Conservation; Marine &amp; Freshwater Biology</t>
  </si>
  <si>
    <t>QA4OH</t>
  </si>
  <si>
    <t>WOS:000613423800001</t>
  </si>
  <si>
    <t>Teschke, K; Brtnik, P; Hain, S; Herata, H; Liebschner, A; Pehlke, H; Brey, T</t>
  </si>
  <si>
    <t>Teschke, Katharina; Brtnik, Patricia; Hain, Stefan; Herata, Heike; Liebschner, Alexander; Pehlke, Hendrik; Brey, Thomas</t>
  </si>
  <si>
    <t>Planning marine protected areas under the CCAMLR regime - The case of the Weddell Sea (Antarctica)</t>
  </si>
  <si>
    <t>Conservation planning; Marine protected area; Southern Ocean; Weddell Sea; CCAMLR</t>
  </si>
  <si>
    <t>Currently, almost 8% of the world's oceans are designated marine protected areas (MPAs), the majority of which are relatively small and under national jurisdiction. Several initiatives are presently underway in international waters to establish large-scale MPAs, such as for the Southern Ocean under the Commission for the Conservation of Antarctic Marine Living Resources (CCAMLR). By reviewing the MPA initiative in the Weddell Sea (WSMPA), we aim to guide through the planning steps involved in developing an MPA in the high seas of the Southern Ocean in the context of an international organisation, i.e. CCAMLR. We focus also on the associated science-policy discussion process. To this end, we examine the WSMPA roadmap retrospectively from its beginning in 2013 until today. We discuss the individual planning steps and how these have been designed in detail. Throughout, we show that the planning of the WSMPA was based on a collaborative, science-based process that exemplified best practice in applied science. Lastly, we also provide an outlook on the current situation regarding the establishment of CCAMLR MPAs and point out that scientific best practice may not be sufficient to achieve the consensus and political drive ultimately required for the designation of MPAs in the Southern Ocean.</t>
  </si>
  <si>
    <t>[Teschke, Katharina; Hain, Stefan; Pehlke, Hendrik; Brey, Thomas] Helmholtz Zentrum Polar &amp; Meeresforsch, Alfred Wegener Inst, Handelshafen 12, D-27570 Bremerhaven, Germany; [Teschke, Katharina; Pehlke, Hendrik; Brey, Thomas] Univ Oldenburg HIFMB, Helmholtz Inst Funct Marine Biodivers, Arnmerlander Heerstr 231, D-26129 Oldenburg, Germany; [Brtnik, Patricia] German Oceanog Museum Stralsund, Katharinenberg 14-20, D-18439 Stralsund, Germany; [Herata, Heike] German Environm Agcy, Worlitzer Pl 1, D-06844 Dessau Rosslau, Germany; [Liebschner, Alexander] German Fed Agcy Nat Conservat, D-18581 Isl Of Valm, Putbus, Germany; [Brey, Thomas] Univ Bremen, Bibliothekstr 1, D-28359 Bremen, Germany</t>
  </si>
  <si>
    <t>Teschke, K (corresponding author), Helmholtz Zentrum Polar &amp; Meeresforsch, Alfred Wegener Inst, Handelshafen 12, D-27570 Bremerhaven, Germany.</t>
  </si>
  <si>
    <t>Katharina.Teschke@awi.de</t>
  </si>
  <si>
    <t>Pehlke, Hendrik/0000-0003-1916-7831; Teschke, Katharina/0000-0001-9595-7443</t>
  </si>
  <si>
    <t>German Federal Ministry of Food and Agriculture (BMEL) through the Federal Office for Agriculture and Food (BLE) [2819H5015]; Open Access Publication Funds of Alfred-Wegener-Institut Helmholtz-Zentrum far Polar-and Meeresforschung</t>
  </si>
  <si>
    <t>German Federal Ministry of Food and Agriculture (BMEL) through the Federal Office for Agriculture and Food (BLE); Open Access Publication Funds of Alfred-Wegener-Institut Helmholtz-Zentrum far Polar-and Meeresforschung</t>
  </si>
  <si>
    <t>This work was financially supported by the German Federal Ministry of Food and Agriculture (BMEL) through the Federal Office for Agriculture and Food (BLE) (grant no. 2819H5015). I acknowledge support by the Open Access Publication Funds of Alfred-Wegener-Institut Helmholtz-Zentrum far Polar-and Meeresforschung. In particular, we would like to thank all our colleagues from all national and international scientific institutions who have supported us in the WSMPA planning process in many ways. We thank two anonymous reviewers for constructive comments on the manuscript. Special thanks to R. Konijnenberg for feedback on the manuscript and critical edits.</t>
  </si>
  <si>
    <t>10.1016/j.marpol.2020.104370</t>
  </si>
  <si>
    <t>PU2VW</t>
  </si>
  <si>
    <t>WOS:000609164600013</t>
  </si>
  <si>
    <t>Coelho, LD; de Carvalho, CR; Rosa, CA; Rosa, LH</t>
  </si>
  <si>
    <t>Coelho, Livia da C.; de Carvalho, Camila R.; Rosa, Carlos A.; Rosa, Luiz H.</t>
  </si>
  <si>
    <t>Diversity, distribution, and xerophilic tolerance of cultivable fungi associated with the Antarctic angiosperms</t>
  </si>
  <si>
    <t>Antarctica; Bioprospecting; Ecology; Endophytes; Xerophiles</t>
  </si>
  <si>
    <t>DESCHAMPSIA-ANTARCTICA; COLOBANTHUS-QUITENSIS; COMMUNITIES; MICROFUNGI; YEASTS; IDENTIFICATION; ASCOMYCETE; DESV.; PCR</t>
  </si>
  <si>
    <t>We characterized the diversity, distribution, systematic colonization, and xerophilic capabilities of fungi associated with the Antarctic angiosperms Colobanthus quitensis and Deschampsia antarctica collected at different sites of the South Shetlands Islands, Antarctic Peninsula. A total of 684 fungal isolates were obtained and identified into 67 taxa from 32 genera. The highest fungal diversity and richness were obtained from the rhizosphere, roots, and leaves, in order, and only 11 taxa shared between both plants. Penicillium and Pseudogymnoascus were the dominant fungal genera. However, the rarefaction curves for plant fungal assemblages did not reach a plateau, suggesting that these Antarctic plants may host more fungi in their tissues and rhizospheres. A total of 460 isolates grew at water activity (a(w)) = 0.95, 200 at 0.90, 110 at 0.81, and 47 at 0.66. Antarctomyces, Cladosporium, Mortierella, Leptosphaeria, Penicillium, Pseudogymnoascus, and Thelebolus taxa grew at a(w) = 0.81 and 0.66 and considered highly xerophilic. In addition, specific isolates of Penicillium and Thelebolus exhibited the highest mycelial growth at a(w) = 0.66. Our results show that the internal tissues and rhizosphere of Antarctic angiosperms host rich and diverse fungal communities dominated by cold-adapted and endemic taxa, which seem to coexist as symbionts and decomposer fungi. In addition, specific fungi are able to colonize different parts of the plant, suggesting a high ecological relationship with their hosts. Finally, different fungi living in the rhizosphere displayed remarkable xerophilic tolerance, representing promising candidates for further biotechnological studies, including identification of genes for applications in industry and agriculture.</t>
  </si>
  <si>
    <t>[Coelho, Livia da C.; de Carvalho, Camila R.; Rosa, Carlos A.; Rosa, Luiz H.] Univ Fed Minas Gerais, Dept Microbiol, CP 486, BR-31270901 Belo Horizonte, MG, Brazil</t>
  </si>
  <si>
    <t>Universidade Federal de Minas Gerais</t>
  </si>
  <si>
    <t>Rosa, LH (corresponding author), Univ Fed Minas Gerais, Dept Microbiol, CP 486, BR-31270901 Belo Horizonte, MG, Brazil.</t>
  </si>
  <si>
    <t>CNPq PROANTAR [442258/2018-6]; INCT Criosfera II; CAPES [88887.136384/2017-00, 88887.314457/2019-00]; CNPq; FAPEMIG; FNDCT; Coordenacao de Aperfeicoamento de Pessoal de Nivel SuperiorBrasil (CAPES) [001]</t>
  </si>
  <si>
    <t>CNPq PROANTAR(Conselho Nacional de Desenvolvimento Cientifico e Tecnologico (CNPQ)); INCT Criosfera II; CAPES(Coordenacao de Aperfeicoamento de Pessoal de Nivel Superior (CAPES)); CNPq(Conselho Nacional de Desenvolvimento Cientifico e Tecnologico (CNPQ)); FAPEMIG(Fundacao de Amparo a Pesquisa do Estado de Minas Gerais (FAPEMIG)); FNDCT; Coordenacao de Aperfeicoamento de Pessoal de Nivel SuperiorBrasil (CAPES)(Coordenacao de Aperfeicoamento de Pessoal de Nivel Superior (CAPES))</t>
  </si>
  <si>
    <t>We acknowledge the financial support from CNPq PROANTAR 442258/2018-6, INCT Criosfera II, CAPES (88887.136384/2017-00 and 88887.314457/2019-00), CNPq, FAPEMIG, and FNDCT. This study was financed in part by the Coordenacao de Aperfeicoamento de Pessoal de Nivel SuperiorBrasil (CAPES)-Finance Code 001. In addition, we acknowledge Dr. Virginia de Garcia and the anonymous referees of the manuscript.</t>
  </si>
  <si>
    <t>10.1007/s00300-021-02799-3</t>
  </si>
  <si>
    <t>WOS:000613187000001</t>
  </si>
  <si>
    <t>Yao, YB; Chen, XX; Kong, J; Zhou, C; Liu, L; Shan, LL; Guo, ZH</t>
  </si>
  <si>
    <t>Yao, Yibin; Chen, Xuanxi; Kong, Jian; Zhou, Chen; Liu, Lei; Shan, Lulu; Guo, Zihuai</t>
  </si>
  <si>
    <t>An Updated Experimental Model of IG Indices Over the Antarctic Region via the Assimilation of IRI2016 With GNSS TEC</t>
  </si>
  <si>
    <t>Indexes; Data models; Ionosphere; Rough surfaces; Antarctica; Global navigation satellite system; Magnetosphere; Data assimilation; GNSS total electron content (TEC); IG12 index; IRI-2016; spherical crown harmonic fitting</t>
  </si>
  <si>
    <t>In order to improve the accuracy of the International Reference Ionosphere (IRI)-2016 model for application in the Antarctic region, total electron content (TEC) data from the Global Navigation Satellite Systems (GNSS) observation data in 2018 are assimilated into the IRI-2016 model by updating the effective ionospheric parameter, IG12 index on a daily basis. The functional relationship between the IG12 index and the longitude, latitude, and the day of year (DOY) is fitted by using the spherical crown harmonic function and the polynomial, and finally establish an updated experiential model of IG12 indices over the Antarctic region. Conclusions that were reached were: 1) the updated IG12 index varies greatly over different geographical locations and 2) it is also apparent that the accuracy of the IRI-2016 model is worse in the perpetual night than that in the perpetual day. In order to verify our method, the TEC calculated by the IRI-2016 model driven by the updated IG12 index and that calculated by the original IRI-2016 model are compared with the GNSS-TEC, and the results show that the updated IRI-2016 model has improved the accuracy of the BIAS and root mean square (RMS) of the TEC calculation by 97 and 87, respectively, on the fitting moments, while 75 and 54 on the predicting moments. In addition, compared with the original IRI-2016 model, it is found that the updated IRI-2016 model improves the accuracy of the NmF2 calculation by approximately 23 on average for the fitting time and 8 for the predicting time.</t>
  </si>
  <si>
    <t>[Yao, Yibin; Chen, Xuanxi; Liu, Lei; Shan, Lulu; Guo, Zihuai] Wuhan Univ, Sch Geodesy &amp; Geomat, Wuhan 430079, Peoples R China; [Yao, Yibin] Wuhan Univ, Key Lab Geospace Environm &amp; Geodesy, Minist Educ, Wuhan 430079, Peoples R China; [Kong, Jian] Wuhan Univ, Chinese Antarctic Ctr Surveying &amp; Mapping, Wuhan 430079, Peoples R China; [Zhou, Chen] Wuhan Univ, Sch Elect Informat, Wuhan 430072, Peoples R China</t>
  </si>
  <si>
    <t>Kong, J (corresponding author), Wuhan Univ, Chinese Antarctic Ctr Surveying &amp; Mapping, Wuhan 430079, Peoples R China.</t>
  </si>
  <si>
    <t>ybyao@whu.edu.cn; chenxuanxi@whu.edu.cn; jkong@whu.edu.cn; czhou@whu.edu.cn; liulei@whu.edu.cn; llshan@whu.edu.cn; whugzh@whu.edu.cn</t>
  </si>
  <si>
    <t>Shan, Lulu/0000-0002-8772-4233; Yao, Yibin/0000-0002-7723-4601</t>
  </si>
  <si>
    <t>National Natural Science Foundation of China [41604002, 41721003, 41874033]; Fundamental Research Funds for the Central Universities [2042019kf0212]; Open Research fund of State Key Laboratory of Information Engineering in Surveying, Mapping and Remote Sensing, Wuhan University; State Key Laboratory of Geo-Information Engineering [SKLGIE2018-M-1-2]</t>
  </si>
  <si>
    <t>National Natural Science Foundation of China(National Natural Science Foundation of China (NSFC)); Fundamental Research Funds for the Central Universities(Fundamental Research Funds for the Central Universities); Open Research fund of State Key Laboratory of Information Engineering in Surveying, Mapping and Remote Sensing, Wuhan University; State Key Laboratory of Geo-Information Engineering</t>
  </si>
  <si>
    <t>This work was supported in part by the National Natural Science Foundation of China under Grant 41604002, Grant 41721003, and Grant 41874033, in part by the Fundamental Research Funds for the Central Universities under Grant 2042019kf0212, and in part by the Open Research fund of State Key Laboratory of Information Engineering in Surveying, Mapping and Remote Sensing, Wuhan University, and State Key Laboratory of Geo-Information Engineering under Grant SKLGIE2018-M-1-2.</t>
  </si>
  <si>
    <t>10.1109/TGRS.2020.2999132</t>
  </si>
  <si>
    <t>PX2WZ</t>
  </si>
  <si>
    <t>WOS:000611222400057</t>
  </si>
  <si>
    <t>Smith, DC; Haddon, M; Punt, AE; Gardner, C; Little, LR; Mayfield, S; O'Neill, MF; Saunders, T; Stewart, J; Wise, B; Fulton, EA; Conron, S</t>
  </si>
  <si>
    <t>Smith, David C.; Haddon, Malcolm; Punt, Andre E.; Gardner, Caleb; Little, L. Richard; Mayfield, Stephen; O'Neill, Michael F.; Saunders, Thor; Stewart, John; Wise, Brent; Fulton, Elizabeth A.; Conron, Simon</t>
  </si>
  <si>
    <t>Evaluating the potential for an increased and sustainable commercial fisheries production across multiple jurisdictions and diverse fisheries</t>
  </si>
  <si>
    <t>Australia; Commercial fisheries; Total production; Stock assessment; Maximum sustainable yield; Catch-MSY</t>
  </si>
  <si>
    <t>SURPLUS PRODUCTION MODELS; STOCK ASSESSMENT; CLIMATE; FISH; MANAGEMENT; LEVEL; ASSESSMENTS; IMPACTS; POLICY; YIELD</t>
  </si>
  <si>
    <t>We describe a first estimate of the potential to increase production from Australia's commercial fisheries based on the difference between current catches and maximum sustainable yield (MSY). MSY is not being advocated as a target reference point but enables a level of consistency across species and/or jurisdictions with different reference points. MSY estimates were obtained for 290 species/stocks that comprised 84% of annual landings. 75% of the estimates were computed using methods applied specifically for this study, aided by an assessment framework, and supporting software. The catch-MSY method was used extensively given the lack of formal assessments for many species, and the limitations of taking this approach are discussed. The results indicated that potential production could be more than double the current national catch (an increase over current catches of about 124%), but potential increases varied considerably among Federal, State and Territory jurisdictions. The potential for increased production was particularly influenced by predictions for highly productive small pelagic fishes, although ignoring the potential for increased catches of these species still led to an estimate of an increase of almost 80% over current catches. Other factors such as whether an increase in production has market demand are also clearly important, along with other social and economic issues. Impacts on ecosystem sustainability and the consequences of climate change were beyond the scope of this study and would need to be considered in separate analyses. However, in making our estimates of potential production we acknowledged the issues with attempting to use single species approaches to provide fish community wide estimates and acted conservatively with our interpretation. Consequently, the results presented in this paper provide useful insights into possible biologically sustainable catches and the potential for increased production.</t>
  </si>
  <si>
    <t>[Smith, David C.; Haddon, Malcolm; Punt, Andre E.; Little, L. Richard; Fulton, Elizabeth A.] CSIRO Oceans &amp; Atmosphere, GPO Box 1538, Hobart, Tas 7001, Australia; [Smith, David C.; Fulton, Elizabeth A.] Univ Tasmania, Ctr Marine Socioecol, Hobart, Tas 7001, Australia; [Haddon, Malcolm; Gardner, Caleb] Univ Tasmania, Inst Marine &amp; Antarctic Studies, Taroona, Tas 7053, Australia; [Punt, Andre E.] Univ Washington, Sch Aquat &amp; Fishery Sci, Box 355020, Seattle, WA 98195 USA; [Mayfield, Stephen] South Australian Res &amp; Dev Inst, 2 Hamra Ave, West Beach, SA 5024, Australia; [O'Neill, Michael F.] Dept Agr &amp; Fisheries, Maroochy Res Facil, 47 Mayers Rd,POB 5083 SCMC, Nambour, Qld 4560, Australia; [Saunders, Thor] Dept Primary Ind &amp; Resources, Fisheries Res, POB 3000, Darwin, NT 0801, Australia; [Stewart, John] Fisheries Sydney Inst Marine Sci, NSW Dept Primary Ind, Fisheries Res, Chowder Bay Rd, Mosman, NSW 2088, Australia; [Wise, Brent] Dept Primary Ind &amp; Reg Dev, Aquat Sci &amp; Assessment Ecosyst Sustainabil &amp; B, 39 Northside Dr, Hillarys, WA 6025, Australia; [Conron, Simon] Victorian Fisheries Author, Management &amp; Sci, 2A Bellarine Hwy, Queenscliff, Vic 3225, Australia</t>
  </si>
  <si>
    <t>Commonwealth Scientific &amp; Industrial Research Organisation (CSIRO); University of Tasmania; University of Tasmania; University of Washington; University of Washington Seattle; South Australian Research &amp; Development Institute (SARDI); Queensland Department of Agriculture &amp; Fisheries; Sydney Institute of Marine Science; NSW Department of Primary Industries</t>
  </si>
  <si>
    <t>Smith, DC (corresponding author), CSIRO Oceans &amp; Atmosphere, GPO Box 1538, Hobart, Tas 7001, Australia.</t>
  </si>
  <si>
    <t>David.c.smith2@bigpond.com</t>
  </si>
  <si>
    <t>Smith, David/GQQ-8257-2022; Fulton, Beth/A-2871-2008</t>
  </si>
  <si>
    <t>Haddon, Malcolm/0000-0001-6971-7585</t>
  </si>
  <si>
    <t>Fisheries Research and Development Corporation (FRDC); National Research Providers Network</t>
  </si>
  <si>
    <t>Fisheries Research and Development Corporation (FRDC)(Fisheries R&amp;D Corp); National Research Providers Network</t>
  </si>
  <si>
    <t>We would like to thank the Fisheries Research and Development Corporation (FRDC) for contributing to the funding of the project and the National Research Providers Network for providing oversight and support. We would also like thank the individuals below who assisted in data collection and the provision of MSY estimates: Justin Bell (Victorian Fisheries Authority, VFA), Jemery Day, Rich Hilary, Geoff Tuck (CSIRO), Beth Gibson and Ryan Murphy (AFMA), Jonathan Smart, Richard McGarvey, Angelo Tsolos and Melleessa Boyle (SARDI), George Leigh, Pia Bessell-Browne, Robyn Lovett, Joanne Wortmann, and Amanda Northrop (QDAF), Ainslie Denham, Norm Hall and Alex Hesp (DPIRD WA), Brad Moore, Klaas Hartman (IMAS)). We would also like to thank two anonymous reviewers who provided many useful comments and suggestions that have strengthened and clarified the manuscript.</t>
  </si>
  <si>
    <t>10.1016/j.marpol.2020.104353</t>
  </si>
  <si>
    <t>PU2VR</t>
  </si>
  <si>
    <t>WOS:000609164100001</t>
  </si>
  <si>
    <t>Gao, YZ; Li, RJ; Gao, H; Hou, C; Jin, SC; Ye, JD; Na, GS</t>
  </si>
  <si>
    <t>Gao, Yunze; Li, Ruijing; Gao, Hui; Hou, Chao; Jin, Shuaichen; Ye, Jiandong; Na, Guangshui</t>
  </si>
  <si>
    <t>Spatial distribution of cumulative impact on terrestrial ecosystem of the Fildes Peninsula, Antarctica</t>
  </si>
  <si>
    <t>JOURNAL OF ENVIRONMENTAL MANAGEMENT</t>
  </si>
  <si>
    <t>Fildes peninsula; Terrestrial ecosystem; Threats; Cumulative impact</t>
  </si>
  <si>
    <t>POLYCYCLIC AROMATIC-HYDROCARBONS; PERSISTENT ORGANIC POLLUTANTS; PROTECTION; ATMOSPHERE; PAHS; SNOW</t>
  </si>
  <si>
    <t>Antarctica, an area that is devoted to global peace and research, is being challenged by climate change, human activities, and pollution. There have been a number of studies concerning the state of the Antarctic ecological environment. However, a comprehensive and quantitative assessment of the impact of threats on the Antarctica ecological environment is still lacking. In this study, a cumulative impact assessment performed on the basis of expert judgement was used to estimate species-specific differences on the impact of seven threats: climate change, organic and nonorganic pollutants, station construction, power generation, oil spilling, and tourism. The terrestrial area of the Fildes Peninsula was divided into 103 cells using a raster grid of 0.25 km(2), and cumulative impact assessment was applied to each cell. The analysis results indicated that cumulative impact scores (I-C) ranged from 0 to 39.4, and the cumulative scores were divided into six categories ranging from very low impact (I-C &lt;= 7.08) to very high impact (I-C &gt; 20.54). More than half of the terrestrial area (57.3%) experienced Very Low Impact or Low impact scores. For single factors, climate change was identified as a rapidly growing and significant threat facing the terrestrial ecosystems of Antarctica. In addition, tourism had the greatest impact among all human activities. The analytical process and resulting map indicate that it is necessary to develop international policies on the restriction of tourist activity space and strength the organic pollutant controls for terrestrial ecosystem protection in the Fildes Peninsula, Antarctica.</t>
  </si>
  <si>
    <t>[Gao, Yunze; Li, Ruijing; Gao, Hui; Hou, Chao; Jin, Shuaichen; Ye, Jiandong; Na, Guangshui] Natl Marine Environm Monitoring Ctr, Dalian 116023, Peoples R China; [Na, Guangshui] Hainan Trop Ocean Univ, Minist Educ, Key Lab Utilizat &amp; Conservat Trop Marine Bioresou, Sanya 572022, Peoples R China; [Gao, Yunze; Hou, Chao; Ye, Jiandong; Na, Guangshui] Shanghai Ocean Univ, Shanghai 201306, Peoples R China</t>
  </si>
  <si>
    <t>National Marine Environmental Monitoring Center; Hainan Tropical Ocean University; Shanghai Ocean University</t>
  </si>
  <si>
    <t>Na, GS (corresponding author), Natl Marine Environm Monitoring Ctr, Dalian 116023, Peoples R China.</t>
  </si>
  <si>
    <t>ye, jian/GQH-3702-2022</t>
  </si>
  <si>
    <t>gao, yunze/0000-0003-0317-6805</t>
  </si>
  <si>
    <t>National Natural Science Foundation of China [41976222, 41406088, 21377032]; Open Fund for the Key Laboratory of Ocean-Atmospheric Chemistry and Global Change, State Oceanic Administration [GCMAC1812]; National Key R&amp;D Project of China [2019YFD0901104]; National Key Research and Development Project of China [2019YFC1408201]; Open Fund for the State Key Laboratory of Environmental Chemistry and Ecotoxicology [KF2018-05]</t>
  </si>
  <si>
    <t>National Natural Science Foundation of China(National Natural Science Foundation of China (NSFC)); Open Fund for the Key Laboratory of Ocean-Atmospheric Chemistry and Global Change, State Oceanic Administration; National Key R&amp;D Project of China; National Key Research and Development Project of China; Open Fund for the State Key Laboratory of Environmental Chemistry and Ecotoxicology</t>
  </si>
  <si>
    <t>The research is funded by the National Natural Science Foundation of China (41976222, 41406088 and 21377032), Open Fund for the Key Laboratory of Ocean-Atmospheric Chemistry and Global Change, State Oceanic Administration (GCMAC1812), National Key R&amp;D Project of China (2019YFD0901104), Open Fund for the State Key Laboratory of Environmental Chemistry and Ecotoxicology (KF2018-05), National Key Research and Development Project of China (2019YFC1408201). We also thank Chinese Arctic and Antarctic Administration and Polar Research Institute of China. Finally, we graciously thank all of the experts who responded to our survey.</t>
  </si>
  <si>
    <t>0301-4797</t>
  </si>
  <si>
    <t>1095-8630</t>
  </si>
  <si>
    <t>J ENVIRON MANAGE</t>
  </si>
  <si>
    <t>J. Environ. Manage.</t>
  </si>
  <si>
    <t>10.1016/j.jenvman.2020.111735</t>
  </si>
  <si>
    <t>PS9IX</t>
  </si>
  <si>
    <t>WOS:000608236500004</t>
  </si>
  <si>
    <t>Baumann, S; Anderson, B; Chinn, T; Mackintosh, A; Collier, C; Lorrey, AM; Rack, W; Purdie, H; Eaves, S</t>
  </si>
  <si>
    <t>Baumann, Sabine; Anderson, Brian; Chinn, Trevor; Mackintosh, Andrew; Collier, Catherine; Lorrey, Andrew M.; Rack, Wolfgang; Purdie, Heather; Eaves, Shaun</t>
  </si>
  <si>
    <t>Updated inventory of glacier ice in New Zealand based on 2016 satellite imagery</t>
  </si>
  <si>
    <t>Debris-covered glaciers; mountain glaciers; remote sensing</t>
  </si>
  <si>
    <t>SOUTHERN ALPS; CLIMATE-CHANGE; MOUNTAIN GLACIERS; DEBRIS COVER; RECOMMENDATIONS; COMPILATION; CHALLENGES; RETREAT; NORWAY</t>
  </si>
  <si>
    <t>The only complete inventory of New Zealand glaciers was based on aerial photography starting in 1978. While there have been partial updates using 2002 and 2009 satellite data, most glaciers are still represented by the 1978 outlines in contemporary global glacier databases. The objective of this project is to establish an updated glacier inventory for New Zealand. We have used Landsat 8 OLI satellite imagery from February and March 2016 for delineating clean glaciers using a semi-automatic band ratio method and debris-covered glaciers using a maximum likelihood classification. The outlines have been checked against Sentinel-2 MSI data, which have a higher resolution. Manual post processing was necessary due to misclassifications (e.g. lakes, clouds), mapping in shadowed areas, and combining the clean and debris-covered parts into single glaciers. New Zealand glaciers cover an area of 794 +/- 34 km(2) in 2016 with a debris-covered area of 10%. Of the 2918 glaciers, seven glaciers are &gt;10 km(2) while 71% is 40%. Only 15 glaciers are located on the North Island. For a selection of glaciers, we were able to calculate the area reduction between the 1978 and 2016 inventories.</t>
  </si>
  <si>
    <t>[Baumann, Sabine] Tech Univ Munich, Inst Atmospher &amp; Phys Geog, Munich, Germany; [Anderson, Brian; Eaves, Shaun] Victoria Univ Wellington, Antarctic Res Ctr, Wellington, New Zealand; [Chinn, Trevor] Alpine &amp; Polar Proc Consultancy, Lake Hawea, New Zealand; [Mackintosh, Andrew] Monash Univ, Sch Earth Atmosphere &amp; Environm, Melbourne, Vic, Australia; [Collier, Catherine] Queens Univ, Kingston, ON, Canada; [Lorrey, Andrew M.] Natl Inst Water &amp; Atmospher Res Ltd, Natl Climate Ctr, Auckland, New Zealand; [Rack, Wolfgang; Purdie, Heather] Univ Canterbury, Sch Earth &amp; Environm, Christchurch, New Zealand; [Eaves, Shaun] Victoria Univ Wellington, Sch Geog Environm &amp; Earth Sci, Wellington, New Zealand</t>
  </si>
  <si>
    <t>Technical University of Munich; Victoria University Wellington; Melbourne Genomics Health Alliance; Monash University; Queens University - Canada; National Institute of Water &amp; Atmospheric Research (NIWA) - New Zealand; University of Canterbury; Victoria University Wellington</t>
  </si>
  <si>
    <t>Baumann, S (corresponding author), Tech Univ Munich, Inst Atmospher &amp; Phys Geog, Munich, Germany.</t>
  </si>
  <si>
    <t>sabine.baumann@dlr.de</t>
  </si>
  <si>
    <t>; Rack, Wolfgang/U-8898-2017</t>
  </si>
  <si>
    <t>Baumann, Sabine/0000-0002-4569-4443; Rack, Wolfgang/0000-0003-2447-377X; Mackintosh, Andrew/0000-0002-6430-4711</t>
  </si>
  <si>
    <t>DFG [BA 4974/2-1]; University of Canterbury; NIWA Strategic Science Investment Fund project 'Climate Present and Past'</t>
  </si>
  <si>
    <t>DFG(German Research Foundation (DFG)); University of Canterbury; NIWA Strategic Science Investment Fund project 'Climate Present and Past'</t>
  </si>
  <si>
    <t>SB thanks the DFG for financial support by the Grant BA 4974/2-1 and CC the University of Canterbury for support by a Summer Research Scholarship. AML and TC received support through the NIWA Strategic Science Investment Fund project 'Climate Present and Past'. Landsat 8 images were made available by courtesy of the U.S. Geological Survey and the Sentinel-2 MSI images by courtesy of the European Space Agency. We thank the editor and the reviewers, especially Frank Paul, for their highly valuable comments and vivid discussion that improved the quality of the paper considerably.</t>
  </si>
  <si>
    <t>PII S0022143020000787</t>
  </si>
  <si>
    <t>10.1017/jog.2020.78</t>
  </si>
  <si>
    <t>PT8BI</t>
  </si>
  <si>
    <t>WOS:000608835500002</t>
  </si>
  <si>
    <t>Baker, MG; Aster, RC; Wiens, DA; Nyblade, A; Bromirski, PD; Gerstoft, P; Stephen, RA</t>
  </si>
  <si>
    <t>Baker, Michael G.; Aster, Richard C.; Wiens, Douglas A.; Nyblade, Andrew; Bromirski, Peter D.; Gerstoft, Peter; Stephen, Ralph A.</t>
  </si>
  <si>
    <t>Teleseismic earthquake wavefields observed on the Ross Ice Shelf</t>
  </si>
  <si>
    <t>Glacier geophysics; ice shelves; seismology</t>
  </si>
  <si>
    <t>UPPER-MANTLE STRUCTURE; MARIE BYRD LAND; DRIFTING ICEBERGS; STRUCTURE BENEATH; WEST ANTARCTICA; SEA EMBAYMENT; SEISMIC NOISE; RAYLEIGH-WAVE; GRAVITY-WAVES; SHEET</t>
  </si>
  <si>
    <t>Observations of teleseismic earthquakes using broadband seismometers on the Ross Ice Shelf (RIS) must contend with environmental and structural processes that do not exist for land-sited seismometers. Important considerations are: (1) a broadband, multi-mode ambient wavefield excited by ocean gravity wave interactions with the ice shelf; (2) body wave reverberations produced by seismic impedance contrasts at the ice/water and water/seafloor interfaces and (3) decoupling of the solid Earth horizontal wavefield by the sub-shelf water column. We analyze seasonal and geographic variations in signal-to-noise ratios for teleseismic P-wave (0.5-2.0 s), S-wave (10-15 s) and surface wave (13-25 s) arrivals relative to the RIS noise field. We use ice and water layer reverberations generated by teleseismic P-waves to accurately estimate the sub-station thicknesses of these layers. We present observations consistent with the theoretically predicted transition of the water column from compressible to incompressible mechanics, relevant for vertically incident solid Earth waves with periods longer than 3 s. Finally, we observe symmetric-mode Lamb waves generated by teleseismic S-waves incident on the grounding zones. Despite their complexity, we conclude that teleseismic coda can be utilized for passive imaging of sub-shelf Earth structure, although longer deployments relative to conventional land-sited seismometers will be necessary to acquire adequate data.</t>
  </si>
  <si>
    <t>[Baker, Michael G.; Aster, Richard C.] Colorado State Univ, Dept Geosci, Ft Collins, CO 80523 USA; [Wiens, Douglas A.] Washington Univ, Dept Earth &amp; Planetary Sci, St Louis, MO 63130 USA; [Nyblade, Andrew] Penn State Univ, Dept Geosci, University Pk, PA 16802 USA; [Bromirski, Peter D.; Gerstoft, Peter] Univ Calif San Diego, Scripps Inst Oceanog, San Diego, CA 92103 USA; [Stephen, Ralph A.] Woods Hole Oceanog Inst, Woods Hole, MA 02543 USA</t>
  </si>
  <si>
    <t>Colorado State University; Washington University (WUSTL); Pennsylvania Commonwealth System of Higher Education (PCSHE); Pennsylvania State University; Pennsylvania State University - University Park; University of California System; University of California San Diego; Scripps Institution of Oceanography; Woods Hole Oceanographic Institution</t>
  </si>
  <si>
    <t>Baker, MG (corresponding author), Colorado State Univ, Dept Geosci, Ft Collins, CO 80523 USA.</t>
  </si>
  <si>
    <t>mgbaker@colostate.edu</t>
  </si>
  <si>
    <t>Aster, Richard/E-5067-2013; Gerstoft, Peter/B-2842-2009; Wiens, Douglas/J-9259-2016</t>
  </si>
  <si>
    <t>Aster, Richard/0000-0002-0821-4906; Gerstoft, Peter/0000-0002-0471-062X; Wiens, Douglas/0000-0002-5169-4386; Baker, Michael/0000-0002-4580-6820</t>
  </si>
  <si>
    <t>NSF [PLR-1142518, 1141916, 1142126, 1246151, 1246416, OPP-1744852, 1744856]; National Science Foundation [EAR-1851048]; DOE National Nuclear Security Administration; Office of Polar Programs (OPP); Directorate For Geosciences [1246416, 1141916, 1246151, 1142126] Funding Source: National Science Foundation; Office of Polar Programs (OPP); Directorate For Geosciences [1744856] Funding Source: National Science Foundation</t>
  </si>
  <si>
    <t>NSF(National Science Foundation (NSF)); National Science Foundation(National Science Foundation (NSF)); DOE National Nuclear Security Administration(National Nuclear Security AdministrationUnited States Department of Energy (DOE));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</si>
  <si>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NSF grants PLR-1142518, 1141916, 1142126, 1246151, 1246416 and OPP-1744852 and 1744856. Seismic instruments were provided by the Incorporated Research Institutions for Seismology (IRIS) through the PASSCAL Instrument Center at New Mexico Tech. Data are available through the IRIS Data Management Center under RIS and DRIS network code XH (doi.org/10.7914/SN/XH\_2014). We make use of the following supplemental datasets: (1) permanent Global Seismographic Network station SBA (20 Hz) near Scott Base on Ross Island (doi: 10.7914/SN/IU); (2) bathymetric and topographic data from the National Geophysical Data Center ETOPO1 Global Relief Model (doi:10.7289/V5C8276M) and (3) coastline data from the SCAR Antarctic Digital Database (add.scar.org, accessed August 2020). Ice shelf profiles and interpolations of BedMachine and BEDMAP2 data were generated with the Antarctic Mapping Tools (Greene and others, 2017). The facilities of the IRIS Consortium are supported by the National Science Foundation under Cooperative Agreement EAR-1851048 and the DOE National Nuclear Security Administration. We thank Samantha Hansen and an anonymous reviewer for suggestions that improved this article.</t>
  </si>
  <si>
    <t>PII S0022143020000830</t>
  </si>
  <si>
    <t>10.1017/jog.2020.83</t>
  </si>
  <si>
    <t>WOS:000608835500006</t>
  </si>
  <si>
    <t>Dallmayr, R; Freitag, J; Hörhold, M; Laepple, T; Lemburg, J; Della-Lunga, D; Wilhelms, F</t>
  </si>
  <si>
    <t>Dallmayr, Remi; Freitag, Johannes; Hoerhold, Maria; Laepple, Thomas; Lemburg, Johannes; Della-Lunga, Damiano; Wilhelms, Frank</t>
  </si>
  <si>
    <t>A dual-tube sampling technique for snowpack studies</t>
  </si>
  <si>
    <t>Efficiency; isotopic composition and topography; sampling; snowpack</t>
  </si>
  <si>
    <t>WATER ISOTOPES; KOHNEN STATION; ANTARCTIC FIRN; ICE; DENSIFICATION; SIGNAL; NOISE; MODEL</t>
  </si>
  <si>
    <t>The validity of any glaciological paleo proxy used to interpret climate records is based on the level of understanding of their transfer from the atmosphere into the ice sheet and their recording in the snowpack. Large spatial noise in snow properties is observed, as the wind constantly redistributes the deposited snow at the surface routed by the local topography. To increase the signal-to-noise ratio and getting a representative estimate of snow properties with respect to the high spatial variability, a large number of snow profiles is needed. However, the classical way of obtaining profiles via snow-pits is time and energy-consuming, and thus unfavourable for large surface sampling programs. In response, we present a dual-tube technique to sample the upper metre of the snowpack at a variable depth resolution with high efficiency. The developed device is robust and avoids contact with the samples by exhibiting two tubes attached alongside each other in order to (1) contain the snow core sample and (2) to access the bottom of the sample, respectively. We demonstrate the performance of the technique through two case studies in East Antarctica where we analysed the variability of water isotopes at a 100 m and 5 km spatial scales.</t>
  </si>
  <si>
    <t>[Dallmayr, Remi; Freitag, Johannes; Hoerhold, Maria; Lemburg, Johannes; Della-Lunga, Damiano; Wilhelms, Frank] Helmholtz Zentrum Polarund Meeresforsch, Alfred Wegener Inst, Handelshafen 12, D-27570 Bremerhaven, Germany; [Dallmayr, Remi; Wilhelms, Frank] Univ Gottingen, GZG Abt Kristallog, Gottingen, Germany; [Laepple, Thomas] Helmholtz Zentrum Polarund Meeresforsch, Alfred Wegener Inst, Telegrafenberg A45, D-14473 Potsdam, Germany; [Laepple, Thomas] Univ Bremen, MARUM Ctr Marine Environm Sci, D-28334 Bremen, Germany; [Laepple, Thomas] Fac Geosci, D-28334 Bremen, Germany</t>
  </si>
  <si>
    <t>Helmholtz Association; Alfred Wegener Institute, Helmholtz Centre for Polar &amp; Marine Research; University of Gottingen; Helmholtz Association; Alfred Wegener Institute, Helmholtz Centre for Polar &amp; Marine Research; University of Bremen</t>
  </si>
  <si>
    <t>Dallmayr, R (corresponding author), Helmholtz Zentrum Polarund Meeresforsch, Alfred Wegener Inst, Handelshafen 12, D-27570 Bremerhaven, Germany.;Dallmayr, R (corresponding author), Univ Gottingen, GZG Abt Kristallog, Gottingen, Germany.</t>
  </si>
  <si>
    <t>remi.dallmayr@awi.de</t>
  </si>
  <si>
    <t>Hörhold, Maria/IST-9483-2023; Wilhelms, Frank/KEI-8426-2024; Laepple, Thomas/M-8783-2015</t>
  </si>
  <si>
    <t>Wilhelms, Frank/0000-0001-7688-3135; Laepple, Thomas/0000-0001-8108-7520; Lemburg, Johannes/0000-0002-7356-964X; Freitag, Johannes/0000-0003-2654-9440</t>
  </si>
  <si>
    <t>Helmholtz funding through the Polar Regions and Coasts in the Changing Earth System (PACES) programme of the Alfred Wegener Institute; European Research Council (ERC) under the European Union's Horizon 2020 Research and Innovation Programme [716092]</t>
  </si>
  <si>
    <t>Helmholtz funding through the Polar Regions and Coasts in the Changing Earth System (PACES) programme of the Alfred Wegener Institute; European Research Council (ERC) under the European Union's Horizon 2020 Research and Innovation Programme(European Research Council (ERC))</t>
  </si>
  <si>
    <t>We thank all the scientists, technicians and logistic support who worked at Kohnen station during the austral 2018/19 summer, especially Klaus Trimborn for his resourcefulness, warm company and skilfulness. We also thank Jan Tell for initial investigations addressing the optimal tube combination. In the name of Matthias Littmann, we gratefully acknowledge the AWI-workshop for the successful realization of the complete sampling device. We further thank Melanie Behrens and York Schlomann for conducting the isotopic measurements in Bremerhaven. This project was supported by Helmholtz funding through the Polar Regions and Coasts in the Changing Earth System (PACES) programme of the Alfred Wegener Institute. TL was supported by the European Research Council (ERC) under the European Union's Horizon 2020 Research and Innovation Programme (grant agreement no. 716092). We gratefully acknowledge the work of three anonymous reviewers and the editor, Alec Van Herwijnen.</t>
  </si>
  <si>
    <t>PII S0022143020000854</t>
  </si>
  <si>
    <t>10.1017/jog.2020.85</t>
  </si>
  <si>
    <t>WOS:000608835500008</t>
  </si>
  <si>
    <t>Hao, GH; Pirazzini, R; Yang, QH; Tian, ZX; Liu, CW</t>
  </si>
  <si>
    <t>Hao, Guanghua; Pirazzini, Roberta; Yang, Qinghua; Tian, Zhongxiang; Liu, Changwei</t>
  </si>
  <si>
    <t>Spectral albedo of coastal landfast sea ice in Prydz Bay, Antarctica</t>
  </si>
  <si>
    <t>Antarctic; observation; sea ice; spectral albedo</t>
  </si>
  <si>
    <t>SURFACE ALBEDO; ZHONGSHAN STATION; SNOW; RADIATION; SUMMER; ERRORS; WATER</t>
  </si>
  <si>
    <t>The surface spectral albedo was measured over coastal landfast sea ice in Prydz Bay (off Zhongshan Station), East Antarctica from 5 October to 26 November of 2016. The mean albedo decreased from late-spring to early-summer, mainly responding to the change in surface conditions from dry (phase I) to wet (phase II). The evolution of the albedo was strongly influenced by the surface conditions, with alternation of frequent snowfall events and katabatic wind that induce snow blowing at the surface. The two phases and day-to-day albedo variability were more pronounced in the near-infrared albedo wavelengths than in the visible ones, as the near-infrared photons are more sensitive to snow metamorphism, and to changes in the uppermost millimeters and water content of the surface. The albedo diurnal cycle during clear sky conditions was asymmetric with respect to noon, decreasing from morning to evening over full and patchy snow cover, and decreasing more rapidly in the morning over bare ice. We conclude that snow and ice metamorphism and surface melting dominated over the solar elevation angle dependency in shaping the albedo evolution. However, we realize that more detailed surface observations are needed to clarify and quantify the role of the various surface processes.</t>
  </si>
  <si>
    <t>[Hao, Guanghua; Tian, Zhongxiang] Natl Marine Environm Forecasting Ctr, Minist Nat Resources, Key Lab Marine Hazards Forecasting, Beijing 100081, Peoples R China; [Pirazzini, Roberta] Finnish Meteorol Inst, Helsinki 00101, Finland; [Yang, Qinghua; Liu, Changwei] Sun Yat Sen Univ, Sch Atmospher Sci, Zhuhai 519082, Peoples R China; [Yang, Qinghua; Liu, Changwei] Southern Marine Sci &amp; Engn Guangdong Lab Zhuhai, Zhuhai 519082, Peoples R China</t>
  </si>
  <si>
    <t>National Marine Environmental Forecasting Center; Ministry of Natural Resources of the People's Republic of China; Finnish Meteorological Institute; Sun Yat Sen University; Southern Marine Science &amp; Engineering Guangdong Laboratory; Southern Marine Science &amp; Engineering Guangdong Laboratory (Zhuhai)</t>
  </si>
  <si>
    <t>Yang, QH (corresponding author), Sun Yat Sen Univ, Sch Atmospher Sci, Zhuhai 519082, Peoples R China.;Yang, QH (corresponding author), Southern Marine Sci &amp; Engn Guangdong Lab Zhuhai, Zhuhai 519082, Peoples R China.</t>
  </si>
  <si>
    <t>yangqh25@mail.sysu.edu.cn</t>
  </si>
  <si>
    <t>Hao, Guanghua/AAC-3979-2019</t>
  </si>
  <si>
    <t>Yang, Qinghua/0000-0002-7114-2036</t>
  </si>
  <si>
    <t>National Key R&amp;D Program of China [2018YFA0605903]; National Natural Science Foundation of China [41941009, 41922044]; Guangdong Basic and Applied Basic Research Foundation [2020B1515020025]; Academy of Finland [304345]; [P193015007]</t>
  </si>
  <si>
    <t>National Key R&amp;D Program of China; National Natural Science Foundation of China(National Natural Science Foundation of China (NSFC)); Guangdong Basic and Applied Basic Research Foundation; Academy of Finland(Research Council of Finland);</t>
  </si>
  <si>
    <t>This study was supported by the National Key R&amp;D Program of China (Grant No. 2018YFA0605903), the National Natural Science Foundation of China (Grant Nos. 41941009 and 41922044), the Guangdong Basic and Applied Basic Research Foundation (Grant No. 2020B1515020025), the Academy of Finland (contract 304345) and the training program (P193015007). 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We thank the Chinese Arctic and Antarctic Administration and Polar Research Institute of China for the CHINARE logistics support. We thank Marcel Nicolaus and Stephen Hudson for sharing the routines for the shadow correction in the data processing. The Russian meteorological station of Progress II is also thanked for providing precipitation data. We thank two anonymous reviewers and the scientific editor Iestyn Barr for their valuable comments to help improve our manuscript.</t>
  </si>
  <si>
    <t>10.1017/jog.2020.90</t>
  </si>
  <si>
    <t>WOS:000608835500012</t>
  </si>
  <si>
    <t>Hill, EA; Gudmundsson, GH; Carr, JR; Stokes, CR; King, HM</t>
  </si>
  <si>
    <t>Hill, Emily A.; Gudmundsson, G. Hilmar; Carr, J. Rachel; Stokes, Chris R.; King, Helen M.</t>
  </si>
  <si>
    <t>Twenty-first century response of Petermann Glacier, northwest Greenland to ice shelf loss</t>
  </si>
  <si>
    <t>Glacier flow; glacier modelling; ice-shelf break-up</t>
  </si>
  <si>
    <t>GROUNDING-LINE; OUTLET GLACIERS; JAKOBSHAVN ISBRAE; SIMULATED RETREAT; PINE ISLAND; GLETSCHER; STABILITY; ANTARCTICA; FLOW; MELT</t>
  </si>
  <si>
    <t>Ice shelves restrain flow from the Greenland and Antarctic ice sheets. Climate-ocean warming could force thinning or collapse of floating ice shelves and subsequently accelerate flow, increase ice discharge and raise global mean sea levels. Petermann Glacier (PG), northwest Greenland, recently lost large sections of its ice shelf, but its response to total ice shelf loss in the future remains uncertain. Here, we use the ice flow model ua to assess the sensitivity of PG to changes in ice shelf extent, and to estimate the resultant loss of grounded ice and contribution to sea level rise. Our results have shown that under several scenarios of ice shelf thinning and retreat, removal of the shelf will not contribute substantially to global mean sea level (&lt;1 mm). We hypothesize that grounded ice loss was limited by the stabilization of the grounding line at a topographic high similar to 12 km inland of its current grounding line position. Further inland, the likelihood of a narrow fjord that slopes seawards suggests that PG is likely to remain insensitive to terminus changes in the near future.</t>
  </si>
  <si>
    <t>[Hill, Emily A.; Carr, J. Rachel] Newcastle Univ, Sch Geog Polit &amp; Sociol, Newcastle Upon Tyne NE1 7RU, Tyne &amp; Wear, England; [Gudmundsson, G. Hilmar; King, Helen M.] Northumbria Univ, Dept Geog &amp; Environm Sci, Newcastle Upon Tyne NE1 8ST, Tyne &amp; Wear, England; [Stokes, Chris R.] Univ Durham, Dept Geog, Durham DH1 3LE, England</t>
  </si>
  <si>
    <t>Newcastle University - UK; Northumbria University; Durham University</t>
  </si>
  <si>
    <t>Hill, EA (corresponding author), Newcastle Univ, Sch Geog Polit &amp; Sociol, Newcastle Upon Tyne NE1 7RU, Tyne &amp; Wear, England.</t>
  </si>
  <si>
    <t>emily.hill@northumbria.ac.uk</t>
  </si>
  <si>
    <t>Gudmundsson, Gudmundur Hilmar/AAU-5987-2020; Stokes, Chris R/A-1957-2011</t>
  </si>
  <si>
    <t>Gudmundsson, Gudmundur Hilmar/0000-0003-4236-5369; Hill, Emily/0000-0003-3175-3163</t>
  </si>
  <si>
    <t>Natural Environment Research Council Doctoral Scholarship [NE/L002590/1]; Newcastle University, UK</t>
  </si>
  <si>
    <t>Natural Environment Research Council Doctoral Scholarship; Newcastle University, UK</t>
  </si>
  <si>
    <t>This research was funded by a Natural Environment Research Council Doctoral Scholarship (grant number: NE/L002590/1) awarded to E. A. Hill through the IAPETUS Doctoral Training Partnership and Newcastle University, UK. The ice flow model (Ua) used to conduct this study can be acquired from http://doi.org/10.5281/zenodo.3706624 (Gudmundsson, 2020). All datasets used to produce the results of this paper are available as follows. The RACMO2.3 Greenland surface mass-balance dataset was provided on request by Brice Noel and Michiel van den Broeke, to whom we are grateful. Additional datasets are freely available via the following sources: the Operation IceBridge BedMachine version 3 dataset (Morlighem and others, 2017) available at doi.org/10.5067/2CIX82HUV88Y, and Greenland annual ice-sheet velocities (Joughin and others, 2010b) from the MEaSUREs program available at doi.org/10.5067/OC7B04ZM9G6Q. We are grateful to the Editor and two anonymous reviewers for their comments on the manuscript.</t>
  </si>
  <si>
    <t>10.1017/jog.2020.97</t>
  </si>
  <si>
    <t>WOS:000608835500014</t>
  </si>
  <si>
    <t>Rowan, AV; Nicholson, LI; Quincey, DJ; Gibson, MJ; Irvine-Fynn, TDL; Watson, CS; Wagnon, P; Rounce, DR; Thompson, SS; Porter, PR; Glasser, NF</t>
  </si>
  <si>
    <t>Rowan, Ann V.; Nicholson, Lindsey I.; Quincey, Duncan J.; Gibson, Morgan J.; Irvine-Fynn, Tristram D. L.; Watson, C. Scott; Wagnon, Patrick; Rounce, David R.; Thompson, Sarah S.; Porter, Philip R.; Glasser, Neil F.</t>
  </si>
  <si>
    <t>Seasonally stable temperature gradients through supraglacial debris in the Everest region of Nepal, Central Himalaya</t>
  </si>
  <si>
    <t>ENERGY-BALANCE MODEL; COVERED GLACIERS; KHUMBU GLACIER; THICKNESS; ABLATION; SOUTHERN; AREA; MELT</t>
  </si>
  <si>
    <t>Rock debris covers similar to 30% of glacier ablation areas in the Central Himalaya and modifies the impact of atmospheric conditions on mass balance. The thermal properties of supraglacial debris are diurnally variable but remain poorly constrained for monsoon-influenced glaciers over the timescale of the ablation season. We measured vertical debris profile temperatures at 12 sites on four glaciers in the Everest region with debris thickness ranging from 0.08 to 2.8 m. Typically, the length of the ice ablation season beneath supraglacial debris was 160 days (15 May to 22 October)-a month longer than the monsoon season. Debris temperature gradients were approximately linear (r(2) &gt; 0.83), measured as -40 degrees C m(-1) where debris was up to 0.1 m thick, -20 degrees C m(-1) for debris 0.1-0.5 m thick, and -4 degrees C m(-1) for debris greater than 0.5 m thick. Our results demonstrate that the influence of supraglacial debris on the temperature of the underlying ice surface, and therefore melt, is stable at a seasonal timescale and can be estimated from near-surface temperature. These results have the potential to greatly improve the representation of ablation in calculations of debris-covered glacier mass balance and projections of their response to climate change.</t>
  </si>
  <si>
    <t>[Rowan, Ann V.] Univ Sheffield, Dept Geog, Sheffield S10 2TN, S Yorkshire, England; [Nicholson, Lindsey I.] Univ Innsbruck, Inst Meteorol &amp; Geophys, Innsbruck, Austria; [Quincey, Duncan J.] Univ Leeds, Sch Geog, Leeds LS2 9JT, W Yorkshire, England; [Gibson, Morgan J.; Irvine-Fynn, Tristram D. L.; Glasser, Neil F.] Aberystwyth Univ, Dept Geog &amp; Earth Sci, Aberystwyth SY23 3DB, Dyfed, Wales; [Watson, C. Scott] Univ Leeds, Sch Earth &amp; Environm, COMET, Leeds LS2 9JT, W Yorkshire, England; [Wagnon, Patrick] Univ Grenoble Alpes, CNRS, IRD, IGE, F-38000 Grenoble, France; [Rounce, David R.] Univ Alaska Fairbanks, Geophys Inst, Fairbanks, AK USA; [Thompson, Sarah S.] Univ Ctr Svalbard, Dept Geol, N-9171 Longyearbyen, Norway; [Thompson, Sarah S.] Univ Tasmania, Inst Marine &amp; Antarctic Studies, Hobart, Tas, Australia; [Porter, Philip R.] Univ Hertfordshire, Hatfield AL10 9AB, Herts, England</t>
  </si>
  <si>
    <t>University of Sheffield; University of Innsbruck; University of Leeds; Aberystwyth University; University of Leeds; Communaute Universite Grenoble Alpes; Universite Grenoble Alpes (UGA); Centre National de la Recherche Scientifique (CNRS); Institut de Recherche pour le Developpement (IRD); University of Alaska System; University of Alaska Fairbanks; University Centre Svalbard (UNIS); University of Tasmania; University of Hertfordshire</t>
  </si>
  <si>
    <t>Rowan, AV (corresponding author), Univ Sheffield, Dept Geog, Sheffield S10 2TN, S Yorkshire, England.</t>
  </si>
  <si>
    <t>a.rowan@sheffield.ac.uk</t>
  </si>
  <si>
    <t>Jones, Morgan/0000-0002-5281-524X; Nicholson, Lindsey/0000-0003-0430-7950; Rounce, David/0000-0002-4481-4191; Quincey, Duncan/0000-0002-7602-7926; Irvine-Fynn, Tristram/0000-0003-3157-6646; Rowan, Ann/0000-0002-3715-5554</t>
  </si>
  <si>
    <t>Royal Society [RG120393]; Mount Everest Foundation; Austrian Science Fund [V309, P28521]; Austrian Science Fund (FWF) [P28521] Funding Source: Austrian Science Fund (FWF); NERC [come30001, NE/T009462/1] Funding Source: UKRI</t>
  </si>
  <si>
    <t>Royal Society(Royal Society); Mount Everest Foundation; Austrian Science Fund(Austrian Science Fund (FWF)); Austrian Science Fund (FWF)(Austrian Science Fund (FWF)); NERC(UK Research &amp; Innovation (UKRI)Natural Environment Research Council (NERC))</t>
  </si>
  <si>
    <t>Fieldwork at Khumbu Glacier was supported by Royal Society Research Grant RG120393 to A. Rowan and D. Quincey and a grant from the Mount Everest Foundation to A. Rowan. L. Nicholson was supported by Austrian Science Fund (Project numbers V309 and P28521). Yves Lejeune is thanked for processing precipitation data, and Pierre Chevallier for processing air temperature data collected at the Pyramid Observatory. The meteorological dataset contained within this study was collected within the framework of the Ev-K2-CNR Project in collaboration with the Nepal Academy of Science and Technology as foreseen by the Memorandum of Understanding between Nepal and Italy, and thanks to contributions from the Italian National Research Council, the Italian Ministry of Education, University and Research and the Italian Ministry of Foreign Affairs. We thank Himalayan Research Expeditions and Summit Trekking for support and guiding in the field. We thank the Scientific Editor, Dan Shugar, and an anonymous reviewer for their helpful comments that improved the presentation of this work.</t>
  </si>
  <si>
    <t>10.1017/jog.2020.100</t>
  </si>
  <si>
    <t>WOS:000608835500016</t>
  </si>
  <si>
    <t>Utevsky, A; Solod, R; Utevsky, S</t>
  </si>
  <si>
    <t>Utevsky, Andriy; Solod, Roman; Utevsky, Serge</t>
  </si>
  <si>
    <t>A new deep-sea fish leech of the bipolar genus Pterobdellina stat. rev. (Hirudinea: Piscicolidae) parasitic on the Antarctic toothfish Dissostichus mawsoni (Perciformes: Nototheniidae)</t>
  </si>
  <si>
    <t>Amundsen Sea; Ross Sea; Mawson Sea; Cooperation Sea; Cosmonauts Sea; Taxonomy; Phylogenetics; Parasitology; Bipolar distribution; Annelida</t>
  </si>
  <si>
    <t>SP-N HIRUDINEA; MARINE; PHYLOGENY; OLIGOCHAETA; CLITELLATA; SEQUENCES; TAXONOMY; CHOICE; FAMILY; BAY</t>
  </si>
  <si>
    <t>A new Antarctic fish leech with unique external appearance is described and assigned to the bipolar genus Pterobdellina Bennike &amp; Bruun, 1939. The systematic rank of the latter is elevated from a subgenus of the genus Pterobdella Kaburaki, 1921 to a separate generic level. Pterobdellina vernadskyi sp. nov. bears both marginal fin-like structures and prominent dorsal zigzag folds with an unclear function. Morphologically, the new species resembles its Boreal congener Pterobdellina jenseni Bennike &amp; Bruun, 1939, except having dorsal folds and in some details of its anatomy. The molecular phylogenetic analysis based on mitochondrial cox1, nad1 and tRNA Leu genes revealed sister relationships of P. vernadskyi sp. nov. to two Antarctic leeches, Trachelobdellina glabra Moore, 1957 and Nototheniobdella sawyeri Utevsky, 1993. Pterobdellina vernadskyi sp. nov. is an abundant large-bodied parasite of the commercial Antarctic toothfish. The new species is currently the deepest Antarctic leech (2600 m), thus exceeding previous records by 1200 m. This new finding suggests that bipolar disjunctions could play a certain role in the evolutionary history of Antarctic piscicolid leeches.</t>
  </si>
  <si>
    <t>[Utevsky, Andriy; Utevsky, Serge] Kharkov Natl Univ, Dept Zool &amp; Anim Ecol, 4 Maidan Svobody, UA-61022 Kharkiv, Ukraine; [Utevsky, Andriy] State Inst Natl Antarctic Sci Ctr, 16 Taras Shevchenko Blvd, UA-01601 Kiev, Ukraine; [Solod, Roman] Inst Fisheries &amp; Marine Ecol, 8 Konsulska Str, UA-71118 Berdiansk, Ukraine</t>
  </si>
  <si>
    <t>Ministry of Education &amp; Science of Ukraine; VN Karazin Kharkiv National University; Ministry of Education &amp; Science of Ukraine; State Institution National Antarctic Scientific Center</t>
  </si>
  <si>
    <t>Utevsky, A (corresponding author), Kharkov Natl Univ, Dept Zool &amp; Anim Ecol, 4 Maidan Svobody, UA-61022 Kharkiv, Ukraine.;Utevsky, A (corresponding author), State Inst Natl Antarctic Sci Ctr, 16 Taras Shevchenko Blvd, UA-01601 Kiev, Ukraine.</t>
  </si>
  <si>
    <t>andriy.utevsky@karazin.ua</t>
  </si>
  <si>
    <t>Utevsky, Serge/HJA-1084-2022</t>
  </si>
  <si>
    <t>Utevsky, Andriy/0000-0002-8336-1105</t>
  </si>
  <si>
    <t>National Antarctic Scientific Center of Ukraine, Ministry of Education and Science of Ukraine [H/21-2020]</t>
  </si>
  <si>
    <t>National Antarctic Scientific Center of Ukraine, Ministry of Education and Science of Ukraine</t>
  </si>
  <si>
    <t>This research was supported in part by the National Antarctic Scientific Center of Ukraine, Ministry of Education and Science of Ukraine (grant./21-2020). DNA sequences of P. vernadskyi sp. nov. were obtained using facilities and equipment of the Department of Biology, University of Ljubljana, courtesy of Professor Boris Sket and Professor Peter Trontelj.</t>
  </si>
  <si>
    <t>10.1007/s12526-020-01140-1</t>
  </si>
  <si>
    <t>PU0GU</t>
  </si>
  <si>
    <t>WOS:000608986800001</t>
  </si>
  <si>
    <t>Bruguera, MB; Fink, A; Schröder, V; Bermúdez, SL; Dessy, E; van den Berg, FP; Lawson, G; Dangoisse, C; Possnig, C; Albertsen, N; Pattyn, N; Ewald, R</t>
  </si>
  <si>
    <t>Bruguera, Miquel Bosch; Fink, Andreas; Schroeder, Valerie; Bermudez, Santiago Lopez; Dessy, Emilie; van den Berg, Floris P.; Lawson, Greig; Dangoisse, Carole; Possnig, Carmen; Albertsen, Nadja; Pattyn, Nathalie; Ewald, Reinhold</t>
  </si>
  <si>
    <t>Assessment of the effects of isolation, confinement and hypoxia on spaceflight piloting performance for future space missions - The SIMSKILL experiment in Antarctica</t>
  </si>
  <si>
    <t>Soyuz; Antarctica; Human performance; Space flight simulator; Hypoxia; ICE</t>
  </si>
  <si>
    <t>Interplanetary human missions to Mars and beyond will suppose a very demanding physical and psychological environment for future astronauts. Isolation, confinement, hypoxia or hypercapnia in a less pressurized atmosphere, darkness and other factors are expected to endanger a mission's success, directly influencing human performance. In order to study the effects of such environmental conditions on human beings, the SIMSKILL Experiment aims to investigate how spacecraft piloting performance decays over time by deploying a Soyuz flight simulator on the Antarctic research stations Halley VI and Concordia, which feature similar living conditions as those of a space mission, leading eventually to muscular atrophy, loss of cognitive capacities, and reduction of psycho-motor skills. This paper offers an analysis on the recorded data from the scientific campaigns in Antarctica, compared to those of the subjects in a control group in Stuttgart, Germany. An overall total of 69 subjects and more than one thousand approach and docking flights to the ISS performed in a Soyuz-TMA simulator have been analysed using a performance assessment methodology. The post-processed simulation dataset allows to recognize collective trends and find which are the essential parameters that affect the pilot's skill evolution. The results obtained from this analysis show how the influence of isolation, confinement and hypoxia in Antarctica is crucial to understand how differences in performance appear between subjects. The significance of the obtained results has been proven by means of statistical models, which show that a one-month training refreshing delivers satisfactory performance for a docking simulation, whereas a frequency of 3 months follows to a loss of piloting reliability. Moreover, the effect of isolation and hypoxia aggravates the loss of flight performance.</t>
  </si>
  <si>
    <t>[Bruguera, Miquel Bosch; Fink, Andreas; Schroeder, Valerie; Bermudez, Santiago Lopez; Ewald, Reinhold] Univ Stuttgart, Inst Space Syst, Pfaffenwaldring 29, D-70569 Stuttgart, Germany; [Dessy, Emilie; Pattyn, Nathalie] Royal Mil Acad, Rue Hobbema 8, B-1000 Brussels, Belgium; [van den Berg, Floris P.; Dangoisse, Carole; Possnig, Carmen; Albertsen, Nadja] European Space Agcy ESTEC, Keplerlaan 1, NL-2201 AZ Noordwijk, Netherlands; [Lawson, Greig] British Antarctic Survey, Madingley Rd, Cambridge CB3 0ET, England</t>
  </si>
  <si>
    <t>University of Stuttgart; European Space Agency; UK Research &amp; Innovation (UKRI); Natural Environment Research Council (NERC); NERC British Antarctic Survey</t>
  </si>
  <si>
    <t>Bruguera, MB (corresponding author), Univ Stuttgart, Inst Space Syst, Pfaffenwaldring 29, D-70569 Stuttgart, Germany.</t>
  </si>
  <si>
    <t>bosch@irs.uni-stuttgart.de</t>
  </si>
  <si>
    <t>Lawson, Greig/0000-0003-3049-6804; Bosch Bruguera, Miquel/0000-0002-5620-0015; Albertsen, Nadja/0000-0002-6774-9492; Pattyn, Nathalie/0000-0002-2690-5479</t>
  </si>
  <si>
    <t>BMWi; dlr; NERC [bas010011] Funding Source: UKRI</t>
  </si>
  <si>
    <t>BMWi(Federal Ministry for Economic Affairs and Energy (BMWi)); dlr(Helmholtz AssociationGerman Aerospace Centre (DLR)); NERC(UK Research &amp; Innovation (UKRI)Natural Environment Research Council (NERC))</t>
  </si>
  <si>
    <t>The current work is fruit of a wide range of partners and participants. Thanks to the dlr and BMWi for sponsoring the project. Acknowledgements to ipev, pnra and bas for their incalculable support on implementing this experiment in both Concordia and Halley VI stations. Special thanks to the SciSpaceE Team of the esa for opening the possibility to perform science in such a singular environment and coordinating the many different participants. Finally and most importantly, a big acknowledgement to all volunteer participants of the SIMSKILL experiment as well as the ESA Research Medical Doctors in Antarctica, who contributed to this project during a whole campaign for the sake of science and space research.</t>
  </si>
  <si>
    <t>10.1016/j.actaastro.2020.11.019</t>
  </si>
  <si>
    <t>PN1NW</t>
  </si>
  <si>
    <t>WOS:000604254600042</t>
  </si>
  <si>
    <t>Garrido-Benavent, I; Pérez-Ortega, S; de los Ríos, A; Mayrhofer, H; Fernández-Mendoza, F</t>
  </si>
  <si>
    <t>Garrido-Benavent, Isaac; Perez-Ortega, Sergio; de los Rios, Asuncion; Mayrhofer, Helmut; Fernandez-Mendoza, Fernando</t>
  </si>
  <si>
    <t>Neogene speciation and Pleistocene expansion of the genus Pseudephebe (Parmeliaceae, lichenized fungi) involving multiple colonizations of Antarctica</t>
  </si>
  <si>
    <t>Ascomycota; Bipolar; Cryptic species; Lichen-forming fungi; Phylogeography; Species delimitation</t>
  </si>
  <si>
    <t>FORMING FUNGI; SPECIES DELIMITATION; POPULATION-STRUCTURE; MAXIMUM-LIKELIHOOD; GENETIC DIVERSITY; XANTHOPARMELIA PARMELIACEAE; DISTRIBUTION PATTERNS; CETRARIA-ACULEATA; PHYLOGEOGRAPHY; BIOGEOGRAPHY</t>
  </si>
  <si>
    <t>Widespread geographic distributions in lichens have been usually explained by the high dispersal capacity of their tiny diaspores. However, recent phylogenetic surveys have challenged this assumption and provided compelling evidence for cryptic speciation and more restricted distribution ranges in diverse lineages of lichen-forming fungi. To evaluate these scenarios, we focus on the fungal genus Pseudephebe (Parmeliaceae) which includes amphitropical species, a distribution pattern whose origin has been a matter of debate since first recognized in the nineteenth century. In our study, a six-locus dataset and a broad specimen sampling covering almost all Earth's continents is used to investigate species delimitation in Pseudephebe. Population structure, gene flow and dating analyses, as well as genealogical reconstruction methods, are employed to disentangle the most plausible transcontinental migration routes, and estimate the timing of the origin of the amphitropical distribution and the Antarctic populations. Our results demonstrate the existence of three partly admixed phylogenetic species that diverged between the Miocene and Pliocene, and whose Quaternary distribution has been strongly driven by glacial cycles. Pseudephebe minuscula is the only species showing an amphitropical distribution, with populations in Antarctica, whereas the restricted distribution of P. pubescens and an undescribed Alaskan species might reflect the survival of these species in European and North American refugia. Our microevolutionary analyses suggest a Northern Hemisphere origin for P. minuscula, which could have dispersed into the Southern Hemisphere directly and/or through mountain-hopping during the Pleistocene. The Antarctic populations of this species are sorted into two genetic clusters: populations of the Antarctic Peninsula were grouped together with South American ones, and the Antarctic Continental populations formed a second cluster with Bolivian and Svalbard populations. Therefore, our data strongly suggest that the current distribution of P. minuscula in Antarctica is the outcome of multiple, recent colonizations. In conclusion, our results stress the need for integrating species delimitation and population analyses to properly approach historical biogeography in lichen-forming fungi.</t>
  </si>
  <si>
    <t>[Garrido-Benavent, Isaac; de los Rios, Asuncion] Natl Museum Nat Sci MNCN CSIC, Dept Biogeochem &amp; Microbial Ecol, Serrano 115 Dpdo, E-28045 Madrid, Spain; [Garrido-Benavent, Isaac; Mayrhofer, Helmut; Fernandez-Mendoza, Fernando] Karl Franzens Univ Graz, Inst Plant Sci, A-8010 Graz, Austria; [Perez-Ortega, Sergio] Real Jardin Bot CSIC, Dept Mycol, Plaza Murillo 2, E-28014 Madrid, Spain</t>
  </si>
  <si>
    <t>Consejo Superior de Investigaciones Cientificas (CSIC); University of Graz; Consejo Superior de Investigaciones Cientificas (CSIC); CSIC - Real Jardin Botanico de Madrid</t>
  </si>
  <si>
    <t>Garrido-Benavent, I (corresponding author), Natl Museum Nat Sci, Serrano 115 Dpdo, E-28045 Madrid, Spain.</t>
  </si>
  <si>
    <t>igbenavent@mncn.csic.es</t>
  </si>
  <si>
    <t>Garrido-Benavent, Isaac/AAA-1982-2020; de los Rios, Asuncion/L-3694-2014; Perez-Ortega, Sergio/G-1257-2016</t>
  </si>
  <si>
    <t>Garrido-Benavent, Isaac/0000-0002-5230-225X; de los Rios, Asuncion/0000-0002-0266-3516; Perez-Ortega, Sergio/0000-0002-5411-3698</t>
  </si>
  <si>
    <t>Austrian FWF Einzelprojekt [P26359]; FPU [AP2012-3556]; Estancia Breve-FPU [EST14/00481]; U.S. National Park Service; Klondike Gold Rush National Historical Park; Glacier Bay National Park and Preserve [R9815110518]; Spanish Ministry of Economy and Competitiveness [CTM2015-64728-C2-2-R, RYC-2014-16784]; Austrian Science Fund (FWF) [P26359] Funding Source: Austrian Science Fund (FWF)</t>
  </si>
  <si>
    <t>Austrian FWF Einzelprojekt; FPU(Spanish Government); Estancia Breve-FPU; U.S. National Park Service; Klondike Gold Rush National Historical Park; Glacier Bay National Park and Preserve; Spanish Ministry of Economy and Competitiveness(Spanish Government); Austrian Science Fund (FWF)(Austrian Science Fund (FWF))</t>
  </si>
  <si>
    <t>This study was financed by the Austrian FWF Einzelprojekt P26359, which supported HM and FFM. IGB was supported by grant FPU AP2012-3556 and Estancia Breve-FPU (no. EST14/00481), and project CTM2015-64728-C2-2-R; AdR by CTM2015-64728-C2-2-R, and SPO by RYC-2014-16784, all from the Spanish Ministry of Economy and Competitiveness. Sampling in North American localities was supported in part by the U.S. National Park Service, Klondike Gold Rush National Historical Park, and Glacier Bay National Park and Preserve (project R9815110518 to the University of Montana).</t>
  </si>
  <si>
    <t>10.1016/j.ympev.2020.107020</t>
  </si>
  <si>
    <t>PQ4VL</t>
  </si>
  <si>
    <t>WOS:000606544200008</t>
  </si>
  <si>
    <t>Arrarte, E; Garmendia, G; Wisniewski, M; Vero, S</t>
  </si>
  <si>
    <t>Arrarte, E.; Garmendia, G.; Wisniewski, M.; Vero, S.</t>
  </si>
  <si>
    <t>Biocontrol activity of Debaryomyces hansenii against blue mold on apple and pear during cold storage</t>
  </si>
  <si>
    <t>AGROCIENCIA URUGUAY</t>
  </si>
  <si>
    <t>apple; pear; biocontrol; postharvest decay; yeasts; Penicillium expansum</t>
  </si>
  <si>
    <t>BIOLOGICAL-CONTROL; POSTHARVEST BIOCONTROL; PENICILLIUM-DIGITATUM; GENETIC DIVERSITY; YEAST; FRUIT; DISEASES; STRAINS; MECHANISMS; DECAY</t>
  </si>
  <si>
    <t>To provide fruit throughout the whole year, maintain quality and reduce spoilage, apples and pears are stored at low temperature. However, the development of rots, caused mainly by Penicillium expansum, cannot be avoided. To prevent fruit losses, biological control has been proposed as a potential alternative. In this work, 16 psychrotrophic, non-pectinolytic Debaryomyces hansenii strains were evaluated in a bioassay for their potential biocontrol against P. expansum rots in apples and pears. Isolates with different degrees of biocontrol effectiveness were further investigated in vitro to elucidate mechanisms of antagonism that may have contributed to biocontrol. No correlation between any of the studied mechanisms and biocontrol activity could be established. One of the isolates, designated F9D, was selected due to its ability to reduce rot incidence in more than 95% in apples and 85% in pears. This strain could be a good candidate for the development of a yeast-based formulation to protect both types of fruit. An ISSR- PCR method was developed for typing the selected strain. This molecular marker could be a useful tool to follow the fate of the strain applied on fruit.</t>
  </si>
  <si>
    <t>[Arrarte, E.] Univ Republica, Fac Quim, DETEMA, Area Fisicoquim, Montevideo, Uruguay; [Garmendia, G.; Vero, S.] Univ Republica, Fac Quim, DEPBIO, Area Microbiol, Montevideo, Uruguay; [Wisniewski, M.] Agr Res Serv USDA ARS, USDA, Kearneysville, WV USA</t>
  </si>
  <si>
    <t>Universidad de la Republica, Uruguay; Universidad de la Republica, Uruguay; United States Department of Agriculture (USDA)</t>
  </si>
  <si>
    <t>Vero, S (corresponding author), Univ Republica, Fac Quim, DEPBIO, Area Microbiol, Montevideo, Uruguay.</t>
  </si>
  <si>
    <t>svero@fq.edu.uy</t>
  </si>
  <si>
    <t>Arrarte, Eloisa/HDO-7073-2022</t>
  </si>
  <si>
    <t>Arrarte, Eloisa/0000-0002-5160-319X</t>
  </si>
  <si>
    <t>National Commission for Scientific Research (Comision Sectorial de Investigacion Cientifica, CSIC-Uruguay); Uruguayan Antarctic Institute (IAU); PEDECIBA and CYTED</t>
  </si>
  <si>
    <t>This research was supported by the National Commission for Scientific Research (Comision Sectorial de Investigacion Cientifica, CSIC-Uruguay), the Uruguayan Antarctic Institute (IAU), and PEDECIBA and CYTED.</t>
  </si>
  <si>
    <t>UNIV REPUBLICA, FAC AGRONOMIA</t>
  </si>
  <si>
    <t>MONTEVIDEO</t>
  </si>
  <si>
    <t>AV G GARZON, 780, MONTEVIDEO, 12908, URUGUAY</t>
  </si>
  <si>
    <t>1510-0839</t>
  </si>
  <si>
    <t>2301-1548</t>
  </si>
  <si>
    <t>AGROCIENCIA-URUGUAY</t>
  </si>
  <si>
    <t>Agrocienc. Urug.</t>
  </si>
  <si>
    <t>10.31285/AGRO.25.839</t>
  </si>
  <si>
    <t>Agronomy</t>
  </si>
  <si>
    <t>VM2CA</t>
  </si>
  <si>
    <t>WOS:000972774000006</t>
  </si>
  <si>
    <t>Canini, F; Geml, J; D'Acqui, LP; Buzzini, P; Turchetti, B; Onofri, S; Ventura, S; Zucconi, L</t>
  </si>
  <si>
    <t>Canini, F.; Geml, J.; D'Acqui, L. P.; Buzzini, P.; Turchetti, B.; Onofri, S.; Ventura, S.; Zucconi, L.</t>
  </si>
  <si>
    <t>Fungal diversity and functionality are driven by soil texture in Taylor Valley, Antarctica</t>
  </si>
  <si>
    <t>FUNGAL ECOLOGY</t>
  </si>
  <si>
    <t>Soil fungi; Edaphic parameters; McMurdo dry valleys; DNA metabarcoding; Extreme environments</t>
  </si>
  <si>
    <t>DRY VALLEYS; COMMUNITIES; PHYLOGENY; ECOLOGY; CARBON; MICROORGANISMS; ECOSYSTEMS; TAXONOMY; TOOL</t>
  </si>
  <si>
    <t>The McMurdo Dry Valleys surface is mainly constituted from unconsolidated permafrost. Despite the combination of cold and dry conditions, transiently wetted soils close to lake edges are hotspots of intense biological activity, that can support the surrounding soil ecosystems in such extreme environments. These soils host simple microbial communities that allow easy characterization of the parameters determining microbial establishment and diversification. Soil samples were collected close to three different glacial lakes (Lake Fryxell, Lake Hoare and Lake Joyce) located along a longitudinal gradient from the lower to the upper Taylor Valley. Fungal diversity and functionality of sampled soils were studied through ITS1 metabarcoding sequencing. The correlation between the parameters describing fungal diversity (i.e. total richness, relative richness of dominant taxonomic and functional groups, and community composition) and the edaphic physicochemical parameters (i.e. pH, moisture, C, N, P, Na+, K+, Mg2+ and Ca2+, cation exchange capacity, and soil granulometry) was assessed. The fungal communities showed low richness (48 +/- 32 OTUs per sample). Their composition was highly diversified even within different sites close to the same lake. The main parameters affecting the diversity and composition of fungal communities were soil texture, in turn influencing the retention of water and nutrients, and physicochemical properties. This is of particular concern for the survival of these communities, given the expected environmental changes due to global warming. (C) 2021 Elsevier Ltd and British Mycological Society. All rights reserved.</t>
  </si>
  <si>
    <t>[Canini, F.; Onofri, S.; Zucconi, L.] Univ Tuscia, Dept Ecol &amp; Biol Sci, Viterbo, Italy; [Geml, J.] Nat Biodivers Ctr, Biodivers Dynam Res Grp, Leiden, Netherlands; [Geml, J.] Eszterhazy Karoly Univ, MTA EKE Lendulet Environm Microbiome Res Grp, Eger, Hungary; [D'Acqui, L. P.; Ventura, S.] Natl Res Council Italy IRET CNR, Terr Ecosyst Res Inst, Sesto Fiorentino, Italy; [Buzzini, P.; Turchetti, B.] Univ Perugia, Dept Agr Food &amp; Environm Sci, Perugia, Italy; [Ventura, S.] Italian Embassy Israel, Tel Aviv, Israel</t>
  </si>
  <si>
    <t>Tuscia University; Naturalis Biodiversity Center; Eszterhazy Karoly Catholic University; Consiglio Nazionale delle Ricerche (CNR); Istituto di Ricerca sugli Ecosistemi Terrestri (IRET); University of Perugia</t>
  </si>
  <si>
    <t>Canini, F (corresponding author), Univ Tuscia, Dept Ecol &amp; Biol Sci, Viterbo, Italy.</t>
  </si>
  <si>
    <t>canini.fabiana@unitus.it</t>
  </si>
  <si>
    <t>Geml, Jozsef/C-2223-2018; Zucconi, L./U-9781-2018; Canini, Fabiana/ABE-4243-2020; Ventura, Stefano/A-4014-2009</t>
  </si>
  <si>
    <t>Geml, Jozsef/0000-0001-8745-0423; Zucconi, L./0000-0001-9793-2303; Canini, Fabiana/0000-0002-9626-6318; Ventura, Stefano/0000-0002-8134-3675; turchetti, benedetta/0000-0002-7370-3028</t>
  </si>
  <si>
    <t>Italian National Programfor Antarctic Researches (PNRA) [PNRA 2013/AZ1.19, PNRA 14_00132, PNRA 18_00015]</t>
  </si>
  <si>
    <t>Italian National Programfor Antarctic Researches (PNRA)</t>
  </si>
  <si>
    <t>Authors wish to thank the Italian National Programfor Antarctic Researches (PNRA) for funding sampling campaigns and research activities in the frame of projects PNRA 2013/AZ1.19, PNRA 14_00132, and PNRA 18_00015. The authors thank Miss Teresa Emma Cutrona for English revision.</t>
  </si>
  <si>
    <t>1754-5048</t>
  </si>
  <si>
    <t>1878-0083</t>
  </si>
  <si>
    <t>FUNGAL ECOL</t>
  </si>
  <si>
    <t>Fungal Ecol.</t>
  </si>
  <si>
    <t>10.1016/j.funeco.2021.101041</t>
  </si>
  <si>
    <t>Ecology; Mycology</t>
  </si>
  <si>
    <t>Environmental Sciences &amp; Ecology; Mycology</t>
  </si>
  <si>
    <t>QQ2RE</t>
  </si>
  <si>
    <t>WOS:000624372000010</t>
  </si>
  <si>
    <t>Barry, K; Duffy, M; Lobo, M</t>
  </si>
  <si>
    <t>Barry, Kaya; Duffy, Michelle; Lobo, Michele</t>
  </si>
  <si>
    <t>Speculative listening: melting sea ice and new methods of listening with the planet</t>
  </si>
  <si>
    <t>GLOBAL DISCOURSE</t>
  </si>
  <si>
    <t>listening; speculation; Anthropocene; sea ice; climate change</t>
  </si>
  <si>
    <t>In this paper we speculate on ways of listening with the planet as a way of producing multisensory knowledges of climate change. 'Listening' is a visceral experience that helps us consider the intricate, deeply entangled relations between human and non-human worlds through multisensory attentions. We draw on Oliveros' notion of 'deep listening' and methodological experimentation to explore and speculate about the effects of climate change in the polar regions. Such speculative practices are informed by audio recordings of the movement of iceberg and glaciers, sea ice measurements and satellite imagery of the Antarctic and Arctic. By experimenting with the mergers of scientific data and creative practices we suggest that practices of listening make experiences of multiscalar climate change in distant places visceral and immersive.</t>
  </si>
  <si>
    <t>[Barry, Kaya] Griffith Univ, Nathan, Qld, Australia; [Duffy, Michelle] Univ Newcastle, Callaghan, NSW, Australia; [Lobo, Michele] Deakin Univ, Geelong, Vic, Australia</t>
  </si>
  <si>
    <t>Griffith University; University of Newcastle; Deakin University</t>
  </si>
  <si>
    <t>Barry, K (corresponding author), Griffith Univ, Nathan, Qld, Australia.</t>
  </si>
  <si>
    <t>k.barry@griffith.edu.au; michelle.duffy@newcastle.edu.au; michele.lobo@deakin.edu.au</t>
  </si>
  <si>
    <t>BRISTOL UNIV PRESS &amp; POLICY PRESS</t>
  </si>
  <si>
    <t>1-9 OLD PARK HILL, UNIV BRISTOL, BRISTOL, BS2 8BB, ENGLAND</t>
  </si>
  <si>
    <t>2326-9995</t>
  </si>
  <si>
    <t>2043-7897</t>
  </si>
  <si>
    <t>GLOB DISCOURSE</t>
  </si>
  <si>
    <t>Glob. Discourse</t>
  </si>
  <si>
    <t>10.1332/204378920X16032963659726</t>
  </si>
  <si>
    <t>International Relations; Political Science; Sociology</t>
  </si>
  <si>
    <t>International Relations; Government &amp; Law; Sociology</t>
  </si>
  <si>
    <t>0V5KL</t>
  </si>
  <si>
    <t>WOS:000788382000013</t>
  </si>
  <si>
    <t>Vaqué, D; Boras, JA; Arrieta, JM; Agustí, S; Duarte, CM; Sala, MM</t>
  </si>
  <si>
    <t>Vaque, Dolors; Boras, Julia A.; Arrieta, Jesus Maria; Agusti, Susana; Duarte, Carlos M.; Sala, Maria Montserrat</t>
  </si>
  <si>
    <t>Enhanced Viral Activity in the Surface Microlayer of the Arctic and Antarctic Oceans</t>
  </si>
  <si>
    <t>prokaryotes; viruses; virus-mediated mortality; surface microlayer; subsurface water; Arctic and Antarctic Oceans</t>
  </si>
  <si>
    <t>The ocean surface microlayer (SML), with physicochemical characteristics different from those of subsurface waters (SSW), results in dense and active viral and microbial communities that may favor virus-host interactions. Conversely, wind speed and/or UV radiation could adversely affect virus infection. Furthermore, in polar regions, organic and inorganic nutrient inputs from melting ice may increase microbial activity in the SML. Since the role of viruses in the microbial food web of the SML is poorly understood in polar oceans, we aimed to study the impact of viruses on prokaryotic communities in the SML and in the SSW in Arctic and Antarctic waters. We hypothesized that a higher viral activity in the SML than in the SSW in both polar systems would be observed. We measured viral and prokaryote abundances, virus-mediated mortality on prokaryotes, heterotrophic and phototrophic nanoflagellate abundance, and environmental factors. In both polar zones, we found small differences in environmental factors between the SML and the SSW. In contrast, despite the adverse effect of wind, viral and prokaryote abundances and virus-mediated mortality on prokaryotes were higher in the SML than in the SSW. As a consequence, the higher carbon flux released by lysed cells in the SML than in the SSW would increase the pool of dissolved organic carbon (DOC) and be rapidly used by other prokaryotes to grow (the viral shunt). Thus, our results suggest that viral activity greatly contributes to the functioning of the microbial food web in the SML, which could influence the biogeochemical cycles of the water column.</t>
  </si>
  <si>
    <t>[Vaque, Dolors; Boras, Julia A.; Sala, Maria Montserrat] CSIC, Inst Ciencies Mar, Passeig Maritim Barceloneta 37-49, Barcelona 08003, Spain; [Arrieta, Jesus Maria] Inst Espanol Oceanog, Ctr Oceanog Canarias, Farola Mar 22, Tenerife 38180, Spain; [Agusti, Susana; Duarte, Carlos M.] King Abdullah Univ Sci &amp; Technol, Red Sea Res Ctr, Thuwal 23955, Saudi Arabia</t>
  </si>
  <si>
    <t>Consejo Superior de Investigaciones Cientificas (CSIC); CSIC - Centro Mediterraneo de Investigaciones Marinas y Ambientales (CMIMA); CSIC - Instituto de Ciencias del Mar (ICM); Spanish Institute of Oceanography; King Abdullah University of Science &amp; Technology</t>
  </si>
  <si>
    <t>Vaqué, D (corresponding author), CSIC, Inst Ciencies Mar, Passeig Maritim Barceloneta 37-49, Barcelona 08003, Spain.</t>
  </si>
  <si>
    <t>dolors@icm.csic.es; juliaboras@gmail.com; jesus.arrieta@ieo.es; susana.agusti@kaust.edu.sa; carlos.duarte@kaust.edu.sa; msala@icm.csic.es</t>
  </si>
  <si>
    <t>, Maria Montserrat/AAW-7487-2021; Agusti, Susana/G-2864-2017; Duarte, Carlos M/A-7670-2013; SALA, Maria Montserrat/O-4726-2014; Duarte Quesada, Carlos Manuel/ABD-6208-2021; Arrieta, Jesus/B-1226-2008; Vaque, Dolors/H-6973-2018</t>
  </si>
  <si>
    <t>Agusti, Susana/0000-0003-0536-7293; Duarte, Carlos M/0000-0002-1213-1361; SALA, Maria Montserrat/0000-0002-3804-5680; Boras, Julia A./0000-0002-4195-8405; Arrieta, Jesus/0000-0002-0190-6950; Vaque, Dolors/0000-0002-0420-5914</t>
  </si>
  <si>
    <t>SpanishMinistry of Science and Innovation [POL200600550/CTM]; Spanish Ministerio de Ciencia e Innovacion (FPU grant)</t>
  </si>
  <si>
    <t>SpanishMinistry of Science and Innovation(Spanish Government); Spanish Ministerio de Ciencia e Innovacion (FPU grant)</t>
  </si>
  <si>
    <t>This research was part of the ATOS project, funded as part of the Spanish contribution to the International Polar Year (IPY) by the SpanishMinistry of Science and Innovation (POL200600550/CTM). J.A.B.'s work was supported by a PhD fellowship from the Spanish Ministerio de Ciencia e Innovacion (FPU grant). This research is part of POLARCSIC activities.</t>
  </si>
  <si>
    <t>10.3390/microorganisms9020317</t>
  </si>
  <si>
    <t>QO0DO</t>
  </si>
  <si>
    <t>WOS:000622818300001</t>
  </si>
  <si>
    <t>Woodward, CE; Wooden, DH; Harker, DE; Kelley, MSP; Russell, RW; Kim, DL</t>
  </si>
  <si>
    <t>Woodward, Charles E.; Wooden, Diane H.; Harker, David E.; Kelley, Michael S. P.; Russell, Ray W.; Kim, Daryl L.</t>
  </si>
  <si>
    <t>The Coma Dust of Comet C/2013 US10 (Catalina): A Window into Carbon in the Solar System</t>
  </si>
  <si>
    <t>PLANETARY SCIENCE JOURNAL</t>
  </si>
  <si>
    <t>INTERSTELLAR SILICATE MINERALOGY; ULTRACARBONACEOUS ANTARCTIC MICROMETEORITES; PROTOPLANETARY ACCRETION DISKS; HALE-BOPP; CRYSTALLINE SILICATES; ION IRRADIATION; ORGANIC-MATTER; TELESCOPE OBSERVATIONS; ELECTRON-MICROSCOPY; OPTICAL-PROPERTIES</t>
  </si>
  <si>
    <t>Comet C/2013 US10 (Catalina) was a dynamically new Oort cloud comet whose apparition presented a favorable geometry for observations near close-Earth approach (similar or equal to 0.93 au) at heliocentric distances less than or similar to 2 au when insolation and sublimation of volatiles drive maximum activity. Here we present mid-infrared 6.0 less than or similar to lambda(mu m) less than or similar to 40 spectrophotometric observations at two temporal epochs from NASA's Stratospheric Observatory for Infrared Astronomy and the NASA Infrared Telescope Facility that yield an inventory of the refractory materials and their physical characteristics through thermal modeling analysis. The grain composition is dominated by dark dust grains (modeled as amorphous carbon) with a silicate-to-carbon ratio less than or similar to 0.9, little crystalline stoichiometry (no distinct 11.2 mu m feature attributed to Mg-rich crystalline olivine), and the submicron grain-size distribution peaking at similar or equal to 0.6 mu m. The 10 mu m silicate feature was weak, approximate to 12.8% +/- 0.1% above the local continuum, and the bolometric grain albedo was low (less than or similar to 14%). Comet C/2013 US10 (Catalina) is a carbon-rich object. This material, which is well represented by the optical constants of amorphous carbon, is similar to the material that darkens and reddens the surface of comet 67P/Churyumov-Gerasimenko. We argue this material is endemic to the nuclei of comets, synthesizing results from the study of Stardust samples, interplanetary dust particle investigations, and micrometeoritic analyses. The atomic carbon-to-silicate ratio of comet C/2013 US10 (Catalina) and other comets joins a growing body of evidence suggesting the existence of a C/Si gradient in the primitive solar system, providing new insight into planetesimal formation and the distribution of isotopic and compositional gradients extant today.</t>
  </si>
  <si>
    <t>[Woodward, Charles E.] Univ Minnesota, Minnesota Inst Astrophys, 116 Church St SE, Minneapolis, MN 55455 USA; [Wooden, Diane H.] Moffett Field, MS 245-3, Moffett Field, CA 94035 USA; [Harker, David E.] Univ Calif San Diego, Ctr Astrophys &amp; Space Sci, 9500 Gilman Dr,Dept 0424, La Jolla, CA 92093 USA; [Kelley, Michael S. P.] Univ Maryland, Dept Astron, College Pk, MD 20742 USA; [Russell, Ray W.; Kim, Daryl L.] Aerosp Corp, POB 92957,M2-266, Los Angeles, CA 92957 USA</t>
  </si>
  <si>
    <t>University of Minnesota System; University of Minnesota Twin Cities; University of California System; University of California San Diego; University System of Maryland; University of Maryland College Park; Aerospace Corporation - USA</t>
  </si>
  <si>
    <t>Woodward, CE (corresponding author), Univ Minnesota, Minnesota Inst Astrophys, 116 Church St SE, Minneapolis, MN 55455 USA.</t>
  </si>
  <si>
    <t>chickw024@gmail.com</t>
  </si>
  <si>
    <t>Wooden, Diane/0000-0002-1888-7258; Kelley, Michael/0000-0002-6702-7676; Harker, David/0000-0001-6397-9082; Woodward, Chick/0000-0001-6567-627X</t>
  </si>
  <si>
    <t>Universities Space Research Association, Inc. (USRA), under NASA [NNA17BF53C]; Deutsches SOFIA Institut (DSI) under DLR [50 OK 0901]; NASA [SOF 04-0010, SOF 07-0031]; NASA PAST [80NSSC19K0868]</t>
  </si>
  <si>
    <t>Universities Space Research Association, Inc. (USRA), under NASA; Deutsches SOFIA Institut (DSI) under DLR; NASA(National Aeronautics &amp; Space Administration (NASA)); NASA PAST</t>
  </si>
  <si>
    <t>Based in part on observations made with the NASA/DLR Stratospheric Observatory for Infrared Astronomy (SOFIA). SOFIA is jointly operated by the Universities Space Research Association, Inc. (USRA), under NASA contract NNA17BF53C, and the Deutsches SOFIA Institut (DSI) under DLR contract 50 OK 0901 to the University of Stuttgart. Financial support for this work was provided by NASA through award SOF 04-0010, SOF 07-0031, and NASA PAST grant 80NSSC19K0868. The authors wish to thank Dr. Aigen Lee for informative discussion regarding carbonaceous materials and their relevance to interpreting astronomical spectra as well as Dr. Jeff Cuzzi and the NASA Ames research group for their keen insights into disk transport models. The authors also express gratitude for the two anonymous referees' very careful reading of the manuscript and their numerous suggestions and comments that enhanced the final narrative.</t>
  </si>
  <si>
    <t>2632-3338</t>
  </si>
  <si>
    <t>PLANET SCI J</t>
  </si>
  <si>
    <t>Planet. Sci. J.</t>
  </si>
  <si>
    <t>10.3847/PSJ/abca3e</t>
  </si>
  <si>
    <t>7V7CQ</t>
  </si>
  <si>
    <t>WOS:000912972400001</t>
  </si>
  <si>
    <t>García-Rodríguez, F; Piccini, C; Carrizo, D; Sánchez-García, L; Pérez, L; Crisci, C; Oaquim, ABJ; Evangelista, H; Soutullo, A; Azcune, G; Lüning, S</t>
  </si>
  <si>
    <t>Garcia-Rodriguez, F.; Piccini, C.; Carrizo, D.; Sanchez-Garcia, L.; Perez, L.; Crisci, C.; Oaquim, A. B. J.; Evangelista, H.; Soutullo, A.; Azcune, G.; Luening, S.</t>
  </si>
  <si>
    <t>Centennial glacier retreat increases sedimentation and eutrophication in Subantarctic periglacial lakes: A study case of Lake Uruguay</t>
  </si>
  <si>
    <t>Ancient DNA; Antarctica; Lipid biomarkers; Paleolimnology; XRF-scanning</t>
  </si>
  <si>
    <t>SOUTH SHETLAND-ISLANDS; KING GEORGE ISLAND; GREEN SULFUR BACTERIA; TIME-SERIES ANALYSIS; DNA-SEQUENCES; ANCIENT DNA; ALKANE DISTRIBUTIONS; ISOTOPIC COMPOSITION; ORGANIC-MATTER; MICROBIAL MATS</t>
  </si>
  <si>
    <t>High resolution XRF scanning documented inter-annual paleolimnological changes of a Subantarctic periglacial lake, during a process of centennial glacier retreat in King George Island, Antarctica. Two major paleoenvironmental stages were inferred from the combined analysis of elemental, molecular and isotopic biomarkers, with a boundary or transition set at about 3200 yr BP. The first stage was characterized by a relatively low allochthonous organic content, reduced productivity and nitrogen levels. Such paleoenvironmental conditions are interpreted as a terrestrial system under periglacial influence, where material influx was related to erosion process from the melt water discharge, because of the proximity to the Collins Glacier ice cap. After the major Holocene glacier advance dated at about 3500 yr BP, the ice cap retreat led to the formation of Lake Uruguay, which involved in filling processes leading to moraine deposits, proglacial meltwater channels, and lakes next to the land glacier. During the second stage, with the onset of the Current Warm Period, prior to 1900 CE the stabilization of the Zr/Rb ratio within the laminated sediments documented the origin of the lacustrine sedimentation system, with subsequent increases in the sedimentation rate and biomass content (total nitrogen and organic carbon). Time series analyses revealed that the lake displayed variability cycles related to El Nino Southern Oscillation (ENSO), as reflected by high resolution sedimentological proxies for grain size, weathering, allochthonous inputs from the watershed, increase of biomass and productivity, and changes in redox conditions, all of which displayed similar oscillation cycles from 2 to 6 yr. During this periglacial recession and associated eutrophication process, we detected a striking loss in both bacterial specific richness and diversity as inferred from preliminary selected ancient DNA analyses. Thus, the Antarctic warming scenario leading to glacier depletion appears to exert deterioration consequences on the Subantarctic microbial web. (C) 2020 Elsevier B.V. All rights reserved.</t>
  </si>
  <si>
    <t>[Garcia-Rodriguez, F.; Perez, L.; Crisci, C.; Soutullo, A.; Azcune, G.] Univ Republica, Ctr Univ Reg Este, CURE Rocha &amp; Maldonado, Montevideo, Uruguay; [Garcia-Rodriguez, F.] Univ Fed Rio Grande, Inst Oceanog, Programa Posgrad Oceanol, Rio Grande, Brazil; [Piccini, C.] Inst Invest Biol Clemente Estable, Dept Microbiol, Ave Italia 3318, Montevideo 11600, Uruguay; [Carrizo, D.; Sanchez-Garcia, L.] CSIC, INTA, Ctr Astrobiol, Madrid, Spain; [Oaquim, A. B. J.; Evangelista, H.] Univ Estado Rio de Janeiro UERJ, Dept Biofis, LARAMG, BR-0550900 Maracana, RJ, Brazil; [Soutullo, A.] Inst Antartico Uruguayo, Montevideo, Uruguay; [Luening, S.] Inst Hydrog Geoecol &amp; Climate Sci, Hauptstr 47, CH-6315 Ageri, Switzerland</t>
  </si>
  <si>
    <t>Universidad de la Republica, Uruguay; Universidade Federal do Rio Grande; Instituto de Investigaciones Biologicas Clemente Estable Uruguay; Consejo Superior de Investigaciones Cientificas (CSIC); CSIC - Centro de Astrobiologia (INTA); Universidade do Estado do Rio de Janeiro</t>
  </si>
  <si>
    <t>García-Rodríguez, F (corresponding author), Univ Republica, Ctr Univ Reg Este, CURE Rocha &amp; Maldonado, Montevideo, Uruguay.</t>
  </si>
  <si>
    <t>felipegr@fcien.edu.uy</t>
  </si>
  <si>
    <t>Evangelista, Heitor/C-7561-2013; Sanchez-Garcia, Laura/N-1172-2013</t>
  </si>
  <si>
    <t>Sanchez-Garcia, Laura/0000-0002-7444-1242; Azcune, German/0000-0003-3016-9352</t>
  </si>
  <si>
    <t>Instituto Antartico Uruguayo (IAU); Deutscher Akademischer Austauchdienst (DAAD); Spanish Ministry of Science Innovation and Universities (MICINN/FEDER) [RYC-2014-19446, RYC2018-023943-I]; PEDECIBA-Geociencias; SNI-ANII; Conselho Nacional de Pesquisa CNPq [304007/2019-6]</t>
  </si>
  <si>
    <t>Instituto Antartico Uruguayo (IAU); Deutscher Akademischer Austauchdienst (DAAD)(Deutscher Akademischer Austausch Dienst (DAAD)); Spanish Ministry of Science Innovation and Universities (MICINN/FEDER); PEDECIBA-Geociencias; SNI-ANII; Conselho Nacional de Pesquisa CNPq(Conselho Nacional de Desenvolvimento Cientifico e Tecnologico (CNPQ))</t>
  </si>
  <si>
    <t>Field work was funded by Instituto Antartico Uruguayo (IAU). Courageous SCUBA Divers Rodrigo Toledo and Oscar Correa are acknowledged for retrieving the sediment core. Santiago Garcia is thanked for assistance in organizing the Antarctic Expedition and field work. We thank all staff members (military, IAU-employees, doctors, nurses, chefs, technicians and other academic colleagues) from the Artigas Base (BCAA), expeditions Antarkos XXXIV and XXXV. Deutscher Akademischer Austauchdienst (DAAD) funded the research visit (FGR) and the scanning time in Bremen. This research used data acquired at the XRF Core Scanner Lab at theMARUM-Center forMarine Environmental Sciences, University of Bremen, Germany, where Hendrik Lantzsch and Thomas Westerhold are specially acknowledged. D. Carrizo and L. SanchezGarcia thank the Spanish Ministry of Science Innovation and Universities (MICINN/FEDER) for funding their projects (RYC-2014-19446 and RYC2018-023943-I, respectively). PEDECIBA-Geociencias and SNI-ANII provided financial aid. Thanks to Conselho Nacional de Pesquisa CNPq for the research grant 304007/2019-6 to F. Garcia-Rodriguez. H. Evangelista thanks INCT-Criosfera/MCTIC/CNPq. We thank two anonymous reviewers for comments that improved this paper. F. GarciaRodriguez dedicates this paper to his daughters Juana and Emilia to keep our love burning.</t>
  </si>
  <si>
    <t>10.1016/j.scitotenv.2020.142066</t>
  </si>
  <si>
    <t>OX9TX</t>
  </si>
  <si>
    <t>WOS:000593899600009</t>
  </si>
  <si>
    <t>Fassio, G; Bouchet, P; Lozouet, P; Modica, MV; Russini, V; Schiaparelli, S; Oliverio, M</t>
  </si>
  <si>
    <t>Fassio, Giulia; Bouchet, Philippe; Lozouet, Pierre; Modica, Maria Vittoria; Russini, Valeria; Schiaparelli, Stefano; Oliverio, Marco</t>
  </si>
  <si>
    <t>Becoming a limpet: An 'intermittent limpetization' process driven by host features in the kleptoparasitic gastropod family Capulidae</t>
  </si>
  <si>
    <t>Limpetization; Kleptoparasitism; Capulidae; Divergence time estimation; Ancestral state reconstruction</t>
  </si>
  <si>
    <t>EVOLUTION; MOLLUSCA; BIOLOGY</t>
  </si>
  <si>
    <t>A coiled shell is the most evident feature of the typical Bauplan of a gastropod mollusc. However, at least 54 families independently evolved an apparently simplified shell morphology: the limpet. Species with this largely uncoiled, depressed shell morphology occur in almost every aquatic habitat and are associated to a number of different lifestyles and diets. The marine gastropod family Capulidae includes 18 recognised genera, the large majority of which are coiled, but with a number of limpet-like species. Capulid shell plasticity is also associated to a broad range of feeding ecologies, from obligate suspension feeders to kleptoparasites. To investigate the evolution of the limpet-like shell in the family Capulidae we performed an ancestral state reconstruction analysis on a time-calibrated phylogenetic tree (COI, 16S, and ITS2) including 16 species representing a good deal of its morphological diversity. Our results identified at least three capulid lineages that independently evolved limpet-like shells, suggesting that a recurrent limpetization process characterizes this family. One of the limpet-like genera was undescribed and was here named Cryocapulus n. gen. We suggest that capulids evolved from a coiled suspension feeder lineage and that the shift to kleptoparasitism, which occurred in the family ancestor, may have represented a strategy to save energy through the exploitation of the water current produced by the host. Probably the major drivers of shell evolution in capulids are related to their ecology, most of them being kleptoparasites, include the shape and the kind of host substrate, and lead to the repeated acquisition of a limpet-like shape.</t>
  </si>
  <si>
    <t>[Fassio, Giulia; Russini, Valeria; Oliverio, Marco] Sapienza Univ Rome, Dept Biol &amp; Biotechnol Charles Darwin, Zool Viale Univ 32, I-00185 Rome, Italy; [Bouchet, Philippe] Sorbonne Univ, Inst Systemat, Museum Natl Hist Nat,UPMC, Evolut,Biodiversite,ISYEB,UMR7205,CNRS,EPHE,MNHN, 43 Rue Cuvier, F-75231 Paris 05, France; [Lozouet, Pierre] Museum Natl Hist Nat, Direct Collect, 55 Rue Buffon, F-75005 Paris, France; [Modica, Maria Vittoria] Stn Zool Anton Dohrn, Dept Biol &amp; Evolut Marine Organisms, I-80121 Naples, Italy; [Schiaparelli, Stefano] Univ Genoa, Dept Earth Environm &amp; Life Sci DISTAV, Corso Europa 26, I-16132 Genoa, Italy; [Schiaparelli, Stefano] Univ Genoa, Sect Genoa, Italian Natl Antarctic Museum MNA, Viale Benedetto XV 5, Genoa, Italy</t>
  </si>
  <si>
    <t>Sapienza University Rome; Centre National de la Recherche Scientifique (CNRS); Sorbonne Universite; Universite PSL; Ecole Pratique des Hautes Etudes (EPHE); Museum National d'Histoire Naturelle (MNHN); Museum National d'Histoire Naturelle (MNHN); Stazione Zoologica Anton Dohrn di Napoli; University of Genoa; University of Genoa</t>
  </si>
  <si>
    <t>Fassio, G (corresponding author), Sapienza Univ Rome, Dept Biol &amp; Biotechnol Charles Darwin, Zool Viale Univ 32, I-00185 Rome, Italy.</t>
  </si>
  <si>
    <t>giulia.fassio@uniroma1.it</t>
  </si>
  <si>
    <t>Fassio, Giulia/H-2132-2018; Bouchet, Philippe/ABA-9950-2020; Russini, Valeria/AAE-4119-2019; OLIVERIO, MARCO/F-2229-2010; Modica, Maria Vittoria/P-8407-2018</t>
  </si>
  <si>
    <t>Bouchet, Philippe/0000-0001-5864-8676; Russini, Valeria/0000-0001-5127-5686; Modica, Maria Vittoria/0000-0003-2532-6763; Fassio, Giulia/0000-0003-1767-1452</t>
  </si>
  <si>
    <t>10.1016/j.ympev.2020.107014</t>
  </si>
  <si>
    <t>PP0UT</t>
  </si>
  <si>
    <t>WOS:000605586300004</t>
  </si>
  <si>
    <t>Evans, ER; Farnoud, AM; O'Brien, KM; Crockett, EL</t>
  </si>
  <si>
    <t>Evans, Elizabeth R.; Farnoud, Amir M.; O'Brien, Kristin M.; Crockett, Elizabeth L.</t>
  </si>
  <si>
    <t>Thermal profiles reveal stark contrasts in properties of biological membranes from heart among Antarctic notothenioid fishes which vary in expression of hemoglobin and myoglobin</t>
  </si>
  <si>
    <t>COMPARATIVE BIOCHEMISTRY AND PHYSIOLOGY B-BIOCHEMISTRY &amp; MOLECULAR BIOLOGY</t>
  </si>
  <si>
    <t>Cholesterol; Fluidity; Leak; Phospholipid; Temperature</t>
  </si>
  <si>
    <t>TROUT ONCORHYNCHUS-MYKISS; HOMEOVISCOUS ADAPTATION; ANTIFREEZE GLYCOPEPTIDES; TEMPERATURE TOLERANCE; OXYGEN PERMEABILITY; LIPID-COMPOSITION; CHOLESTEROL; FLUIDITY; INHIBITION; ICE</t>
  </si>
  <si>
    <t>Antarctic notothenioids are noted for extreme stenothermy, yet underpinnings of their thermal limits are not fully understood. We hypothesized that properties of ventricular membranes could explain previously observed differences among notothenioids in temperature onset of cardiac arrhythmias and persistent asystole. Microsomes were prepared using ventricles from six species of notothenioids, including four species from the hemoglobin-less (Hb-) family Channichthyidae (icefishes), which also differentially express cardiac myoglobin (Mb), and two species from the (Hb+) Nototheniidae. We determined membrane fluidity and structural integrity by quantifying fluorescence depolarization of 1,6-diphenyl-1,3,5-hexatriene (DPH) and leakage of 5(6)-carboxyfluorescein, respectively, over a temperature range from ambient (0 degrees C) to 20 degrees C. Compositions of membrane phospholipids and cholesterol contents were also quantified. Membranes from all four species of icefishes exhibited greater fluidity than membranes from the red-blooded species N. coriiceps. Thermal sensitivity of fluidity did not vary among species. The greatest thermal sensitivity to leakage occurred between 0 and 5 degrees C for all species, while membranes from the icefish, Chaenocephalus aceratus (Hb-/Mb-) displayed leakage that was nearly 1.5-fold greater than leakage in N. coriiceps (Hb+/Mb+). Contents of phosphatidylethanolamine (PE) were approximately 1.5-fold greater in icefishes than in red-blooded fishes, and phospholipids had a higher degree of unsaturation in icefishes than in Hb + notothenioids. Cholesterol contents were lowest in Champsocephalus gunnari (Hb-/Mb-) and highest in the two Hb+/Mb + species, G. gibberifrons and N. coriiceps. Our results reveal marked differences in membrane properties and indicate a breach in membrane fluidity and structural integrity at a lower temperature in icefishes than in red-blooded notothenioids.</t>
  </si>
  <si>
    <t>[Evans, Elizabeth R.; Crockett, Elizabeth L.] Ohio Univ, Dept Biol Sci, Athens, OH 45701 USA; [Farnoud, Amir M.] Ohio Univ, Dept Chem &amp; Biomol Engn, Athens, OH 45701 USA; [O'Brien, Kristin M.] Univ Alaska, Inst Arctic Biol, Fairbanks, AK 99775 USA</t>
  </si>
  <si>
    <t>University System of Ohio; Ohio University; University System of Ohio; Ohio University; University of Alaska System; University of Alaska Fairbanks</t>
  </si>
  <si>
    <t>Crockett, EL (corresponding author), Ohio Univ, Dept Biol Sci, Athens, OH 45701 USA.</t>
  </si>
  <si>
    <t>crockett@ohio.edu</t>
  </si>
  <si>
    <t>National Science Foundation [PLR-1341602, PLR-1341663]</t>
  </si>
  <si>
    <t>Funding for this project was provided by grants from the National Science Foundation (PLR-1341602 to ELC and PLR-1341663 to KMO). The content of this work is solely the responsibility of the authors and does not necessarily reflect the official views of the NSF.</t>
  </si>
  <si>
    <t>1096-4959</t>
  </si>
  <si>
    <t>1879-1107</t>
  </si>
  <si>
    <t>COMP BIOCHEM PHYS B</t>
  </si>
  <si>
    <t>Comp. Biochem. Physiol. B-Biochem. Mol. Biol.</t>
  </si>
  <si>
    <t>FEB-MAR</t>
  </si>
  <si>
    <t>10.1016/j.cbpb.2020.110539</t>
  </si>
  <si>
    <t>Biochemistry &amp; Molecular Biology; Zoology</t>
  </si>
  <si>
    <t>PL9YP</t>
  </si>
  <si>
    <t>WOS:000603468300011</t>
  </si>
  <si>
    <t>Henschke, N; Blain, S; Cherel, Y; Cotte, C; Espinasse, B; Hunt, BPV; Pakhomov, EA</t>
  </si>
  <si>
    <t>Henschke, Natasha; Blain, Stephane; Cherel, Yves; Cotte, Cedric; Espinasse, Boris; Hunt, Brian P. V.; Pakhomov, Evgeny A.</t>
  </si>
  <si>
    <t>Population demographics and growth rate of Salpa thompsoni on the Kerguelen Plateau</t>
  </si>
  <si>
    <t>NATURAL IRON FERTILIZATION; SOUTHERN-OCEAN; THALIA-DEMOCRATICA; ANTARCTIC KRILL; LIFE-CYCLE; BIOMASS; PHYTOPLANKTON; SECTOR; PERSPECTIVES; DOWNSTREAM</t>
  </si>
  <si>
    <t>This study aimed to obtain the first estimates of S. thompsoni population dynamics and growth rates over the Kerguelen Plateau (Southern Indian Ocean). Micro nekton, including salps, were repeatedly sampled during late summer to early autumn (26th February - 15th March 2018) at contrasting hydrological stations on the Kerguelen Plateau in the southern proximity of Kerguelen Islands. At two stations, S. thompsoni made up almost half of the micronekton biomass. Environmental conditions were important in determining the density and development of S. thompsoni populations. Growth rates (0.5-7.0% d(-1)) were higher than previously reported from the Antarctic Peninsula (0.3-4.6% d(-1)) but lower than near the Antarctic Polar Front (APF; 3.7-20.7% d(-1)). Despite warm surface waters (4-5 degrees C), low chlorophyll a concentrations restricted the salp populations from growing as fast as populations near the APF. Because the Kerguelen Plateau region deflects a branch of warm water southward towards Antarctica, more studies of S. thompsoni population dynamics across multiple seasons are needed to fully understand their importance over the Kerguelen Plateau and their invasion potential into higher latitudes.</t>
  </si>
  <si>
    <t>[Henschke, Natasha; Espinasse, Boris; Hunt, Brian P. V.; Pakhomov, Evgeny A.] Univ British Columbia, Dept Earth Ocean &amp; Atmospher Sci, Vancouver, BC, Canada; [Blain, Stephane] Sorbonne Univ, CNRS, Lab Oceanog MICrobienne, F-66650 Banyuls Sur Mer, France; [Cherel, Yves] La Rochelle Univ, CNRS, UMR 7372, Ctr Etud Biol Chize CEBC, F-79360 Villiers En Bois, France; [Cotte, Cedric] Univ Paris 06, UPMC, Sorbonne Univ, LOCEAN,CNRS,IRD,MNHN, Paris, France; [Espinasse, Boris; Hunt, Brian P. V.; Pakhomov, Evgeny A.] Univ British Columbia, Inst Oceans &amp; Fisheries, Vancouver, BC, Canada; [Hunt, Brian P. V.; Pakhomov, Evgeny A.] Hakai Inst, Box 309, Heriot Bay, BC, Canada</t>
  </si>
  <si>
    <t>University of British Columbia; Sorbonne Universite; Centre National de la Recherche Scientifique (CNRS); Centre National de la Recherche Scientifique (CNRS); CNRS - Institute of Ecology &amp; Environment (INEE); Sorbonne Universite; Museum National d'Histoire Naturelle (MNHN); Institut de Recherche pour le Developpement (IRD); Centre National de la Recherche Scientifique (CNRS); University of British Columbia; Hakai Institute</t>
  </si>
  <si>
    <t>Henschke, N (corresponding author), Univ British Columbia, Dept Earth Ocean &amp; Atmospher Sci, Vancouver, BC, Canada.</t>
  </si>
  <si>
    <t>nhenschke@eoas.ubc.ca</t>
  </si>
  <si>
    <t>Cotté, Cédric/Z-3243-2019; Espinasse, Boris/AFS-7849-2022; Espinasse, Boris/AAE-1435-2022; Cotté, Cédric/AAX-6120-2021; Cotte, Cedric/C-3296-2013; blain, stephane/F-6917-2010</t>
  </si>
  <si>
    <t>Cotté, Cédric/0000-0002-8307-6435; Espinasse, Boris/0000-0002-7490-5588; Cotté, Cédric/0000-0002-8307-6435; blain, stephane/0000-0002-5234-2446</t>
  </si>
  <si>
    <t>French oceanographic fleet (Flotte oceanographique frangaise); French ANR (Agence Nationale de la Recherche, AAPG 2017 program, MOBYDICK) [ANR-17-CE01-0013]; French Research program of INSU-CNRS LEFE/CYBER (Les enveloppes fluides et l'environnement Cycles biogeochimiques, environnement et ressources); NSERC [RGPIN-2014-05107]</t>
  </si>
  <si>
    <t>French oceanographic fleet (Flotte oceanographique frangaise); French ANR (Agence Nationale de la Recherche, AAPG 2017 program, MOBYDICK)(Agence Nationale de la Recherche (ANR)); French Research program of INSU-CNRS LEFE/CYBER (Les enveloppes fluides et l'environnement Cycles biogeochimiques, environnement et ressources); NSERC(Natural Sciences and Engineering Research Council of Canada (NSERC))</t>
  </si>
  <si>
    <t>We thank B. Queguiner, the PI of the MOBYDICK project, for providing us the opportunity to participate to this cruise, the chief scientist I. Obernosterer and the captain and crew of the R/V Marion Dufresne for their enthusiasm and support aboard during the MOBYDICK THEMISTO cruise (doi:10.15600 18000403). This work was supported by the French oceanographic fleet (Flotte oceanographique frangaise), the French ANR (Agence Nationale de la Recherche, AAPG 2017 program, MOBYDICK Project number: ANR-17-CE01-0013), and the French Research program of INSU-CNRS LEFE/CYBER (Les enveloppes fluides et l'environnement Cycles biogeochimiques, environnement et ressources). This research was partially supported by the NSERC Discovery Grant RGPIN-2014-05107 held by EA Pakhomov.</t>
  </si>
  <si>
    <t>10.1016/j.jmarsys.2020.103489</t>
  </si>
  <si>
    <t>PH4FH</t>
  </si>
  <si>
    <t>WOS:000600370200001</t>
  </si>
  <si>
    <t>Rowlands, E; Galloway, T; Manno, C</t>
  </si>
  <si>
    <t>Rowlands, Emily; Galloway, Tamara; Manno, Clara</t>
  </si>
  <si>
    <t>A Polar outlook: Potential interactions of micro- and nano-plastic with other anthropogenic stressors</t>
  </si>
  <si>
    <t>Ecotoxicology; Plastic; Warming; Acidification; Contaminants; Antarctica; Arctic</t>
  </si>
  <si>
    <t>PERSISTENT ORGANIC POLLUTANTS; CHLORINATED-HYDROCARBON CONTAMINANTS; URCHIN STERECHINUS-NEUMAYERI; COD BOREOGADUS-SAIDA; REDUCED SEAWATER PH; OCEAN ACIDIFICATION; SOUTHERN-OCEAN; ARCTIC MARINE; CLIMATE-CHANGE; SEA-ICE</t>
  </si>
  <si>
    <t>Polar marine ecosystems may have higher sensitivity than other ecosystems to plastic pollution due to recurrent physical and biological features; presence of ice and high UV radiation, slow growth rates and weak genetic differentiation of resident biota, accumulation of persistent organic pollutants and heavy metals, and fast rates of warming and global ocean acidification. Here, we discuss potential sources of and exposure to micro- and nano-plastic in polar marine ecosystems and potential mixture effects of micro- and nano-plastic coupled with chemical and climate related stressors. We address the anthropogenic contaminants likely to be `high risk' for interactions in Arctic and Antarctic waters for reasons such as accumulation under sea-ice, a known sink for plastic particulates. Consequently, we address the potential for localised plastic-chemical interactions and possible seasonal fluctuations in interactions associated with freeze-thaw events. The risks for keystone polar species are also considered, incorporating the behavioural and physiological traits of biota and addressing potential `hotspot' areas. Finally, we discuss a possible direction for future research. (C) 2020 The Authors. Published by Elsevier B.V.</t>
  </si>
  <si>
    <t>[Rowlands, Emily; Manno, Clara] British Antarctic Survey, Madingley Rd, Cambridge CB3 0ET, England; [Rowlands, Emily; Galloway, Tamara] Univ Exeter, Coll Life &amp; Environm Sci, Streatham Campus,Stocker Rd, Exeter EX4 4PY, Devon, England</t>
  </si>
  <si>
    <t>UK Research &amp; Innovation (UKRI); Natural Environment Research Council (NERC); NERC British Antarctic Survey; University of Exeter</t>
  </si>
  <si>
    <t>Rowlands, E (corresponding author), British Antarctic Survey, Madingley Rd, Cambridge CB3 0ET, England.</t>
  </si>
  <si>
    <t>emirow@bas.ac.uk</t>
  </si>
  <si>
    <t>NERC GW4+ scholarship [NE/L002434/1]; NERC [NE/N006178]; NERC [bas0100035] Funding Source: UKRI</t>
  </si>
  <si>
    <t>NERC GW4+ scholarship; NERC(UK Research &amp; Innovation (UKRI)Natural Environment Research Council (NERC)); NERC(UK Research &amp; Innovation (UKRI)Natural Environment Research Council (NERC))</t>
  </si>
  <si>
    <t>ER is funded by a NERC GW4+ scholarship NE/L002434/1. TG was supported in part through NERC grant NE/N006178. Feedback from anonymous reviewers is acknowledged. With thanks to Laura Gerrish for creating polar maps (Fig. 1).</t>
  </si>
  <si>
    <t>10.1016/j.scitotenv.2020.142379</t>
  </si>
  <si>
    <t>OX9WY</t>
  </si>
  <si>
    <t>WOS:000593907600011</t>
  </si>
  <si>
    <t>Carnero-Guzman, GG; Bouazza, A; Gates, WP; Rowe, RK; McWatters, R</t>
  </si>
  <si>
    <t>Carnero-Guzman, Genaro Gonzalo; Bouazza, Abdelmalek; Gates, Will P.; Rowe, R. Kerry; McWatters, Rebecca</t>
  </si>
  <si>
    <t>Hydration/dehydration behaviour of geosynthetic clay liners in the Antarctic environment</t>
  </si>
  <si>
    <t>GEOTEXTILES AND GEOMEMBRANES</t>
  </si>
  <si>
    <t>Geosynthetics; Geosynthetic clay liner; Antarctica; Unsaturated behaviour; Cold regions engineering</t>
  </si>
  <si>
    <t>HYDRAULIC CONDUCTIVITY; WATER-RETENTION; GCLS; HYDRATION; PERFORMANCE; SOIL; BENTONITE; LEACHATES; TEMPERATURES; DIFFUSION</t>
  </si>
  <si>
    <t>This paper examines the hydration/dehydration behaviour of geosynthetic clay liner (GCL) under polar conditions for four simulated conditions experienced at Australia's Casey Station in Antarctica: (a) hydration during summer, (b) dehydration during a winter-summer cycle, (c) hydration through a fine Antarctic soil, and (d) hydration through a coarse Antarctic soil. Hydration during the summer is found to occur if there is direct contact with the water table. In contrast, the low relative humidity of the environment tends to dehydrate the GCL along a path that depends on the field conditions the GCL is exposed to. Hydration from either fine or coarse Antarctica soil is function of the original gravimetric water content of the subgrade soil and its grain size distribution as well as the low relative humidity prevailing in Antarctica.</t>
  </si>
  <si>
    <t>[Carnero-Guzman, Genaro Gonzalo] Golder Associates Pty Ltd, Bldg 7,Bot Corp Pk,570-588 Swan St, Richmond, Vic 3121, Australia; [Bouazza, Abdelmalek] Monash Univ, Dept Civil Engn, 23 Coll Walk, Melbourne, Vic 3800, Australia; [Gates, Will P.] Deakin Univ, Inst Frontier Mat, Melbourne, Vic 3125, Australia; [Rowe, R. Kerry] Queens Univ, GeoEngn Ctr Queens RMC, Ellis Hall, Kingston, ON K7L 3N6, Canada; [McWatters, Rebecca] Antarctic Conservat &amp; Management, Australian Antarctic Div, Hobart, Tas 7050, Australia</t>
  </si>
  <si>
    <t>Melbourne Genomics Health Alliance; Monash University; Melbourne Genomics Health Alliance; Deakin University; Royal Military College - Canada; Queens University - Canada; Australian Antarctic Division</t>
  </si>
  <si>
    <t>Bouazza, A (corresponding author), Monash Univ, Dept Civil Engn, 23 Coll Walk, Melbourne, Vic 3800, Australia.</t>
  </si>
  <si>
    <t>gcarnerog@gmail.com; malek.bouazza@monash.edu; will.gates@deakin.edu.au; kerry.rowe@queensu.ca; rebecca.mcwatters@aad.gov.au</t>
  </si>
  <si>
    <t>Rowe, R. Kerry/0000-0002-1009-0447</t>
  </si>
  <si>
    <t>Australian Research Council [LP140100516]; Peruvian National Program of Scholarships and Student Loans (PRONABEC); Australian Research Council [LP140100516] Funding Source: Australian Research Council</t>
  </si>
  <si>
    <t>Australian Research Council(Australian Research Council); Peruvian National Program of Scholarships and Student Loans (PRONABEC); Australian Research Council(Australian Research Council)</t>
  </si>
  <si>
    <t>This research project was supported by the Australian Research Council's Linkage Projects funding scheme (project number LP140100516). The authors also acknowledge the Peruvian National Program of Scholarships and Student Loans (PRONABEC) provided to the first author.</t>
  </si>
  <si>
    <t>0266-1144</t>
  </si>
  <si>
    <t>1879-3584</t>
  </si>
  <si>
    <t>GEOTEXT GEOMEMBRANES</t>
  </si>
  <si>
    <t>Geotext. Geomembr.</t>
  </si>
  <si>
    <t>10.1016/j.geotexmem.2020.10.020</t>
  </si>
  <si>
    <t>Engineering, Geological; Geosciences, Multidisciplinary</t>
  </si>
  <si>
    <t>PK2JU</t>
  </si>
  <si>
    <t>WOS:000602277900002</t>
  </si>
  <si>
    <t>Zhang, ZY; Yan, GG; Sun, C; Saklofske, DH</t>
  </si>
  <si>
    <t>Zhang, Ziyi; Yan, Gonggu; Sun, Chang; Saklofske, Donald H.</t>
  </si>
  <si>
    <t>Who will adapt best in Antarctica? Resilience as mediator between past experiences in Antarctica and present well-being</t>
  </si>
  <si>
    <t>PERSONALITY AND INDIVIDUAL DIFFERENCES</t>
  </si>
  <si>
    <t>Resilience; Stress; Recovery; Well-being; Antarctica; ICE; Environment</t>
  </si>
  <si>
    <t>RECOVERY; STRESS; ENVIRONMENTS; RESPONSES; SYMPTOMS</t>
  </si>
  <si>
    <t>The purpose of this study was to investigate the role of resilience in the relationship between past experiences under the isolated, confined and extreme (ICE) environment of Antarctica and present subjective well-being (SWB). Chinese Antarctic expeditioners (51winter-overs and 52 summer-overs;90% male) from the 2013-2017 explorations participated in the study. The Recovery-Stress Questionnaire (RESTQ), Essential Resilience Scale (ERS) and Satisfaction with Life Scale (SWLS) were administrated online. Consistent with previous studies, resilience was significantly negatively associated with stress and positively correlated with recovery and SWB. Further SEM analyses indicated that recovery exerted an indirect effect on SWB through the mediating effect of resilience while the mediating effect between stress and SWB was not significant. The findings suggested that personal traits including resilience should be considered in mission planning and personnel selection for ICE environments.</t>
  </si>
  <si>
    <t>[Zhang, Ziyi; Yan, Gonggu; Sun, Chang] Beijing Normal Univ, Fac Psychol, Beijing, Peoples R China; [Saklofske, Donald H.] Univ Western Ontario, Dept Psychol, London, ON, Canada</t>
  </si>
  <si>
    <t>Beijing Normal University; Western University (University of Western Ontario)</t>
  </si>
  <si>
    <t>Yan, GG (corresponding author), Beijing Normal Univ, Room 1418,New Main Bldg,19 Xinjiekouwai St, Haidian Dist, Peoples R China.</t>
  </si>
  <si>
    <t>gregyan@bnu.edu.cn</t>
  </si>
  <si>
    <t>YAN, Gonggu/IZE-7315-2023</t>
  </si>
  <si>
    <t>Chinese Arctic and Antarctic Administration (CHINARE) [20140201, 2017-10]</t>
  </si>
  <si>
    <t>Chinese Arctic and Antarctic Administration (CHINARE)</t>
  </si>
  <si>
    <t>This study was partially funded by Chinese Arctic and Antarctic Administration (CHINARE #20140201 and #2017-10). We thank Thomas Taiyi Yan from University of Maryland for technical advice. Special thanks are extended to the Antarctica people for participating the study.</t>
  </si>
  <si>
    <t>0191-8869</t>
  </si>
  <si>
    <t>PERS INDIV DIFFER</t>
  </si>
  <si>
    <t>Pers. Individ. Differ.</t>
  </si>
  <si>
    <t>10.1016/j.paid.2020.109963</t>
  </si>
  <si>
    <t>Psychology, Social</t>
  </si>
  <si>
    <t>Psychology</t>
  </si>
  <si>
    <t>PH8SX</t>
  </si>
  <si>
    <t>WOS:000600676300022</t>
  </si>
  <si>
    <t>dos Santos, MFA; Mattos, I; Mermudes, JRM; Scheffler, SM; Reyes-Castillo, P</t>
  </si>
  <si>
    <t>Aquino dos Santos, Marcia Fernandes; Mattos, Ingrid; Mermudes, Jose Ricardo M.; Scheffler, Sandro Marcelo; Reyes-Castillo, Pedro</t>
  </si>
  <si>
    <t>A new passalid fossil (Insecta: Coleoptera) from the Santana Formation (Crato member, Lower Cretaceous), Araripe Basin, NE Brazil: Paleoecological and paleobiogeographic implications</t>
  </si>
  <si>
    <t>CRETACEOUS RESEARCH</t>
  </si>
  <si>
    <t>Continental breakup; Cretaceous; Insecta; Paleobiogeography; Passalinae; Taxonomy</t>
  </si>
  <si>
    <t>SCARABAEOIDEA COLEOPTERA; DISTRIBUTIONAL RECORDS; ANTARCTIC PENINSULA; BURMESE AMBER; CLIMATE; PHYLOGENY; EVOLUTION; ATLANTIC; FAMILY; BIOGEOGRAPHY</t>
  </si>
  <si>
    <t>Species with a xylobiont lifestyle (e.g., inside fallen tree trunks) are rarely fossilized because of their taphonomic peculiarities. Reconstructing the evolutionary history of these lineages is challenging, especially with respect to dating major events. Here, a new genus and species of Passalidae, Protopassalus araripensis gen. et sp. nov., is described based on a well-preserved fossil in laminated limestone from the Crato Formation (Santana Group, Lower Cretaceous, upper Aptian), collected in a quarry near Nova Olinda, Chapada do Araripe, State of Ceara, Brazil. This specimen is the oldest passalid fossil and the first record for the family in the Santana Group, and aids in understanding the origin and radiation of terrestrial Coleoptera. Protopassalus araripensis gen. et sp. nov. shows characteristics of the subfamily Passalinae, representing the oldest record of this group and suggesting that the family emerged over 150 Ma. The new genus is attributed to this subfamily based on: outline of head and eyes with strongly convex frontal area, posteriorly grooved and curve, with incomplete central tubercle; pronotum rounded at sides with longitudinal groove; mesothorax with narrowing connection with abdomen, dorsally evident; elytra longitudinally striated and with similar dorsal striae and interstriae. We propose a new sequence of events in the Passalidae paleobiogeography, as a basis to evaluate other organisms of low dispersal ability. (C) 2020 Elsevier Ltd. All rights reserved.</t>
  </si>
  <si>
    <t>[Aquino dos Santos, Marcia Fernandes; Scheffler, Sandro Marcelo] Univ Fed Rio de Janeiro, Lab Paleoinvertebrados LAPIN, Dept Geol &amp; Paleontol, Museu Nacl, Quinta de Boa Vista S-N, BR-20940040 Rio de Janeiro, RJ, Brazil; [Mattos, Ingrid; Mermudes, Jose Ricardo M.] Univ Fed Rio de Janeiro, Lab Entomol, Dept Zool, Ilha Fundao, Sala A1-107 CCS,Ave Carlos Chagas Filho,373, BR-21941599 Rio De Janeiro, RJ, Brazil; [Reyes-Castillo, Pedro] Inst Ecol, Red Biodiversidad &amp; Sistemat, Xalapa, Veracruz, Mexico</t>
  </si>
  <si>
    <t>Universidade Federal do Rio de Janeiro; Universidade Federal do Rio de Janeiro; Instituto de Ecologia - Mexico</t>
  </si>
  <si>
    <t>Mermudes, JRM (corresponding author), Univ Fed Rio de Janeiro, Lab Entomol, Dept Zool, Ilha Fundao, Sala A1-107 CCS,Ave Carlos Chagas Filho,373, BR-21941599 Rio De Janeiro, RJ, Brazil.</t>
  </si>
  <si>
    <t>jrmermudes@gmail.com</t>
  </si>
  <si>
    <t>Mermudes, Jose Ricardo Miras/G-4279-2012</t>
  </si>
  <si>
    <t>Mermudes, Jose Ricardo Miras/0000-0003-2030-7483</t>
  </si>
  <si>
    <t>CNPq [306105/2016-0, 311679/2019-6]; Faperj [110.040/2014, 211.522/2016, E-26/200.110/2019]; PROTAX CNPQ/CAPES [440479/2015-0]; CNPQ/MCTIC/CAPES/FNDCT [PROANTAR 442765/2018-5]; Coordenacao de Aperfeicoamento de Pessoal de Nivel Superior Brazil (CAPES) [001]</t>
  </si>
  <si>
    <t>CNPq(Conselho Nacional de Desenvolvimento Cientifico e Tecnologico (CNPQ)); Faperj(Fundacao Carlos Chagas Filho de Amparo a Pesquisa do Estado do Rio De Janeiro (FAPERJ)); PROTAX CNPQ/CAPES(Fundacao de Apoio a Pesquisa do Distrito Federal (FAPDF)Conselho Nacional de Desenvolvimento Cientifico e Tecnologico (CNPQ)); CNPQ/MCTIC/CAPES/FNDCT; Coordenacao de Aperfeicoamento de Pessoal de Nivel Superior Brazil (CAPES)(Coordenacao de Aperfeicoamento de Pessoal de Nivel Superior (CAPES))</t>
  </si>
  <si>
    <t>JRMM was supported through the following grants: CNPq 306105/2016-0 and 311679/2019-6, Faperj 110.040/2014, 211.522/2016, and PROTAX CNPQ/CAPES 440479/2015-0. SMS was supported through a grant from Faperj E-26/200.110/2019 and CNPQ/MCTIC/CAPES/FNDCT - PROANTAR 442765/2018-5. The authors thank Dionizio Angelo de Moura Jr. for help in preparing the specimen. We thank Marcelo de Araujo Carvalho (Federal University of Rio de Janeiro), Luiz Felipe Lima da Silveira (Western Carolina University), Gabriel Mejdalani (Federal University of Rio de Janeiro), and anonymous reviewers for their critical reading of manuscript and English language review. We also thank Janet W. Reid for English language review. This study was financed in part by the Coordenacao de Aperfeicoamento de Pessoal de Nivel Superior Brazil (CAPES), Finance Code 001.</t>
  </si>
  <si>
    <t>0195-6671</t>
  </si>
  <si>
    <t>1095-998X</t>
  </si>
  <si>
    <t>CRETACEOUS RES</t>
  </si>
  <si>
    <t>Cretac. Res.</t>
  </si>
  <si>
    <t>10.1016/j.cretres.2020.104664</t>
  </si>
  <si>
    <t>Geology; Paleontology</t>
  </si>
  <si>
    <t>PA9GU</t>
  </si>
  <si>
    <t>WOS:000595936500008</t>
  </si>
  <si>
    <t>Liu, KS; Yao, TD; Pearce, DA; Jiao, NZ; Zeng, YH; Guo, BX; Liu, YQ</t>
  </si>
  <si>
    <t>Liu, Keshao; Yao, Tandong; Pearce, David A.; Jiao, Nianzhi; Zeng, Yonghui; Guo, Bixi; Liu, Yongqin</t>
  </si>
  <si>
    <t>Bacteria in the lakes of the Tibetan Plateau and polar regions</t>
  </si>
  <si>
    <t>The third pole; Lake bacterial communities; Spatial distribution; Dispersal limitation</t>
  </si>
  <si>
    <t>COMMUNITY COMPOSITION; BETA-DIVERSITY; BIOGEOGRAPHY; PATTERNS; LIMITATION</t>
  </si>
  <si>
    <t>The Tibetan Plateau, also termed 'the Third Pole' harbors the largest number of high-altitude lakes in the world. Due to the presence of extreme conditions such as lowtemperature and oligotrophy, the lakes of the Tibetan Plateau share environmental features in common with lakes in the polar regions. However, the extent to which these environments are analogous, or indeed whether they harbor similar microbial communities or a high level of endemic species is poorly understood. Here we compared high-throughput 16S rRNA gene sequencing data from the lakes of the three different regions in order to characterize their taxonomic diversity, the community composition and biogeography. Our results showed despite the similarity in environmental conditions, the spatial distribution of the bacterial communities was distinct with only 3.1% of all operational taxonomic units (OTUs) being present in all three regions (although these OTUs did account for a considerable proportion of the total sequences, 36.4%). Sequences belonging to Burkholderiales and Actinomycetales dominated the shared OTUs across all three regions. Scale dependent distance decay patterns provided evidence of dispersal limitation. Climatic variables and dispersal limitation were apparently both important in controlling the spatial distribution of bacterial communities across regions. This work expands our understanding of the diversity and biogeography of lake bacterial communities across the Tibetan Plateau and provides insights into howt hey compare to those of the Antarctic and Arctic. (C) 2020 Elsevier B.V. All rights reserved.</t>
  </si>
  <si>
    <t>[Liu, Keshao; Yao, Tandong; Guo, Bixi; Liu, Yongqin] Chinese Acad Sci, Inst Tibetan Plateau Res, Key Lab Tibetan Environm Changes &amp; Land Surface P, Beijing 100101, Peoples R China; [Liu, Keshao; Yao, Tandong; Liu, Yongqin] Chinese Acad Sci, CAS Ctr Excellence Tibetan Plateau Earth Sci, Beijing 100101, Peoples R China; [Liu, Keshao; Guo, Bixi; Liu, Yongqin] Univ Chinese Acad Sci, Beijing 100049, Peoples R China; [Pearce, David A.] Northumbria Univ Newcastle, Fac Hlth &amp; Life Sci, Dept Appl Sci, Newcastle Upon Tyne NE1 8ST, Tyne &amp; Wear, England; [Pearce, David A.] British Antarctic Survey, Nat Environm Res Council, Cambridge CB3 0ET, England; [Jiao, Nianzhi] Xiamen Univ, State Key Lab Marine Environm Sci, Xiamen 361005, Peoples R China; [Zeng, Yonghui] Aarhus Univ, Dept Environm Sci, DK-4000 Roskilde, Denmark</t>
  </si>
  <si>
    <t>Chinese Academy of Sciences; Institute of Tibetan Plateau Research, CAS; Chinese Academy of Sciences; Chinese Academy of Sciences; University of Chinese Academy of Sciences, CAS; Northumbria University; UK Research &amp; Innovation (UKRI); Natural Environment Research Council (NERC); NERC British Antarctic Survey; Xiamen University; Aarhus University</t>
  </si>
  <si>
    <t>Liu, YQ (corresponding author), Chinese Acad Sci, Inst Tibetan Plateau Res, Key Lab Tibetan Environm Changes &amp; Land Surface P, Beijing 100101, Peoples R China.</t>
  </si>
  <si>
    <t>yqliu@itpcas.ac.cn</t>
  </si>
  <si>
    <t>Zeng, Yonghui/C-5663-2008</t>
  </si>
  <si>
    <t>Pearce, David/0000-0001-5292-4596; ZENG, YONGHUI/0000-0001-7483-5017</t>
  </si>
  <si>
    <t>Second Tibetan Plateau Scientific Expedition and Research Program (STEP) [2019QZKK0201, 2019QZKK0503]; Strategic Priority Research Program (A) of the Chinese Academy of Sciences [XDA20050101, XDA19070304]; National Research and Development Program of China [2019YFC1509100]; National Natural Science Foundation of China [41425004, 41771086]</t>
  </si>
  <si>
    <t>Second Tibetan Plateau Scientific Expedition and Research Program (STEP); Strategic Priority Research Program (A) of the Chinese Academy of Sciences; National Research and Development Program of China; National Natural Science Foundation of China(National Natural Science Foundation of China (NSFC))</t>
  </si>
  <si>
    <t>This work was supported by the Second Tibetan Plateau Scientific Expedition and Research Program (STEP) (Grant Nos. 2019QZKK0201 and 2019QZKK0503), the Strategic Priority Research Program (A) of the Chinese Academy of Sciences (Grant Nos. XDA20050101 and XDA19070304), the National Research and Development Program of China (Grant No. 2019YFC1509100) and the National Natural Science Foundation of China (Grant Nos. 41425004 and 41771086).</t>
  </si>
  <si>
    <t>10.1016/j.scitotenv.2020.142248</t>
  </si>
  <si>
    <t>OX9VK</t>
  </si>
  <si>
    <t>WOS:000593903500003</t>
  </si>
  <si>
    <t>Rees-Owen, RL; Newton, RJ; Ivanovic, RF; Francis, JE; Riding, JB; Marca, AD</t>
  </si>
  <si>
    <t>Rees-Owen, Rhian L.; Newton, Robert J.; Ivanovic, Ruza F.; Francis, Jane E.; Riding, James B.; Marca, Alina D.</t>
  </si>
  <si>
    <t>A calibration of cellulose isotopes inmodern prostrate Nothofagus and its application to fossil material from Antarctica</t>
  </si>
  <si>
    <t>Antarctica; Neogene; Sirius Group; Tree ring isotopes; Precipitation</t>
  </si>
  <si>
    <t>TREE-RING CELLULOSE; PLIOCENE SIRIUS GROUP; WATER-USE EFFICIENCY; CARBON-ISOTOPE; ICE-SHEET; OXYGEN ISOTOPES; TRANSANTARCTIC MOUNTAINS; STABLE-ISOTOPES; CLIMATE RECONSTRUCTIONS; FITZROYA-CUPRESSOIDES</t>
  </si>
  <si>
    <t>Carbon and oxygen isotopes (delta C-13 and delta O-18) in tree rings are widely used to reconstruct palaeoclimate variables such as temperature during the Holocene (12 thousand years ago - present), and are used increasingly in deeper time. However, their use is largely restricted to arboreal trees, which excludes potentially important data from prostrate trees and shrubs, which grow in high latitude and altitude end-member environments. Here, we calibrate the use of delta C-13 and delta O-18 as climatic archives in two modern species of southern beech (Nothofagus) from Tierra del Fuego, Chile, at the southern limit of their current range. We show that prostrate trees are potentially suitable archives for recording climatological means over longer periods (on the order of decades), which opens up these important environments for tree ring isotope analysis. We then apply our new understanding to a remarkable late Neogene (17-2.5 Ma) fossil Nothofagus assemblage from the Transantarctic Mountains, Antarctica, representative of a prostrate tundra shrub growing during a period of significant ice sheet retreat. The delta C-13 of the fossil cellulose was found to be similar to 4% enriched relative to that of the modern tress. This is likely to be due to a combination of a more positive delta C-13 of contemporaneous atmospheric CO2 and enhanced water use efficiency at the fossil site. Using the cellulose-delta O-18 in the fossilwood, we are able to reconstruct precipitation oxygen isotopes over the Antarctic interior for the first time for this time period. The results show that delta O-18(precip) over Antarctica was-16.0 +/- 4.2 parts per thousand, around 12 parts per thousand enriched relative to today, suggesting changes in the hydrological cycle linked to warmer temperatures and a smaller ice sheet. (C) 2020 The Authors. Published by Elsevier B.V.</t>
  </si>
  <si>
    <t>[Rees-Owen, Rhian L.; Newton, Robert J.; Ivanovic, Ruza F.] Univ Leeds, Sch Earth &amp; Environm, Leeds, W Yorkshire, England; [Francis, Jane E.] British Antarctic Survey, Cambridge, England; [Riding, James B.] British Geol Survey, Nottingham, England; [Marca, Alina D.] Univ East Anglia, Sch Environm Sci, Norwich, Norfolk, England; [Rees-Owen, Rhian L.] Dept Business Energy &amp; Ind Strategy, 1 Victoria St, London SW1H 0ET, England</t>
  </si>
  <si>
    <t>University of Leeds; UK Research &amp; Innovation (UKRI); Natural Environment Research Council (NERC); NERC British Antarctic Survey; UK Research &amp; Innovation (UKRI); Natural Environment Research Council (NERC); NERC British Geological Survey; University of East Anglia</t>
  </si>
  <si>
    <t>Newton, RJ (corresponding author), Univ Leeds, Sch Earth &amp; Environm, Leeds, W Yorkshire, England.</t>
  </si>
  <si>
    <t>r.j.newton@leeds.ac.uk</t>
  </si>
  <si>
    <t>Newton, Robert/B-2599-2009; Ivanovic, Ruza/C-5941-2012</t>
  </si>
  <si>
    <t>Newton, Robert/0000-0003-0144-6867; Ivanovic, Ruza/0000-0002-7805-6018</t>
  </si>
  <si>
    <t>Natural Environment Research Council (NERC) [NE/K500847/1]; BGS; Trans-Antarctic Association [TAA/13/10]; NERC Independent Fellowship [NE/K008536/1]; NSF; NERC [bgs06001, NE/K500847/1, bas010011, NE/K008536/1] Funding Source: UKRI</t>
  </si>
  <si>
    <t>Natural Environment Research Council (NERC)(UK Research &amp; Innovation (UKRI)Natural Environment Research Council (NERC)); BGS; Trans-Antarctic Association; NERC Independent Fellowship; NSF(National Science Foundation (NSF)); NERC(UK Research &amp; Innovation (UKRI)Natural Environment Research Council (NERC))</t>
  </si>
  <si>
    <t>Many thanks are due to our two anonymous reviewers, whose detailed and helpful comments have helped to improve this manuscript. We thank F. Keay and A. Connolly of Leeds University for technical and analytical support, J. Forth for support in the field, and R. Brienen for equipment loans and useful discussions on sampling tree rings. R.L.R.O. thanks the Natural Environment Research Council (NERC) for supporting her PhD studentship (NE/K500847/1), the BGS for CASE support, and the Trans-Antarctic Association for support with fieldwork (TAA/13/10). R.I. was supported by a NERC Independent Fellowship (NE/K008536/1). J.B.R. publishes with the approval of the Executive Director, British Geological Survey (NERC). Fossil samples were obtained from A. Ashworth, North Dakota State University, and were collected during fieldwork for an NSF-funded project undertaken by A. Ashworth, J. Francis, D. Cantrill and S. Roof. Modern tree core samples were taken during the 2012-13 field season; thanks are due to Omora Ethnobotanical Park for permission to sample their trees and use their field station, as well as Marcelo Leppe at INACH for invaluable advice on conducting fieldwork in Chile.</t>
  </si>
  <si>
    <t>10.1016/j.scitotenv.2020.142247</t>
  </si>
  <si>
    <t>WOS:000593903500005</t>
  </si>
  <si>
    <t>Reindl, AR; Saniewska, D; Grajewska, A; Falkowska, L; Saniewski, M</t>
  </si>
  <si>
    <t>Reindl, Andrzej R.; Saniewska, Dominika; Grajewska, Agnieszka; Falkowska, Lucyna; Saniewski, Michal</t>
  </si>
  <si>
    <t>Alimentary exposure and elimination routes of rare earth elements (REE) in marine mammals from the Baltic Sea and Antarctic coast</t>
  </si>
  <si>
    <t>Phocids; REE in diet; Fur; Faeces; Admiralty Bay; Gulf of Gdansk</t>
  </si>
  <si>
    <t>MICE FOLLOWING EXPOSURE; KING-GEORGE-ISLAND; NORTHERN FUR SEALS; MARITIME ANTARCTICA; OXIDATIVE STRESS; TRACE-ELEMENTS; HARBOR SEAL; HUMAN BRAIN; MERCURY; FEATHERS</t>
  </si>
  <si>
    <t>Marine mammals found at the top of the trophic pyramid are excellent bioindicators of pollutants in the marine environment, the concentrations of which increase along with the trophic level of the organism. As these animals are usually protected species, their contamination has to be assessed non-invasively by analysing excrement and epidermal structures such as fur or claws. The present study involved testing the excrement and fur of the grey seal (Halichoerus grypus) from the Southern Baltic coast and the Southern elephant seal (Mirounga leonine) from Admiralty Bay, along with fish muscle (food) and the lithological background of both areas, for the presence of rare earth elements (REE). The soil on the Baltic coast is characterized by the predomination of light rare earth elements (LREE): yttrium, lanthanum and cerium(Sigma REE = 7.86 mg.kg(-1) dw). In the soil and bedrock of Admiralty Bay all REEs were found except for terbium, thulium and lutetium (Sigma REE = 96.1 mg.kg(-1) dw). The REE levels found in the muscles of Baltic herring (Sigma REE = 0.057 mg.kg(-1) ww) were lower than those in the muscles of marbled rockcod (Sigma REE = 0.540 mg.kg(-1) ww). The situation was analogous in the mammals, with the REE concentrations in grey seal fur (Sigma REE = 0.489 mg.kg(-1) dw) and excrement (Sigma REE = 0.676 mg.kg(-1) dw) being lower than those found in the fur (Sigma REE = 10.1 mg.kg(-1) dw) and excrement (Sigma REE = 83.6 mg.kg(-1) dw) of the elephant seal. The LREE/HREE partition coefficients in the grey seal excrement (3.37) and its fur (4.00), but also in the faeces of the elephant seal (2.63) and its fur (2.65), indicate that in each species the process of elimination from the body occurs in similar proportions. (C) 2020 Elsevier B.V. All rights reserved.</t>
  </si>
  <si>
    <t>[Reindl, Andrzej R.; Saniewska, Dominika; Falkowska, Lucyna] Univ Gdansk, Fac Oceanog &amp; Geog, Dept Marine Chem &amp; Environm Protect, Al Marszalka Pilsudskiego 46, PL-81378 Gdynia, Poland; [Grajewska, Agnieszka; Saniewski, Michal] Inst Meteorol &amp; Water Management, Natl Res Inst, Waszyngtona 42 Str, PL-81342 Gdynia, Poland</t>
  </si>
  <si>
    <t>Fahrenheit Universities; University of Gdansk; Institute of Meteorology &amp; Water Management</t>
  </si>
  <si>
    <t>Grajewska, A (corresponding author), Inst Meteorol &amp; Water Management, Natl Res Inst, Waszyngtona 42 Str, PL-81342 Gdynia, Poland.</t>
  </si>
  <si>
    <t>agnieszka.grajewska@imgw.pl</t>
  </si>
  <si>
    <t>Saniewska, Dominika/G-1472-2015; Grajewska, Agnieszka/AAF-4339-2020; REINDL, Andrzej R./HIR-4080-2022</t>
  </si>
  <si>
    <t>Saniewska, Dominika/0000-0002-0630-9602; Grajewska, Agnieszka/0000-0003-4517-4584; Saniewski, Michal/0000-0002-2347-1660</t>
  </si>
  <si>
    <t>National Science Centre [2015/17/B/ST10/03418, 2017/27/N/ST10/02230, 2019/33/B/ST10/00290]; Minister of Science and Higher Education of Poland; Foundation for Polish Science (FNP)</t>
  </si>
  <si>
    <t>National Science Centre(National Science Centre, Poland); Minister of Science and Higher Education of Poland(Ministry of Science and Higher Education, Poland); Foundation for Polish Science (FNP)(Foundation for Polish Science)</t>
  </si>
  <si>
    <t>All samples for the research were taken as part of three projects (2015/17/B/ST10/03418, 2017/27/N/ST10/02230, 2019/33/B/ST10/00290) financed by the National Science Centre. Dominika Saniewska has been supported by a scholarship for young researcher provided by the Minister of Science and Higher Education of Poland. Agnieszka Grajewska has been supported by a scholarship for young researcher provided by the Foundation for Polish Science (FNP). The authorswould like to thank the seal caretakers from the Professor Krzysztof Skora Hel Marine Station: Paulina Bednarek, Wioleta Mietkiewicz, Aleksandra Botur, Jerzy Marks, who were responsible for providing the grey seal samples. The authors are grateful to the crew from the Henryk Arctowski Polish Antarctic Station for assistance provided during sampling, in particular Krzysztof Komar for providing samples of marbled rockcod.</t>
  </si>
  <si>
    <t>10.1016/j.scitotenv.2020.141947</t>
  </si>
  <si>
    <t>OY1BF</t>
  </si>
  <si>
    <t>WOS:000593987700008</t>
  </si>
  <si>
    <t>Gilmour, R; Ellison, JC</t>
  </si>
  <si>
    <t>Gilmour, Robert; Ellison, Joanna C.</t>
  </si>
  <si>
    <t>Assessment of stability of an exposed microtidal beach, Western Tasmania</t>
  </si>
  <si>
    <t>JOURNAL OF COASTAL CONSERVATION</t>
  </si>
  <si>
    <t>Shoreline change; Spatial analysis; Dunes; Blowouts; Sedimentology; Beach profiles</t>
  </si>
  <si>
    <t>SIZE TREND ANALYSIS; SEA-LEVEL RISE; EROSION; MANAGEMENT; TRANSPORT; ACCRETION</t>
  </si>
  <si>
    <t>Beach erosion is an increasing threat to the natural resources of many countries, and is expected to increase with rising sea-level. West Tasmania has extensive fetch from the circum-polar Antarctic Ocean, also located in the Roaring Forties latitudes. Beaches of this coastline previously studied have shown major erosion, attributed to recent relative sea-level rise as they are largely secluded from human impacts. This study assessed Four Mile Beach, located in the central section of the west coast using methods of spatial analysis 1952-2011, beach profile survey and sediment analysis. Results showed only minor erosion of the vegetation line to the north, and stability and progradation in the central and southern extents of the beach. Blowouts showed more major changes, with three large blowouts towards the south becoming parabolic dunes, and one in the north re-vegetating. Dune sediment was mostly rounded fine sand indicative of active aeolian processes, while seaward edge sediment was sub-angular with a 15-20% of carbonate content on most transects, indicative of a sediment supply from offshore. Ongoing coastal stability of this pristine coastline would be facilitated by continued monitoring, management of any potential human impacts, and control of any potential invasive species that may affect sediment budgets.</t>
  </si>
  <si>
    <t>[Gilmour, Robert; Ellison, Joanna C.] Univ Tasmania, Sch Geog Planning &amp; Spatial Sci, Launceston, Tas 7250, Australia</t>
  </si>
  <si>
    <t>Ellison, JC (corresponding author), Univ Tasmania, Sch Geog Planning &amp; Spatial Sci, Launceston, Tas 7250, Australia.</t>
  </si>
  <si>
    <t>Joanna.Ellison@utas.edu.au</t>
  </si>
  <si>
    <t>Ellison, Joanna/C-2372-2014</t>
  </si>
  <si>
    <t>Ellison, Joanna/0000-0003-0692-8347</t>
  </si>
  <si>
    <t>1400-0350</t>
  </si>
  <si>
    <t>1874-7841</t>
  </si>
  <si>
    <t>J COAST CONSERV</t>
  </si>
  <si>
    <t>J. Coast. Conserv.</t>
  </si>
  <si>
    <t>JAN 31</t>
  </si>
  <si>
    <t>10.1007/s11852-021-00805-8</t>
  </si>
  <si>
    <t>Biodiversity Conservation; Environmental Sciences; Marine &amp; Freshwater Biology; Water Resources</t>
  </si>
  <si>
    <t>Biodiversity &amp; Conservation; Environmental Sciences &amp; Ecology; Marine &amp; Freshwater Biology; Water Resources</t>
  </si>
  <si>
    <t>QE4NU</t>
  </si>
  <si>
    <t>WOS:000616185000001</t>
  </si>
  <si>
    <t>Nash, KL; Alexander, K; Melbourne-Thomas, J; Novaglio, C; Sbrocchi, C; Villanueva, C; Pecl, GT</t>
  </si>
  <si>
    <t>Nash, Kirsty L.; Alexander, Karen; Melbourne-Thomas, Jess; Novaglio, Camilla; Sbrocchi, Carla; Villanueva, Cecilia; Pecl, Gretta T.</t>
  </si>
  <si>
    <t>Developing achievable alternate futures for key challenges during the UN Decade of Ocean Science for Sustainable Development (Jan, 10.1007/s11160-020-09629-5, 2021)</t>
  </si>
  <si>
    <t>[Nash, Kirsty L.; Alexander, Karen; Melbourne-Thomas, Jess; Novaglio, Camilla; Sbrocchi, Carla; Villanueva, Cecilia; Pecl, Gretta T.] Univ Tasmania, Ctr Marine Socioecol, Private Bag 129, Hobart, Tas 7001, Australia; [Nash, Kirsty L.; Alexander, Karen; Novaglio, Camilla; Pecl, Gretta T.] Univ Tasmania, Inst Marine &amp; Antarctic Studies, Private Bag 129, Hobart, Tas 7001, Australia; [Melbourne-Thomas, Jess; Novaglio, Camilla] CSIRO Oceans &amp; Atmosphere, Battery Point, Tas 7004, Australia; [Sbrocchi, Carla] Univ Technol Sydney, Fac Arts &amp; Social Sci, POB 123, Broadway 2007, Australia</t>
  </si>
  <si>
    <t>University of Tasmania; University of Tasmania; Commonwealth Scientific &amp; Industrial Research Organisation (CSIRO); University of Technology Sydney</t>
  </si>
  <si>
    <t>Nash, KL (corresponding author), Univ Tasmania, Ctr Marine Socioecol, Private Bag 129, Hobart, Tas 7001, Australia.</t>
  </si>
  <si>
    <t>nashkirsty@gmail.com</t>
  </si>
  <si>
    <t>Melbourne-Thomas, Jess/N-2437-2019; Nash, Kirsty L/B-5456-2015; Pecl, Gretta/D-7267-2011</t>
  </si>
  <si>
    <t>Melbourne-Thomas, Jess/0000-0001-6585-876X; Nash, Kirsty L/0000-0003-0976-3197; Pecl, Gretta/0000-0003-0192-4339; Sbrocchi, Carla/0000-0003-3841-2679</t>
  </si>
  <si>
    <t>10.1007/s11160-021-09635-1</t>
  </si>
  <si>
    <t>JAN 2021</t>
  </si>
  <si>
    <t>WOS:000613167900001</t>
  </si>
  <si>
    <t>Parera-Portell, JA; Mancilla, FD; Morales, J; Almendros, J; Jiménez-Morales, V</t>
  </si>
  <si>
    <t>Antoni Parera-Portell, Joan; de Lis Mancilla, Flor; Morales, Jose; Almendros, Javier; Jimenez-Morales, Vanessa</t>
  </si>
  <si>
    <t>Structure of the crust and upper mantle beneath the Bransfield Strait (Antarctica) using P receiver functions</t>
  </si>
  <si>
    <t>TECTONOPHYSICS</t>
  </si>
  <si>
    <t>Bransfield Strait; Crustal and lithospheric structure; Antarctic Peninsula; Receiver functions</t>
  </si>
  <si>
    <t>SOUTH SHETLAND ISLANDS; VELOCITY STRUCTURE; DECEPTION ISLAND; MOHO DEPTH; PENINSULA; BASIN; EVOLUTION; TRENCH</t>
  </si>
  <si>
    <t>The Bransfield Strait is a tectonically active back-arc rift basin located between the South Shetland archipelago (SSI) and the Antarctic Peninsula (AP). We use teleseismic P-wave receiver functions from twelve seismic stations in order to improve the current understanding of the crustal and upper mantle structure of the region. We calculate the thickness and average Vp/Vs ratio of the crust, the thickness of the Mantle Transition Zone (MTZ) and their spatial variability along the study area. Our analysis reveals a homogeneous crustal thickness in the AP, averaging 33.5 +/- 1.2 km. The V-P/V(S )ratio increases from east to west, with an average of 1.78 +/- 0.04 typical of continental crust. In the SSI results are highly heterogeneous. The minimum crustal thickness is observed in Deception Island (similar to 15 km), near the rift axis, while the crust thickens towards the edges of the basin to similar to 30 km. High crustal V-P/V-S ratios (&gt;1.95) in the archipelago correlate with a shallow Moho and may be linked to the presence of melts in the crust, in accordance with the active volcanism in the region. We detected an underplating layer and the Moho of the Phoenix slab beneath the SSI. There is evidence of a low velocity zone (LVZ) in the mantle wedge under the SSI and also under the AP, suggesting there is widespread partial melting of the upper mantle. We infer that the Phoenix slab dips steeply, as we observe a thickened MTZ under the AP.</t>
  </si>
  <si>
    <t>[Antoni Parera-Portell, Joan; de Lis Mancilla, Flor; Morales, Jose; Almendros, Javier; Jimenez-Morales, Vanessa] Univ Granada, Inst Andaluz Geofis, Campus Cartuja,C Prof Clavera 12, Granada 18071, Spain; [Antoni Parera-Portell, Joan; de Lis Mancilla, Flor; Morales, Jose; Almendros, Javier] Univ Granada, Fac Ciencias, Dept Fis Teor &amp; Cosmos, Campus Fuente Nueva, Granada 18071, Spain</t>
  </si>
  <si>
    <t>University of Granada; University of Granada</t>
  </si>
  <si>
    <t>Parera-Portell, JA (corresponding author), Univ Granada, Inst Andaluz Geofis, Campus Cartuja,C Prof Clavera 12, Granada 18071, Spain.</t>
  </si>
  <si>
    <t>jpareraportell@corren.ugr.es</t>
  </si>
  <si>
    <t>Mancilla, Flor de Lis/AAA-9822-2019; Almendros, Javier/M-2468-2014; Morales, Jose/N-5052-2014</t>
  </si>
  <si>
    <t>Mancilla, Flor de Lis/0000-0003-4161-3260; Almendros, Javier/0000-0001-5936-6160; Jimenez, vanessa/0000-0003-3346-9254; Parera Portell, Joan Antoni/0000-0002-3219-2524; Morales, Jose/0000-0002-8497-0850</t>
  </si>
  <si>
    <t>Spanish national projects [PID2019-109608GB-I00/AEI/10.13039/501100011033, CMT2016-77315-R]; Andalusian regional project [A-RNM-421-UGR18]</t>
  </si>
  <si>
    <t>Spanish national projects(Spanish Government); Andalusian regional project</t>
  </si>
  <si>
    <t>We are grateful to the staff involved in the Antarctic campaigns run by the Instituto Andaluz de Geofisica (Universidad de Granada) that manages DCP, LVN and CCV stations. Also, we are grateful to the international networks that provide the rest of the data accessible through IRIS (http://www.iris.washington.edu).This work was funded by Spanish national projects PID2019-109608GB-I00/AEI/10.13039/501100011033 and CMT2016-77315-R, and the Andalusian regional project A-RNM-421-UGR18. We acknowledge work on free software SAC and QGIS.</t>
  </si>
  <si>
    <t>0040-1951</t>
  </si>
  <si>
    <t>1879-3266</t>
  </si>
  <si>
    <t>Tectonophysics</t>
  </si>
  <si>
    <t>10.1016/j.tecto.2021.228744</t>
  </si>
  <si>
    <t>TL1VG</t>
  </si>
  <si>
    <t>WOS:000674642400004</t>
  </si>
  <si>
    <t>Liu, A; Pirozzi, I; Codabaccus, BM; Sammut, J; Booth, MA</t>
  </si>
  <si>
    <t>Liu, Angela; Pirozzi, Igor; Codabaccus, Basseer M.; Sammut, Jesmond; Booth, Mark A.</t>
  </si>
  <si>
    <t>The interactive effect of dietary choline and water temperature on the liver lipid composition, histology, and plasma biochemistry of juvenile yellowtail kingfish (Seriola lalandi)</t>
  </si>
  <si>
    <t>Lipid classes; Fatty acids; Histology; Large nuclei; Plasma biochemistry; Nutrition</t>
  </si>
  <si>
    <t>SALMON SALMO-SALAR; FATTY-ACID-COMPOSITION; DIGESTIVE ENZYME-ACTIVITIES; BASS DICENTRARCHUS-LABRAX; FISH-OIL; GROWTH-PERFORMANCE; ALKALINE-PHOSPHATASE; PHOSPHOLIPID CLASSES; NUTRITIONAL-STATUS; HEPATIC TOXICITY</t>
  </si>
  <si>
    <t>The study examined the interactive effects of choline content (supplied as choline chloride salt (CC); no added CC, 3.0, or 6.0 g CC kg(-1) diet) and water temperature (16 degrees C vs 24 degrees C) on liver lipid composition, liver histology and plasma biochemistry. Liver and plasma samples were collected from juvenile yellowtail kingfish (Seriola lalandi; YTK; 156 g body weight), fed fishmeal-based practical diets, at the conclusion of an eight-week feeding experiment. The results showed that higher liver lipid content at 24 degrees C was due to greater triacylglycerol (TAG) accumulation. Liver phospholipids content remained similar regardless of CC supplementation and temperature (P &gt; 0.05). As expected, liver phospholipids were mainly composed of phosphatidylcholine (PC); however, in most cases liver phospholipids were almost completely made up of PC. Phospholipid classes were also not significantly affected by CC supplementation and temperature. The results indicate that these lipid classes were tightly regulated in the liver of juvenile YTK. Fatty acids composition among TAG, FFA, and phospholipids fractions were different; however, within the phospholipids fraction, the long chain polyunsaturated fatty acids (LC-PUFA) proportion in the liver of YTK remained unchanged regardless of treatments. In general, histological examination did not show severe lesions in fish livers across all treatments. Fish also had significantly more hepatocytes with large nuclei at 16 degrees C than at 24 degrees C which is a response that requires further research. Plasma analytes were profoundly affected by temperature rather than by CC supplementation; however, there is no strong evidence indicating compromised health in fish reared at either temperature. This study demonstrates that fish fed fishmeal-based practical diets generally had normal looking livers; nevertheless, some liver and plasma health indicators can be affected in juvenile YTK reared at sub-optimal temperatures and fed diets without supplemented choline.</t>
  </si>
  <si>
    <t>[Liu, Angela; Sammut, Jesmond] Univ New South Wales, Sch Biol Earth &amp; Environm Sci, Sydney, NSW 2052, Australia; [Pirozzi, Igor; Booth, Mark A.] Port Stephens Fisheries Inst, NSW Dept Primary Ind, Taylors Beach, NSW 2316, Australia; [Pirozzi, Igor] James Cook Univ, Ctr Sustainable Trop Fisheries &amp; Aquaculture, Townsville, Qld 4811, Australia; [Pirozzi, Igor] James Cook Univ, Coll Sci &amp; Engn, Townsville, Qld 4811, Australia; [Codabaccus, Basseer M.] Univ Tasmania, Inst Marine &amp; Antarctic Studies, Private Bag 49, Hobart, Tas 7001, Australia</t>
  </si>
  <si>
    <t>University of New South Wales Sydney; NSW Department of Primary Industries; James Cook University; James Cook University; University of Tasmania</t>
  </si>
  <si>
    <t>Sammut, J (corresponding author), Univ New South Wales, Sch Biol Earth &amp; Environm Sci, Sydney, NSW 2052, Australia.</t>
  </si>
  <si>
    <t>j.sammut@unsw.edu.au</t>
  </si>
  <si>
    <t>Booth, Mark A/I-8206-2012</t>
  </si>
  <si>
    <t>Booth, Mark A/0000-0003-3584-8012; Liu, Angela/0000-0002-7389-8881; codabaccus, mohamed/0000-0001-5108-373X</t>
  </si>
  <si>
    <t>Australian Government Department of Agriculture and Water Resources as part of its Rural R&amp;D for Profit program; Fisheries Research and Development Corporation (FRDC) [2016-200.30]; South Australian Research and Development Institute, Clean Seas Seafood, Department of Primary Industries New South Wales (DPI NSW) [2016-200.20]; Huon Aquaculture; Australian Government Research Training Program; University Postgraduate Award from the University of New South Wales</t>
  </si>
  <si>
    <t>Australian Government Department of Agriculture and Water Resources as part of its Rural R&amp;D for Profit program; Fisheries Research and Development Corporation (FRDC)(Fisheries R&amp;D Corp); South Australian Research and Development Institute, Clean Seas Seafood, Department of Primary Industries New South Wales (DPI NSW); Huon Aquaculture; Australian Government Research Training Program(Australian Government); University Postgraduate Award from the University of New South Wales</t>
  </si>
  <si>
    <t>The authors would like to thank Dr. Frances Stephens, Ian Russell, Brendan Findlay, Steve Gamble, Barney Hines, and Susan Cheers for their technical assistance. We would like to thank Michael Salini (Ridley Aquafeed) and Simon Tabrett (Ridley Aquafeed) for providing some of the raw materials in this study. This study was funded by the Australian Government Department of Agriculture and Water Resources as part of its Rural R&amp;D for Profit program and the Fisheries Research and Development Corporation (FRDC; Project No. 2016-200.30), South Australian Research and Development Institute, Clean Seas Seafood, Department of Primary Industries New South Wales (DPI NSW; Project No. 2016-200.20) and Huon Aquaculture. This research was also supported by an Australian Government Research Training Program and a University Postgraduate Award from the University of New South Wales.</t>
  </si>
  <si>
    <t>JAN 30</t>
  </si>
  <si>
    <t>10.1016/j.aquaculture.2020.735893</t>
  </si>
  <si>
    <t>OZ6RY</t>
  </si>
  <si>
    <t>WOS:000595052000007</t>
  </si>
  <si>
    <t>Landman, MJ; Codabaccus, BM; Fitzgibbon, QP; Smith, GG; Carter, CG</t>
  </si>
  <si>
    <t>Landman, Michael J.; Codabaccus, Basseer M.; Fitzgibbon, Quinn P.; Smith, Gregory G.; Carter, Chris G.</t>
  </si>
  <si>
    <t>Fresh or formulated: A preliminary evaluation of fresh blue mussel (Mytilus galloprovincialis) and formulated experimental feeds with inclusion of fresh blue mussel on the growth performance of hatchery-reared juvenile slipper lobster (Thenus australiensis)</t>
  </si>
  <si>
    <t>Slipper lobster; Thenus australiensis; Nutrition; Growth; Formulated feed</t>
  </si>
  <si>
    <t>WESTERN ROCK LOBSTER; PANULIRUS-ORNATUS FABRICIUS; FATTY-ACID-COMPOSITION; SPINY LOBSTER; NUTRITIONAL CONDITION; JASUS-EDWARDSII; DIETARY-PROTEIN; LIPID EXTRACTION; PELLETED FEED; SURVIVAL</t>
  </si>
  <si>
    <t>Following recent advances in hatchery technology and large-scale larval rearing of spiny and slipper lobsters, a greater understanding of key nutritional requirements is now imperative to facilitate feed development for juvenile culture. However, there is a lack of relevant information available for the slipper lobsters, particularly Thenus species. This study sought to evaluate the potential requirements for and effects of a fresh ingredient component in a formulated feed on the growth performance of hatchery-reared juvenile Thenus australiensis. This was assessed using six formulated experimental feeds incorporating fresh blue mussel flesh (BM; Mytilus galloprovincialis) in a geometric series (0, 1.6, 3.1, 6.3, 12.5 and 25.0% dry matter) administered continuously over 9 weeks. An additional dietary treatment of blue mussel half shells (BMHS) was included as a reference feed to establish a benchmark of growth potential. Survival and moult frequency were unaffected by feed treatment. Lobsters fed BMHS displayed a clustered or synchronised moulting pattern with two major moulting events lasting several days each during the experiment. In contrast, lobsters provided experimental feeds moulted continuously throughout the experiment. The BMHS produced approximately 2-fold greater growth compared to experimental feeds, while BM incorporated into experimental feeds had no beneficial effect on growth at any inclusion level. Growth mirrored feed intake where it was also found that feed intake on a dry matter basis was approximately 2-fold higher for BMHS compared to experimental feeds, while biological feed conversion ratios were similar for all feeds. Thus, dry matter intake appeared to be primarily responsible for the difference in growth rates achieved. Bulk chemical analysis revealed that BMHS-fed lobsters had significantly lower ash content coupled with higher gross energy, total lipid and polar lipid contents on a proportional basis compared to lobsters fed formulated experimental feeds. Lobster haemolymph Brix values were also significantly higher in the BMHS treatment lobsters. Higher Brix coupled with decreasing feed intake suggests these lobsters were on average at a more advanced stage within the moult cycle and offers a possible explanation for differences in body chemistry. In conclusion, while growth rates were lower in animals fed formulated feeds compared to benchmark growth performance, overall survival, moulting and growth performance revealed the potential of the basal experimental feed formulation as a reference for future nutrition research with this species without a requirement for inclusion of fresh BM. The research highlights that significant opportunities exist to improve slipper lobster growth performance through maximising feed intake.</t>
  </si>
  <si>
    <t>[Landman, Michael J.; Codabaccus, Basseer M.; Fitzgibbon, Quinn P.; Smith, Gregory G.; Carter, Chris G.] Univ Tasmania, Inst Marine &amp; Antarctic Studies, Private Bag 49, Hobart, Tas, Australia</t>
  </si>
  <si>
    <t>Landman, MJ (corresponding author), Univ Tasmania, Inst Marine &amp; Antarctic Studies IMAS, Private Bag 49, Hobart, Tas 7001, Australia.</t>
  </si>
  <si>
    <t>michael.landman@utas.edu.au</t>
  </si>
  <si>
    <t>Carter, Chris Guy/A-3438-2008; Smith, Gregory/C-9263-2013</t>
  </si>
  <si>
    <t>Carter, Chris Guy/0000-0001-5210-1282; Fitzgibbon, Quinn/0000-0002-1104-3052; Landman, Michael/0000-0003-0465-8080; Smith, Gregory/0000-0002-8677-1230; codabaccus, mohamed/0000-0001-5108-373X</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</si>
  <si>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</si>
  <si>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</si>
  <si>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t>
  </si>
  <si>
    <t>10.1016/j.aquaculture.2020.735924</t>
  </si>
  <si>
    <t>OZ6RF</t>
  </si>
  <si>
    <t>WOS:000595050100018</t>
  </si>
  <si>
    <t>Asadi, M; Kenari, AA; Esmaeili, N</t>
  </si>
  <si>
    <t>Asadi, Mehrzad; Kenari, Abdolmohammad Abedian; Esmaeili, Noah</t>
  </si>
  <si>
    <t>Restricted- protein feeding strategy decreased the protein consumption without impairing growth performance, flesh quality and non-specific immune parameters in rainbow trout (Oncorhynchus mykiss)</t>
  </si>
  <si>
    <t>Amino acids; Compensatory growth; Fatty acids; Immune response; Nutritional strategy; Protein restriction</t>
  </si>
  <si>
    <t>ALLIUM-SATIVUM POWDER; BODY-COMPOSITION; APPARENT DIGESTIBILITY; COMPENSATORY GROWTH; FATTY-ACIDS; FISH-MEAL; NUTRITION; REQUIREMENTS; METABOLISM; WALBAUM</t>
  </si>
  <si>
    <t>Protein restriction is a less-studied nutritional strategy in aquaculture species. The present study was designed to investigate the effects of protein restriction for different durations on the growth performance, body composition, the profile of fatty acids and amino acids, and the immune response of rainbow trout for eight weeks. For this purpose, 225 juveniles (27.74 +/- 0.43) were distributed in five experimental treatments include P45 (control: feeding a diet with 450 g/kg protein for eight weeks); P35 (feeding a diet with 350 g/kg protein for eight weeks); P35-P45 (every other day feeding a diet with 450 and 350 g/kg protein); WP35-P45 (every other week feeding a diet with 450 and 350 g/kg protein); and 3WP35 (feeding a diet with 350 g/kg protein for three weeks and then, a diet with 450 g/kg protein for five weeks). Rainbow trout fed dietary P35 had a lower value of weight gain (94.73 g) and specific growth rate (2.53) when compared to the other groups (P &lt; 0.05). The lipid and protein contents of fish fed P35 (291.3, 619.2 g/kg) and P35-P45 (288.4, 621.2 g/kg) diets were significantly higher and lower as compared to other treatments (P &lt; 0.05), respectively. There was no significant difference in fatty acids and total nonessential amino acids among these groups. Also, feeding fish with P35 (362.4 g/kg) decreased total essential amino acids as compared to those that were fed with other diets (P &lt; 0.05). Regarding the immune response parameters, the WP35-P45 group had the highest performance. In conclusion, we suggest WP35-P45 to feed fish in rainbow trout aquaculture by considering all the investigated factors.</t>
  </si>
  <si>
    <t>[Asadi, Mehrzad; Kenari, Abdolmohammad Abedian] Tarbiat Modares Univ, Fac Nat Resources &amp; Marine Sci, Dept Aquaculture, POB 64414-356, Noor, Massandaran, Iran; [Esmaeili, Noah] Univ Tasmania, Inst Marine &amp; Antarctic Studies, Hobart, Tas, Australia</t>
  </si>
  <si>
    <t>Tarbiat Modares University; University of Tasmania</t>
  </si>
  <si>
    <t>Kenari, AA (corresponding author), Tarbiat Modares Univ, Fac Nat Resources &amp; Marine Sci, Dept Aquaculture, POB 64414-356, Noor, Massandaran, Iran.</t>
  </si>
  <si>
    <t>aabedian@modares.ac.ir</t>
  </si>
  <si>
    <t>Esmaeili, Noah/Q-4536-2019; Abedian Kenari, Abdolmohammad/JWP-0761-2024</t>
  </si>
  <si>
    <t>Esmaeili, Noah/0000-0001-8704-939X; Abedian Kenari, Abdolmohammad/0000-0003-3410-3908</t>
  </si>
  <si>
    <t>Tarbiat Modares University, Iran [D152/2501]</t>
  </si>
  <si>
    <t>Tarbiat Modares University, Iran</t>
  </si>
  <si>
    <t>The authors are grateful to Tarbiat Modares University, Iran. D152/2501 for their unwavering financial support for this project. Thanks are also extended to Sara Ramezanzadeh for assisting us in analytical experiments.</t>
  </si>
  <si>
    <t>10.1016/j.aquaculture.2020.735946</t>
  </si>
  <si>
    <t>OZ6SI</t>
  </si>
  <si>
    <t>WOS:000595053000013</t>
  </si>
  <si>
    <t>Dennis, LP; Anderson, K; Wylie, M; Van In, V; Nocillado, J; Elizur, A</t>
  </si>
  <si>
    <t>Dennis, Lachlan Peter; Anderson, Kelli; Wylie, Matthew; Van In, Vu; Nocillado, Josephine; Elizur, Abigail</t>
  </si>
  <si>
    <t>NextGen molecular barcoding of larval grouper diet in an extensive green-water pond system</t>
  </si>
  <si>
    <t>OXIDASE SUBUNIT-I; FISH LARVAE; EPINEPHELUS SUILLUS; CALANOID COPEPODS; GUT CONTENTS; LIVE FEEDS; PCR-DGGE; MARINE; DNA; CULTURE</t>
  </si>
  <si>
    <t>Molecular barcoding and next generation amplicon sequencing were used to investigate the diet of the larvae of two species: tiger (Epinephelus fuscoguttatus) and hybrid (E. lanceolatus x E. fuscoguttatus) grouper. Larvae were reared in open green-water ponds. These ponds had natural populations of wild zooplankton, and were also seeded with additional zooplankton. Zooplankton from water samples and larvae were collected daily for the first 12 days post hatch (dph) for hybrid grouper and the first 6 dph for tiger grouper. Next generation (NextGen) sequencing with degenerate cytochrome oxidase 1 oligonucleotide primers was performed on all samples. Resulting sequences suggest that both grouper species predated heavily on calanoid copepods - especially at first feeding and while still drawing energy from endogenous supplies. In addition, tiger grouper consumed mussel trochophores as a first feed. Grouper larvae diversified their diets at 6 dph and hybrid grouper were found to be consuming an unidentified insect as their primary food source from this point. Diets further diversified at 10 dph and the first substantial representation of 'traditional' aquaculture live feed was seen at 12 dph with the appearance of Artemia. Rotifers (Brachionus spp.) were consumed at a low level by tiger grouper larvae and at a negligible level by hybrid grouper despite daily addition to the pond systems. This study confirms that within the first 12 dph calanoid copepods are the key prey zooplankton for grouper larvae, and demonstrates that NextGen sequencing is a powerful tool for diet assessment in aquaculture.</t>
  </si>
  <si>
    <t>[Dennis, Lachlan Peter; Nocillado, Josephine; Elizur, Abigail] Univ Sunshine Coast, Genecol Res Ctr, Locked Bag 4, Maroochydore, Qld 4558, Australia; [Anderson, Kelli] Univ Tasmania, Inst Marine &amp; Antarctic Studies Fisheries &amp; Aquac, Newnham Campus,Private Bag 1370, Newnham, Tas 7248, Australia; [Wylie, Matthew] New Zealand Inst Plant &amp; Food Res Ltd, Seafood Prod Unit, 293-297 Port Nelson, Nelson 7010, New Zealand; [Van In, Vu] Northern Natl Broodstock Ctr Mariculture CATBANBC, Res Inst Aquaculture 1, Cat Ba, Vietnam</t>
  </si>
  <si>
    <t>University of the Sunshine Coast; University of Tasmania; New Zealand Institute for Plant &amp; Food Research Ltd</t>
  </si>
  <si>
    <t>Elizur, A (corresponding author), Univ Sunshine Coast, Genecol Res Ctr, Locked Bag 4, Maroochydore, Qld 4558, Australia.</t>
  </si>
  <si>
    <t>aelizur@usc.edu.au</t>
  </si>
  <si>
    <t>Wylie, Matthew/O-4274-2019</t>
  </si>
  <si>
    <t>Wylie, Matthew/0000-0001-7687-700X; Anderson, Kelli/0000-0001-7749-4641; Elizur, Abigail/0000-0002-2960-302X</t>
  </si>
  <si>
    <t>Australian Centre for International Agricultural Research, Australia (ACIAR) [FIS 2012 101, 6149-T-RD-ACIAR4]; University of the Sunshine Coast, Australia; APA PhD scholarship</t>
  </si>
  <si>
    <t>Australian Centre for International Agricultural Research, Australia (ACIAR); University of the Sunshine Coast, Australia; APA PhD scholarship</t>
  </si>
  <si>
    <t>This project was funded by the Australian Centre for International Agricultural Research, Australia (ACIAR) under project FIS 2012 101: Developing technologies for giant grouper (Epinephelus lanceolatus) aquaculture in Vietnam, the Philippines and Australia (SEAFDEC/AQD study code: 6149-T-RD-ACIAR4). LD was a recipient of the University of the Sunshine Coast, Australia, APA PhD scholarship. Zooplankton samples were graciously provided by Dr. Evelyn Grace de Jesus-Ayson of SEAFDEC/AQD, Tigbauan, Philippines, Dr. Stewart Fielder, Port Stephens Fisheries Centre: NSWDPI, Dr. Richard Knuckey from The Company One, Cairns, Australia, and Mr. Josh McNally from Ecomarine, Noosa, Australia. Dr. Helen Nahrung kindly provided consultation on insect orders and larval use of brackish waters.</t>
  </si>
  <si>
    <t>10.1016/j.aquaculture.2020.735971</t>
  </si>
  <si>
    <t>WOS:000595053000003</t>
  </si>
  <si>
    <t>Yu, CC; Yan, JP; Zhang, HH; Lin, Q; Zheng, HG; Zhao, SH; Zhong, XL; Zhao, SL; Zhang, MM; Chen, LQ</t>
  </si>
  <si>
    <t>Yu, Congcong; Yan, Jinpei; Zhang, Honghai; Lin, Qi; Zheng, Hongguo; Zhao, Shuhui; Zhong, Xinlin; Zhao, Suli; Zhang, Miming; Chen, Liqi</t>
  </si>
  <si>
    <t>Chemical characteristics of sulfur-containing aerosol particles across the western North Pacific and the Arctic Ocean</t>
  </si>
  <si>
    <t>Atmospheric aerosol; Methanesulfonic acid (MSA); Non-sea-salt sulfate (nss-SO42-); Chloride depletion; Arctic Ocean; Subarctic western North Pacific</t>
  </si>
  <si>
    <t>The characteristics of aerosol methanesulfonic acid (MSA), non-sea-salt sulfate (nss-SO42-) and MSA/nss-SO42- ratio, were measured at high-time resolution (1 h) over the East sea/sea of Japan (R1, 31 degrees - 47 degrees N, 121 degrees - 145 degrees E), western North Pacific Ocean (R2, 47 degrees - 58 degrees N, 145 degrees - 176 degrees E), subarctic western North Pacific (R3, 58 degrees - 66 degrees N, 176 degrees E - 169 degrees W) and Arctic Ocean (R4, 66 degrees - 85 degrees N, 150-174 degrees W) during July-September 2018. The highest MSA levels were observed in R2, with an average of 0.22 +/- 0.18 mu g m(-3). These levels were 3-10 times higher than in other regions, correlating with biological productivity. The concentration of nss-SO42- decreased with distance from Eurasia. The MSA/nss-SO42- ratios were 0.10 +/- 0.27, 0.38 +/- 0.43, 0.30 +/- 0.36 and 0.39 +/- 0.48 over R1, R2, R3 and R4, respectively. Biological sources were larger contributors of nss-SO42- in R2 while nss-SO42- were affected more by continental anthropogenic sources in R1. Positive and negative relationships between the MSA/nss-SO42- ratio and temperature were observed, indicating that temperature may have a different influence on the MSA/nss-SO42- ratio. Four high level regions of MSA were observed over the R4, wind speed and temperature were critical factors that affected MSA levels over the R4. Significant depletion of chloride was observed and areas that were more affected by terrestrial sources had a greater chlorine depletion in this study, which means that the magnitude of the chlorine depletion followed the order R1 &gt; R3 &gt; R2 &gt; R4.</t>
  </si>
  <si>
    <t>[Yu, Congcong; Yan, Jinpei; Lin, Qi; Zhao, Shuhui; Zhang, Miming; Chen, Liqi] Minist Nat Resources, MNR, Inst Oceanog 3, Key Lab Global Change &amp; MarineAtmospher Chem, Xiamen, Peoples R China; [Yu, Congcong; Zhang, Honghai] Ocean Univ China, Minist Educ, Frontiers Sci Ctr Deep Ocean Multispheres &amp; Earth, Qingdao, Peoples R China; [Yu, Congcong; Zhang, Honghai] Ocean Univ China, Minist Educ, Key Lab Marine Chem Theory &amp; Technol, Qingdao, Peoples R China; [Zhang, Honghai] Qingdao Natl Lab Marine Sci &amp; Technol, Lab Marine Ecol &amp; Environm Sci, Qingdao, Peoples R China; [Zheng, Hongguo; Zhong, Xinlin; Zhao, Suli] Thermo Fisher Sci Co Ltd, Shanghai, Peoples R China</t>
  </si>
  <si>
    <t>Third Institute of Oceanography, Ministry of Natural Resources; Ministry of Natural Resources of the People's Republic of China; Ocean University of China; Ocean University of China; Laoshan Laboratory; Thermo Fisher Scientific</t>
  </si>
  <si>
    <t>Yan, JP (corresponding author), Minist Nat Resources, MNR, Inst Oceanog 3, Key Lab Global Change &amp; MarineAtmospher Chem, Xiamen, Peoples R China.;Zhang, HH (corresponding author), Ocean Univ China, Minist Educ, Frontiers Sci Ctr Deep Ocean Multispheres &amp; Earth, Qingdao, Peoples R China.;Zhang, HH (corresponding author), Ocean Univ China, Minist Educ, Key Lab Marine Chem Theory &amp; Technol, Qingdao, Peoples R China.</t>
  </si>
  <si>
    <t>jpyan@tio.org.cn; honghaizhang@ouc.edu.cn</t>
  </si>
  <si>
    <t>Zhang, Hong-Hai/0000-0001-9576-4035</t>
  </si>
  <si>
    <t>National Natural Science Foundation of China [41941014, 41305133]; Scientific Research Foundation of Third Institute of Oceanography, MNR [2019024]; Qingdao National Laboratory for Marine Science and Technology [QNLM2016ORP0109]; Natural Science Foundation of Fujian Province, China [2019J01120]; Response and Feedback of the Southern Ocean to Climate Change [RFSOCC2020-2025]; Chinese Projects for Investigations and Assessments of the Arctic and Antarctic (CHINARE2017-2020)</t>
  </si>
  <si>
    <t>National Natural Science Foundation of China(National Natural Science Foundation of China (NSFC)); Scientific Research Foundation of Third Institute of Oceanography, MNR; Qingdao National Laboratory for Marine Science and Technology; Natural Science Foundation of Fujian Province, China(Natural Science Foundation of Fujian Province); Response and Feedback of the Southern Ocean to Climate Change; Chinese Projects for Investigations and Assessments of the Arctic and Antarctic (CHINARE2017-2020)</t>
  </si>
  <si>
    <t>This study is Financially Supported by the National Natural Science Foundation of China (No. 41941014, 41305133) , Scientific Research Foundation of Third Institute of Oceanography, MNR. (No. 2019024) , Qingdao National Laboratory for Marine Science and Technology (No. QNLM2016ORP0109) , the Natural Science Foundation of Fujian Province, China (No. 2019J01120) , the Response and Feedback of the Southern Ocean to Climate Change (RFSOCC2020-2025) , the Chinese Projects for Investigations and Assessments of the Arctic and Antarctic (CHINARE2017-2020) . The authors gratefully acknowledge Thermo Fisher Co. Ltd., Shanghai, China for the on-board gases and aerosols composition observation technical assistance and data analysis. The data used in the figures, tables, and water-soluble ions mass concentrations are available at doi:https://doi.org/10.5281/zenodo.4043015.</t>
  </si>
  <si>
    <t>10.1016/j.atmosres.2021.105480</t>
  </si>
  <si>
    <t>QQ6AL</t>
  </si>
  <si>
    <t>WOS:000624605600001</t>
  </si>
  <si>
    <t>McCarthy, A; Yogodzinski, GM; Bizimis, M; Savov, IP; Hickey-Vargas, R; Arculus, R; Ishizuka, O</t>
  </si>
  <si>
    <t>McCarthy, Anders; Yogodzinski, Gene M.; Bizimis, Michael; Savov, Ivan P.; Hickey-Vargas, Rosemary; Arculus, Richard; Ishizuka, Osamu</t>
  </si>
  <si>
    <t>Volcaniclastic sandstones record the influence of subducted Pacific MORB on magmatism at the early Izu-Bonin arc</t>
  </si>
  <si>
    <t>IODP Exp. 351; Izu-Bonin arc; Slab melt; Radiogenic isotopes; Kyushu-Palau Ridge</t>
  </si>
  <si>
    <t>TRACE-ELEMENT SIGNATURE; ND ISOTOPIC COMPOSITION; FORE-ARC; MARIANA ARC; GEOCHEMICAL EVIDENCE; OCEANIC LITHOSPHERE; MAGNESIAN ANDESITES; PHILIPPINE SEA; EARLY HISTORY; EVOLUTION</t>
  </si>
  <si>
    <t>The remnant rear-arc segment of the early Izu-Bonin arc, known as the Kyushu-Palau Ridge (KPR), is a key location where magmatic outputs can be constrained during the lifetime of an island arc. We present new geochemical data for coarse-grained basaltic to andesitic volcaniclastic sandstones derived from the KPR and deposited in the Amami Sankaku Basin (IODP Site U1438, Unit III rocks) in the time period 40-30 Ma. Bulk disaggregated and cleaned volcaniclastic sandstones of Unit III at Site U1438 retain primary magmatic signatures and can be used to infer the evolution of magmatic sources of the juvenile Izu-Bonin island arc through time. A sharp increase of slab-derived components to the source of KPR magmatism developed at about 35 Ma, indicated by increasing Th/La and decreasing Sm/La, Yb/Hf and Nb/Nd. Systematic variations in trace element ratios and increasing trace element abundances in younger samples through the 40-30 Ma time window are decoupled from Hf-Nd isotope ratios, which are measurably more depleted (epsilon(Hf) = 16.5-15, epsilon(Nd) = 9.6-8.2) than boninites produced during the preceding magmatic phase and sampled in the modern Izu-Bonin forearc. Hafnium isotopic compositions in the Unit III sandstones remain little-changed and similar to the subducting Pacific Plate after 40 Ma and do not revert to highly radiogenic compositions of the Indian-type MORB mantle wedge which is reflected in highlydepleted basalts produced at Site U1438 and in the forearc (commonly epsilon(Hf) &gt;= 18.0). The overall pattern recorded in Unit III sandstones indicates that the Pacific-type MORB slab-melt component, which was present in the preceding boninite phase of magmatism, persisted after 40 Ma, while the subducted sediment component in the boninite source was lost or significantly reduced. Variations in trace element ratios (at constant eNd and near-constant and radiogenic epsilon(Hf)) and in high field strength element abundances of the early Izu Bonin arc are controlled by the addition of a subducted Pacific MORB melt or supercritical fluid to the mantle wedge. A subducted MORB (slab melt) component is thus sampled throughout the early life of the Izu-Bonin arc and in the currently active Izu-Bonin arc-backarc system. (C) 2021 The Author(s). Published by Elsevier Ltd. This is an open access article under the CC BY license</t>
  </si>
  <si>
    <t>[McCarthy, Anders] Univ Tasmania, Inst Marine &amp; Antarctic Studies, Battery Point, Tas 7004, Australia; [Yogodzinski, Gene M.; Bizimis, Michael] Univ South Carolina, Sch Earth Ocean &amp; Environm, Columbia, SC 29208 USA; [Savov, Ivan P.] Univ Leeds, Sch Earth &amp; Environm, Inst Geophys &amp; Tecton, Leeds LS2 9JT, W Yorkshire, England; [Hickey-Vargas, Rosemary] Florida Int Univ, Dept Earth &amp; Environm, AHC5-394, Miami, FL 33199 USA; [Arculus, Richard] Res Sch Earth Sci, Canberra, ACT 2601, Australia; [Ishizuka, Osamu] Geol Survey Japan AIST, Cent 7,1-1-1 Higashi, Tsukuba, Ibaraki 3058567, Japan; [Ishizuka, Osamu] Japan Agcy Marine Earth Sci &amp; Technol, Res &amp; Dev Ctr Ocean Drilling Sci, 2-15 Natsushima Cho, Yokosuka, Kanagawa 2370061, Japan; [McCarthy, Anders] Univ Bristol, Sch Earth Sci, Wills Mem Bldg, Bristol BS8 1RJ, Avon, England; [McCarthy, Anders] Univ Lausanne, Inst Earth Sci, CH-1015 Lausanne, Switzerland</t>
  </si>
  <si>
    <t>University of Tasmania; University of South Carolina System; University of South Carolina Columbia; University of Leeds; State University System of Florida; Florida International University; National Institute of Advanced Industrial Science &amp; Technology (AIST); Japan Agency for Marine-Earth Science &amp; Technology (JAMSTEC); University of Bristol; University of Lausanne</t>
  </si>
  <si>
    <t>McCarthy, A (corresponding author), Univ Tasmania, Inst Marine &amp; Antarctic Studies, Battery Point, Tas 7004, Australia.;McCarthy, A (corresponding author), Univ Bristol, Sch Earth Sci, Wills Mem Bldg, Bristol BS8 1RJ, Avon, England.;McCarthy, A (corresponding author), Univ Lausanne, Inst Earth Sci, CH-1015 Lausanne, Switzerland.</t>
  </si>
  <si>
    <t>anders.mccarthy@utas.edu.au</t>
  </si>
  <si>
    <t>Yogodzinski, Gene/AAT-1268-2021</t>
  </si>
  <si>
    <t>Arculus, Richard/0000-0002-3432-392X</t>
  </si>
  <si>
    <t>SNSF [200020/135511, P2LAP2_171819]; Swiss IODP; UK NERC [NE/M007782/1]; NSF [OCE-1537135, OCE-1624315, OCE-1537861]; International Ocean Discovery Program (IODP); Swiss National Science Foundation (SNF) [P2LAP2_171819] Funding Source: Swiss National Science Foundation (SNF)</t>
  </si>
  <si>
    <t>SNSF(Swiss National Science Foundation (SNSF)); Swiss IODP; UK NERC(UK Research &amp; Innovation (UKRI)Natural Environment Research Council (NERC)); NSF(National Science Foundation (NSF)); International Ocean Discovery Program (IODP); Swiss National Science Foundation (SNF)(Swiss National Science Foundation (SNSF))</t>
  </si>
  <si>
    <t>AM acknowledges support from the SNSF (grant 200020/135511 to Othmar Muntener and grant P2LAP2_171819 to AM) and Swiss IODP. IPS participation in IODP Exp.351 and postcruise research was funded from UK NERC grant (NE/M007782/1) This work was also supported by grants to GMY and MB from NSF (OCE-1537135), OCE-1624315 to MB, and IODP. RHV is grateful for support received from NSF OCE-1537861. The authors are grateful to J. Sexton (CEMS, University of South Carolina), A. Ulianov, O. Reubi (ISTE, University of Lausanne) and A. Vho (University of Bern) for their assistance with data collection. The work and assistance of the captain and crew of the D/V JOIDES Resolution and support from the International Ocean Discovery Program (IODP) are gratefully acknowledged. The authors are grateful for constructive reviews by M. Brounce, H. Freymouth and one anonymous reviewer that helped us to clarify and improve the paper. Editorial handling and additional comments by Associate Editor J. Day is gratefully acknowledged.</t>
  </si>
  <si>
    <t>10.1016/j.gca.2021.01.006</t>
  </si>
  <si>
    <t>QP6AA</t>
  </si>
  <si>
    <t>WOS:000623916400010</t>
  </si>
  <si>
    <t>Nishiyama, T; Taguchi, M; Suzuki, H; Dalin, P; Ogawa, Y; Brändström, U; Sakanoi, T</t>
  </si>
  <si>
    <t>Nishiyama, Takanori; Taguchi, Makoto; Suzuki, Hidehiko; Dalin, Peter; Ogawa, Yasunobu; Braendstroem, Urban; Sakanoi, Takeshi</t>
  </si>
  <si>
    <t>Temporal evolutions of N2+Meinel (1,2) band near 1.5.μm associated with aurora breakup and their effects on mesopause temperature estimations from OH Meinel (3,1) band</t>
  </si>
  <si>
    <t>Ground-based spectroscopic observations; OH airglow; Aurora; The Mesosphere and Lower Thermosphere; OH rotational temperature; Short wavelength infrared</t>
  </si>
  <si>
    <t>We have carried out ground-based NIRAS (Near-InfraRed Aurora and airglow Spectrograph) observations at Syowa station, Antarctic ( 69.0. S, 39.6.E) and Kiruna ( 67.8. N, 20.4. E), Sweden for continuous measurements of hydroxyl (OH) rotational temperatures and a precise evaluation of auroral contaminations to OH Meinel (3,1) band. A total of 368-nights observations succeeded for 2 winter seasons, and 3 cases in which N+ 2 Meinel (1,2) band around 1.5 mu m was significant were identified. Focusing on two specific cases, detailed spectral characteristics with high temporal resolutions of 30 s are presented. Intensities of N+ 2 band were estimated to be 228 kR and 217 kR just at the moment of the aurora breakup and arc intensification during pseudo breakup, respectively. At a wavelength of P1(2) line ( similar to 1523nm), N+ 2 emissions were almost equal to or greater than the OH line intensity. On the other hand, at a wavelength of P1(4) line ( similar to 1542nm), the OH line was not seriously contaminated and still dominant to N+ 2 emissions. Furthermore, we evaluated N+ 2 (1,2) band effects on OH rotational temperature estimations quantitatively for the first time. Auroral contaminations from N+ 2 (1,2) band basically lead negative bias in OH rotational temperature estimated by line-pair-ratio method with P1(2) and P1(4) lines in OH (3,1) band. They possibly cause underestimations of OH rotational temperatures up to 40 K. In addition, N+ 2 (1,2) band contaminations were temporally limited to a moment around the aurora breakup. This is consistent with proceeding studies reporting that enhancements of N+ 2 (1,2) band were observed associated with International Brightness Coefficient 2-3 auroras. It is also suggested that the contaminations would be neglected in the polar cap and the sub-auroral zone, where strong aurora intensification is less observed. Further spectroscopic investigations at these wavelengths are needed especially for more precise evaluations of N+ 2 (1,2) band contaminations. For example, simultaneous 2-D imaging observation and spectroscopic measurement with high spectral resolutions for airglow in OH (3,1) band will make great advances in more robust temperature estimations in the auroral zone.</t>
  </si>
  <si>
    <t>[Nishiyama, Takanori; Ogawa, Yasunobu] Natl Inst Polar Res, 10-3 Midori Cho, Tachikawa, Tokyo 1908518, Japan; [Nishiyama, Takanori; Ogawa, Yasunobu] Grad Univ Adv Studies, SOKENDAI, Dept Polar Sci, 10-3 Midori Cho, Tachikawa, Tokyo 1908518, Japan; [Taguchi, Makoto] Rikkyo Univ, 3-34-1 Nishi Ikebukuro, Tokyo 1718501, Japan; [Suzuki, Hidehiko] Meiji Univ, 1-1-1 Higashi Mita, Kawasaki, Kanagawa 2148571, Japan; [Dalin, Peter; Braendstroem, Urban] Swedish Inst Space Phys, Box 812, SE-98128 Kiruna, Sweden; [Ogawa, Yasunobu] Res Org Informat &amp; Syst, Joint Support Ctr Data Sci Res, 10-3 Midori Cho, Tachikawa, Tokyo 1908518, Japan; [Sakanoi, Takeshi] Tohoku Univ, 6-3 Aramaki Aza Aoba, Sendai, Miyagi 9808578, Japan</t>
  </si>
  <si>
    <t>Research Organization of Information &amp; Systems (ROIS); National Institute of Polar Research (NIPR) - Japan; Graduate University for Advanced Studies - Japan; Rikkyo University; Meiji University; Research Organization of Information &amp; Systems (ROIS); Tohoku University</t>
  </si>
  <si>
    <t>Nishiyama, T (corresponding author), Natl Inst Polar Res, 10-3 Midori Cho, Tachikawa, Tokyo 1908518, Japan.;Nishiyama, T (corresponding author), Grad Univ Adv Studies, SOKENDAI, Dept Polar Sci, 10-3 Midori Cho, Tachikawa, Tokyo 1908518, Japan.</t>
  </si>
  <si>
    <t>nishiyama.takanori@nipr.ac.jp</t>
  </si>
  <si>
    <t>Sakanoi, Takeshi/C-5593-2018; Nishiyama, Takanori/D-5546-2016</t>
  </si>
  <si>
    <t>Nishiyama, Takanori/0000-0002-3648-6589</t>
  </si>
  <si>
    <t>Japan Society for the Promotion of Science (JSPS) [17H04857, 20H01962]; Shimadzu Science Foundation; Japanese Antarctic Research Expedition [AJ0901]; National Institute of Polar Research [KP301]; Grants-in-Aid for Scientific Research [20H01962, 17H04857] Funding Source: KAKEN</t>
  </si>
  <si>
    <t>Japan Society for the Promotion of Science (JSPS)(Ministry of Education, Culture, Sports, Science and Technology, Japan (MEXT)Japan Society for the Promotion of Science); Shimadzu Science Foundation; Japanese Antarctic Research Expedition;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</si>
  <si>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The NIRAS was funded by Japan Society for the Promotion of Science (JSPS), Grants-in-Aid for Young Scientists (A) 17H04857 and Scientific Research (B) 20H01962. It was also partly funded by Shimadzu Science Foundation, the prioritized project AJ0901 of Japanese Antarctic Research Expedition, and the Project Research KP301 of the National Institute of Polar Research.</t>
  </si>
  <si>
    <t>JAN 29</t>
  </si>
  <si>
    <t>10.1186/s40623-021-01360-0</t>
  </si>
  <si>
    <t>QE7NV</t>
  </si>
  <si>
    <t>WOS:000616395100002</t>
  </si>
  <si>
    <t>Figuerola, B; Hancock, AM; Bax, N; Cummings, VJ; Downey, R; Griffiths, HJ; Smith, J; Stark, JS</t>
  </si>
  <si>
    <t>Figuerola, Blanca; Hancock, Alyce M.; Bax, Narissa; Cummings, Vonda J.; Downey, Rachel; Griffiths, Huw J.; Smith, Jodie; Stark, Jonathan S.</t>
  </si>
  <si>
    <t>A Review and Meta-Analysis of Potential Impacts of Ocean Acidification on Marine Calcifiers From the Southern Ocean</t>
  </si>
  <si>
    <t>carbonate mineralogy; magnesium; aragonite; climate change; vulnerability; Antarctica; saturation horizon</t>
  </si>
  <si>
    <t>REDUCED SEAWATER PH; CARBONATE SATURATION STATE; SKELETAL MG-CALCITE; DEEP-WATER; STERECHINUS-NEUMAYERI; LATERNULA-ELLIPTICA; CALCIFICATION RESPONSE; ANTARCTIC ECHINOIDS; LARVAL DEVELOPMENT; CONTINENTAL-SHELF</t>
  </si>
  <si>
    <t>Understanding the vulnerability of marine calcifiers to ocean acidification is a critical issue, especially in the Southern Ocean (SO), which is likely to be the one of the first, and most severely affected regions. Since the industrial revolution, -30% of anthropogenic CO2 has been absorbed by the global oceans. Average surface seawater pH levels have already decreased by 0.1 and are projected to decline by -0.3 by the year 2100. This process, known as ocean acidification (OA), is shallowing the saturation horizon, which is the depth below which calcium carbonate (CaCO3) dissolves, likely increasing the vulnerability of many resident marine calcifiers to dissolution. The negative impact of OA may be seen first in species depositing more soluble CaCO3 mineral phases such as aragonite and high-Mg calcite (HMC). Ocean warming could further exacerbate the effects of OA in these particular species. Here we combine a review and a quantitative meta-analysis to provide an overview of the current state of knowledge about skeletal mineralogy of major taxonomic groups of SO marine calcifiers and to make projections about how OA might affect a broad range of SO taxa. We consider a species' geographic range, skeletal mineralogy, biological traits, and potential strategies to overcome OA. The meta-analysis of studies investigating the effects of the OA on a range of biological responses such as shell state, development and growth rate illustrates that the response variation is largely dependent on mineralogical composition. Species specific responses due to mineralogical composition indicate that taxa with calcitic, aragonitic, and HMC skeletons, could be at greater risk to expected future carbonate chemistry alterations, and low-Mg calcite (LMC) species could be mostly resilient to these changes. Environmental and biological control on the calcification process and/or Mg content in calcite, biological traits, and physiological processes are also expected to influence species-specific responses.</t>
  </si>
  <si>
    <t>[Figuerola, Blanca] Inst Marine Sci ICM CSIC, Barcelona, Spain; [Hancock, Alyce M.; Bax, Narissa] Univ Tasmania, Inst Marine &amp; Antarctic Studies, Hobart, Tas, Australia; [Cummings, Vonda J.] Natl Inst Water &amp; Atmospher Res NIWA, Wellington, New Zealand; [Downey, Rachel] Australian Natl Univ, Fenner Sch Environm &amp; Soc, Canberra, ACT, Australia; [Griffiths, Huw J.] British Antarctic Survey, Cambridge, England; [Smith, Jodie] Geosci Australia, Canberra, ACT, Australia; [Stark, Jonathan S.] Australian Antarctic Div, Kingston, Tas, Australia</t>
  </si>
  <si>
    <t>Consejo Superior de Investigaciones Cientificas (CSIC); CSIC - Centro Mediterraneo de Investigaciones Marinas y Ambientales (CMIMA); CSIC - Instituto de Ciencias del Mar (ICM); University of Tasmania; National Institute of Water &amp; Atmospheric Research (NIWA) - New Zealand; Australian National University; UK Research &amp; Innovation (UKRI); Natural Environment Research Council (NERC); NERC British Antarctic Survey; Geoscience Australia; Australian Antarctic Division</t>
  </si>
  <si>
    <t>Figuerola, B (corresponding author), Inst Marine Sci ICM CSIC, Barcelona, Spain.</t>
  </si>
  <si>
    <t>figuerola@icm.csic.es</t>
  </si>
  <si>
    <t>Griffiths, Huw J/D-4234-2009; Downey, Rachel/Q-4156-2019; Figuerola, Blanca/C-6252-2015</t>
  </si>
  <si>
    <t>Griffiths, Huw J/0000-0003-1764-223X; Figuerola, Blanca/0000-0003-4731-9337; Cummings, Vonda/0000-0003-1076-3995; Bax, Narissa/0000-0002-4338-1080</t>
  </si>
  <si>
    <t>10.3389/fmars.2021.584445</t>
  </si>
  <si>
    <t>QB4XG</t>
  </si>
  <si>
    <t>WOS:000614143900001</t>
  </si>
  <si>
    <t>Hahn, A; Schefuss, E; Groeneveld, J; Miller, C; Zabel, M</t>
  </si>
  <si>
    <t>Hahn, Annette; Schefuss, Enno; Groeneveld, Jeroen; Miller, Charlotte; Zabel, Matthias</t>
  </si>
  <si>
    <t>Glacial to interglacial climate variability in the southeastern African subtropics (25-20° S)</t>
  </si>
  <si>
    <t>SEA-SURFACE TEMPERATURES; SOUTH-AFRICA; HEMISPHERE CONTROLS; SUMMER RAINFALL; AGULHAS CURRENT; NORTH-ATLANTIC; DELAGOA-BIGHT; INDIAN-OCEAN; LAST; RECORD</t>
  </si>
  <si>
    <t>We present a continuous and well-resolved record of climatic variability for the past 100 000 years from a marine sediment core taken in Delagoa Bight, off southeastern Africa. In addition to providing a sea surface temperature reconstruction for the past ca. 100 000 years, this record also allows a high-resolution continental climatic reconstruction. Climate sensitive organic proxies, like the distribution and isotopic composition of plant-wax lipids as well as elemental indicators of fluvial input and weathering type provide information on climatic changes in the adjacent catchment areas (Incomati, Matola and Lusutfu rivers). At the transition between glacials and interglacials, shifts in vegetation correlate with changes in sea surface temperature in the Agulhas Current. The local hydrology, however, does not follow these orbitally paced shifts. Instead, precipitation patterns follow millennial-scale variations with different forcing mechanisms in glacial vs. interglacial climatic states. During glacials, southward displacement of the Intertropical Convergence Zone facilitates a transmission of northern hemispheric signals (e.g., Heinrich events) to the southern hemispheric subtropics. Furthermore, the southern hemispheric westerlies become a more direct source of precipitation as they shift northward over the study site, especially during Antarctic cold phases. During interglacials, the observed short-term hydrological variability is also a function of Antarctic climate variability; however, it is driven by the indirect influence of the southern hemispheric westerlies and the associated South African high-pressure cell blocking the South Indian Ocean Convergence Zone related precipitation. As a consequence of the interplay of these effects, small-scale climatic zones exist. We propose a conceptual model describing latitudinal shifts of these zones along the south-eastern African coast as tropical and temperate climate systems shift over glacial and interglacial cycles. The proposed model explains some of the apparent contradictions between several paleoclimate records in the region.</t>
  </si>
  <si>
    <t>[Hahn, Annette; Schefuss, Enno; Groeneveld, Jeroen; Miller, Charlotte; Zabel, Matthias] Univ Bremen, MARUM Ctr Marine Environm Sci, Bremen, Germany; [Groeneveld, Jeroen] Alfred Wegener Inst, Helmholtz Ctr Polar &amp; Marine Res, Potsdam, Germany; [Miller, Charlotte] Leeds Trinity Univ, Leeds LS18 5HD, W Yorkshire, England</t>
  </si>
  <si>
    <t>University of Bremen; Helmholtz Association; Alfred Wegener Institute, Helmholtz Centre for Polar &amp; Marine Research</t>
  </si>
  <si>
    <t>Hahn, A (corresponding author), Univ Bremen, MARUM Ctr Marine Environm Sci, Bremen, Germany.</t>
  </si>
  <si>
    <t>ahahn@marum.de</t>
  </si>
  <si>
    <t>Schefuß, Enno/A-7101-2015; Zabel, Matthias/E-5044-2011</t>
  </si>
  <si>
    <t>Schefuß, Enno/0000-0002-5960-930X; Zabel, Matthias/0000-0003-4681-1821; Hahn, Annette/0000-0002-3647-473X</t>
  </si>
  <si>
    <t>Bundesministerium fur Bildung und Forschung (BMBF, Bonn, Germany) [03G0840A, 03F0798C]</t>
  </si>
  <si>
    <t>Bundesministerium fur Bildung und Forschung (BMBF, Bonn, Germany)(Federal Ministry of Education &amp; Research (BMBF))</t>
  </si>
  <si>
    <t>This research has been supported by the Bundesministerium fur Bildung und Forschung (BMBF, Bonn, Germany) within the projects Regional Archives for Integrated Investigation (RAiN) (project no. 03G0840A) and Tracing Human and Climate impacts in South Africa (TRACES) (project no. 03F0798C).</t>
  </si>
  <si>
    <t>10.5194/cp-17-345-2021</t>
  </si>
  <si>
    <t>QB8DH</t>
  </si>
  <si>
    <t>WOS:000614367200001</t>
  </si>
  <si>
    <t>Tacza, J; Nicoll, KA; Macotela, EL; Kubicki, M; Odzimek, A; Manninen, J</t>
  </si>
  <si>
    <t>Tacza, Jose; Nicoll, Keri A.; Macotela, Edith L.; Kubicki, Marek; Odzimek, Anna; Manninen, Jyrki</t>
  </si>
  <si>
    <t>Measuring Global Signals in the Potential Gradient at High Latitude Sites</t>
  </si>
  <si>
    <t>potential gradient; carnegie curve; global electric circuit; polar cap potential; arctic; antarctica</t>
  </si>
  <si>
    <t>INTERPLANETARY MAGNETIC-FIELD; ELECTRIC-FIELD; ATMOSPHERIC ELECTRICITY; GEOELECTRIC FIELD; IONOSPHERIC CONVECTION; CIRCUIT; SOLAR; VOSTOK; ANTARCTICA; CLIMATE</t>
  </si>
  <si>
    <t>Previous research has shown that the study of the global electrical circuit can be relevant to climate change studies, and this can be done through measurements of the potential gradient near the surface in fair weather conditions. However, potential gradient measurements can be highly variable due to different local effects (e.g., pollution, convective processes). In order to try to minimize these effects, potential gradient measurements can be performed at remote locations where anthropogenic influences are small. In this work we present potential gradient measurements from five stations at high latitudes in the Southern and Northern Hemisphere. This is the first description of new datasets from Halley, Antarctica; and Sodankyla, Finland. The effect of the polar cap ionospheric potential can be significant at some polar stations and detailed analysis performed here demonstrates a negligible effect on the surface potential gradient at Halley and Sodankyla. New criteria for determination of fair weather conditions at snow covered sites is also reported, demonstrating that wind speeds as low as 3 m/s can loft snow particles, and that the fetch of the measurement site is an important factor in determining this threshold wind speed. Daily and seasonal analysis of the potential gradient in fair weather conditions shows great agreement with the universal Carnegie curve of the global electric circuit, particularly at Halley. This demonstrates that high latitude sites, at which the magnetic and solar influences can be present, can also provide globally representative measurement sites for study of the global electric circuit.</t>
  </si>
  <si>
    <t>[Tacza, Jose; Kubicki, Marek; Odzimek, Anna] Polish Acad Sci, Inst Geophys, Warsaw, Poland; [Tacza, Jose] Univ Prebiteriana Mackenzie, Ctr Radio Astron &amp; Astrophys Mackenzie, Engn Sch, Sao Paulo, Brazil; [Nicoll, Keri A.] Univ Reading, Dept Meteorol, Reading, Berks, England; [Nicoll, Keri A.] Univ Bath, Dept Elect &amp; Elect Engn, Bath, Avon, England; [Macotela, Edith L.] Univ Rostock, Facu Math &amp; Nat Sci, Rostock, Germany; [Macotela, Edith L.] Univ Rostock, Leibniz Inst Atmospher Phys, Kuhlungsborn, Germany; [Manninen, Jyrki] Univ Oulu, Sodankyla Geophys Observ, Sodankyla, Finland</t>
  </si>
  <si>
    <t>Polish Academy of Sciences; Institute of Geophysics of the Polish Academy of Sciences; Universidade Presbiteriana Mackenzie; University of Reading; University of Bath; University of Rostock; Leibniz Institut fur Atmospharenphysik e.V. an der Universitat Rostock (IAP); University of Rostock; University of Oulu</t>
  </si>
  <si>
    <t>Tacza, J (corresponding author), Polish Acad Sci, Inst Geophys, Warsaw, Poland.;Tacza, J (corresponding author), Univ Prebiteriana Mackenzie, Ctr Radio Astron &amp; Astrophys Mackenzie, Engn Sch, Sao Paulo, Brazil.</t>
  </si>
  <si>
    <t>josect1986@gmail.com</t>
  </si>
  <si>
    <t>; Nicoll, Keri/L-6106-2017</t>
  </si>
  <si>
    <t>Macotela, Liliana/0000-0003-3076-1946; Nicoll, Keri/0000-0001-5580-6325</t>
  </si>
  <si>
    <t>Natural Environment Research Council NERC [NE/L011514/1, NE/L011514/2, NE/N013689/1]; Polish National Agency for Academic Exchange [PPN/ULM/2019/1/00328/U/00001]; SPUB grants from Ministry of Science and Higher Education of Poland; National Science Centre [NCN-2011/01/B/ST10/07118]; NERC [NE/L011514/2, NE/N013689/1, NE/L011514/1] Funding Source: UKRI</t>
  </si>
  <si>
    <t>Natural Environment Research Council NERC(UK Research &amp; Innovation (UKRI)Natural Environment Research Council (NERC)); Polish National Agency for Academic Exchange(Polish National Agency for Academic Exchange (NAWA)); SPUB grants from Ministry of Science and Higher Education of Poland(Ministry of Science and Higher Education, Poland); National Science Centre(National Science Centre, Poland); NERC(UK Research &amp; Innovation (UKRI)Natural Environment Research Council (NERC))</t>
  </si>
  <si>
    <t>KN acknowledges an Independent Research Fellowship funded by the Natural Environment Research Council NERC (NE/L011514/1) and (NE/L011514/2). The Halley PG data was obtained in collaboration with the British Antarctic Survey (with thanks to David Maxfield and Mervyn Freeman) through a NERC Collaborative Gearing Scheme grant, and archived through the GloCAEMproject (NERC International Opportunities Fund grant NE/N013689/1). Ilya Usoskin from the University of Oulu, Thomas Ulich and his technical team at Sodankyla Geophysical Observatory were instrumental in obtaining the Sodankyla PG measurements. JT acknowledges the Polish National Agency for Academic Exchange for funding of the Ulam Program scholarship agreement no PPN/ULM/2019/1/00328/U/00001. Observations at Polish Polar Station Hornsund were supported by SPUB grants from Ministry of Science and Higher Education of Poland. The observations at Arctowski Antarctic station of the Institute of Biochemistry and Biophysics, Polish Academy of Sciences, have been financed by National Science Centre grant number NCN-2011/01/B/ST10/07118 (2011-2014) awarded to the Institute of Geophysics, Polish Academy of Sciences.</t>
  </si>
  <si>
    <t>10.3389/feart.2020.614639</t>
  </si>
  <si>
    <t>QF7CK</t>
  </si>
  <si>
    <t>WOS:000617050100001</t>
  </si>
  <si>
    <t>Braeckman, U; Pasotti, F; Hoffmann, R; Vázquez, S; Wulff, A; Schloss, IR; Falk, U; Deregibus, D; Lefaible, N; Torstensson, A; Al-Handal, A; Wenzhöfer, F; Vanreusel, A</t>
  </si>
  <si>
    <t>Braeckman, Ulrike; Pasotti, Francesca; Hoffmann, Ralf; Vazquez, Susana; Wulff, Angela; Schloss, Irene R.; Falk, Ulrike; Deregibus, Dolores; Lefaible, Nene; Torstensson, Anders; Al-Handal, Adil; Wenzhoefer, Frank; Vanreusel, Ann</t>
  </si>
  <si>
    <t>Glacial melt disturbance shifts community metabolism of an Antarctic seafloor ecosystem from net autotrophy to heterotrophy</t>
  </si>
  <si>
    <t>KING-GEORGE-ISLAND; POTTER COVE; UV-RADIATION; ICE SCOUR; BENTHIC COMMUNITIES; PENINSULA; SEDIMENT; BACTERIA; PIGMENTS; IMPACT</t>
  </si>
  <si>
    <t>Climate change-induced glacial melt affects benthic ecosystems along the West Antarctic Peninsula, but current understanding of the effects on benthic primary production and respiration is limited. Here we demonstrate with a series of in situ community metabolism measurements that climate-related glacial melt disturbance shifts benthic communities from net autotrophy to heterotrophy. With little glacial melt disturbance (during cold El Nino spring 2015), clear waters enabled high benthic microalgal production, resulting in net autotrophic benthic communities. In contrast, water column turbidity caused by increased glacial melt run-off (summer 2015 and warm La Nina spring 2016) limited benthic microalgal production and turned the benthic communities net heterotrophic. Ongoing accelerations in glacial melt and run-off may steer shallow Antarctic seafloor ecosystems towards net heterotrophy, altering the metabolic balance of benthic communities and potentially impacting the carbon balance and food webs at the Antarctic seafloor. Ulrike Braeckman et al. use in situ benthic community and benthic biogeochemistry measurements in Potter Cove on the Antarctic Peninsula to show that climate-related glacial melt disturbance shifts benthic communities from net autotrophy to heterotrophy. This study sheds light on how future glacial melt and run-off may affect the metabolic balance of Antarctic benthic communities.</t>
  </si>
  <si>
    <t>[Braeckman, Ulrike; Pasotti, Francesca; Lefaible, Nene; Vanreusel, Ann] Univ Ghent, Marine Biol Res Grp, Ghent, Belgium; [Braeckman, Ulrike; Hoffmann, Ralf; Wenzhoefer, Frank] Helmholtz Zentrum Polar &amp; Meeresforsch, HGF MPG Joint Res Grp Deep Sea Ecol &amp; Technol, Alfred Wegener Inst, Bremerhaven, Germany; [Vazquez, Susana] Univ Buenos Aires, Catedra Biotecnol, Fac Farm &amp; Bioquim, Nanobiotec UBA CONICET, Buenos Aires, DF, Argentina; [Wulff, Angela; Torstensson, Anders; Al-Handal, Adil] Univ Gothenburg, Dept Biol &amp; Environm Sci, Gothenburg, Sweden; [Schloss, Irene R.; Deregibus, Dolores] Inst Antartico Argentino, Buenos Aires, DF, Argentina; [Schloss, Irene R.] Ctr Austral Invest Cient, Ushuaia, Tierra Del Fueg, Argentina; [Schloss, Irene R.] Univ Nacl Tierra Fuego, Ushuaia, Tierra Del Fueg, Argentina; [Falk, Ulrike] Bremen Univ, Bremen, Germany; [Deregibus, Dolores] Consejo Nacl Invest Cient &amp; Tecn, Buenos Aires, DF, Argentina; [Wenzhoefer, Frank] Max Planck Inst Marine Microbiol, Bremen, Germany</t>
  </si>
  <si>
    <t>Ghent University; Helmholtz Association; Alfred Wegener Institute, Helmholtz Centre for Polar &amp; Marine Research; University of Buenos Aires; University of Gothenburg; Instituto Antartico Argentino; University of Bremen; Consejo Nacional de Investigaciones Cientificas y Tecnicas (CONICET); Max Planck Society</t>
  </si>
  <si>
    <t>Braeckman, U (corresponding author), Univ Ghent, Marine Biol Res Grp, Ghent, Belgium.;Braeckman, U (corresponding author), Helmholtz Zentrum Polar &amp; Meeresforsch, HGF MPG Joint Res Grp Deep Sea Ecol &amp; Technol, Alfred Wegener Inst, Bremerhaven, Germany.</t>
  </si>
  <si>
    <t>Ulrike.Braeckman@ugent.be</t>
  </si>
  <si>
    <t>Vazquez, Susana/AEP-5214-2022; Braeckman, Ulrike/AAJ-4801-2021; Wenzhöfer, Frank/ADR-2926-2022; Al-Handal, Adil/ABH-1754-2021; Schloss, Irene/U-5411-2018</t>
  </si>
  <si>
    <t>Vazquez, Susana/0000-0002-0760-6254; Wenzhöfer, Frank/0000-0002-4621-0586; Pasotti, Francesca/0000-0002-8971-8195; Al-Handal, Adil/0000-0003-4703-7823; Hoffmann, Ralf/0000-0001-9799-5662; Schloss, Irene/0000-0002-5917-8925; Braeckman, Ulrike/0000-0002-7558-6363; Torstensson, Anders/0000-0002-8283-656X</t>
  </si>
  <si>
    <t>FWO Belgium [1201716N, 1201720N]; Marie Curie Action International Research Staff Exchange Scheme [318718]; Belgian Science Policy Office (BELSPO) [BR/132/A1/vERSO]; European Union [614141]; AlfredWegener-Institut Helmholtz-Zentrum fur Polar-und Meeresforschung</t>
  </si>
  <si>
    <t>FWO Belgium(FWO); Marie Curie Action International Research Staff Exchange Scheme(Marie Curie ActionsEuropean Union (EU)); Belgian Science Policy Office (BELSPO)(Belgian Federal Science Policy Office); European Union(European Union (EU)); AlfredWegener-Institut Helmholtz-Zentrum fur Polar-und Meeresforschung</t>
  </si>
  <si>
    <t>We are grateful to the Instituto Antartico Argentino (IAA) and the crew at Carlini Station for the logistic support during the field campaigns. We also warmly thank Oscar Gonzalez, Doris Abele and the Argentinian Army (Ejercito Argentino) divers of CAV 2014-2015, the overwintering divers (Jose Luis Muller, Ezequiel Tulian, Ramon Alfredo Torres, Fernando Cumil) and scientist Francisco Ferrer of CAI 2015, the crew of CAV 2015-2016 and 2016-2017 and scientific divers Elisa Merz and Christopher Brunner, who made this study possible. We would like to thank Volker Asendorf and Volker Meier for their help with benthic chamber preparation, Bart Beuselinck and Dirk Van Gansbeke for laboratory analysis of sediment and water properties, Simon Schnebert and Annick Van Kenhove for prokaryotic counts, Guy De Smet for meiofauna counts and Bob De Clercq from UGent FIRE statistical consulting. The schematic summary in Fig. 5 is the work of Dr. Hendrik Gheerardyn (www.hendrikgheerardyn.com).The first author is a senior postdoctoral research fellow at Research Foundation-Flanders (FWO Belgium) (grant nos. 1201716N and 1201720N). The present manuscript presents an outcome of the EU research network IMCONet funded by the Marie Curie Action International Research Staff Exchange Scheme (FP7 IRSES, Action No. 318718), the vERSO project (www.versoproject.be) funded by the Belgian Science Policy Office (BELSPO, contract no. BR/132/A1/vERSO), the SenseOCEAN project (www.senseocean.org) funded by the European Union (FP7, grant no. 614141) and the PACES programme funded by AlfredWegener-Institut Helmholtz-Zentrum fur Polar-und Meeresforschung.</t>
  </si>
  <si>
    <t>10.1038/s42003-021-01673-6</t>
  </si>
  <si>
    <t>QF2WW</t>
  </si>
  <si>
    <t>WOS:000616761400015</t>
  </si>
  <si>
    <t>Souza, PE; Sohbati, R; Murray, AS; Clemmensen, LB; Kroon, A; Nielsen, L</t>
  </si>
  <si>
    <t>Souza, Priscila E.; Sohbati, Reza; Murray, Andrew S.; Clemmensen, Lars B.; Kroon, Aart; Nielsen, Lars</t>
  </si>
  <si>
    <t>Optical dating of cobble surfaces determines the chronology of Holocene beach ridges in Greenland</t>
  </si>
  <si>
    <t>BOREAS</t>
  </si>
  <si>
    <t>RELATIVE SEA-LEVEL; SOUTH SHETLAND ISLANDS; STIMULATED LUMINESCENCE; ANTARCTIC PENINSULA; DISKO BUGT; MARGUERITE BAY; DEPOSITS; HISTORY; MODEL; COAST</t>
  </si>
  <si>
    <t>We constrain the age of a cobble beach ridge system in Greenland using Optically Stimulated Luminescence (OSL) dating of buried cobble surfaces. Luminescence signals fromsix cobbles are measured using infrared (IR) stimulation at 50 degrees C(IR50) and 180 degrees C(pIRIR(180)); these cobbles represent four progressively younger beach ridges lying between similar to 35 and similar to 6 mabove present sea level. Luminescence-depth profiles show that the IR50 signals in all the samples and pIRIR(180) signals in four out of six samples are well bleached to depths &gt;1.2 mminto the cobble surfaces. Equivalent doses in well-bleached cobble surface slices (i.e. &lt;1.2 mm) are measured and divided by the effective environmental dose rate to the cobble surfaces in order to deriveburial ages. BothIRsignals are corrected for anomalous fading using the sample-specific ratio of the field to the laboratory saturation levels. Our results are consistent with a depositional model predicting that the investigated portion of the beach ridge systembuilt out continuously during relative sea level fall between similar to 5.3 and similar to 1.9 ka ago. The optical ages suggest that the rate of construction varied considerably, with the highest rates similar to 3.4 ka ago. Additionally, the lowest-elevation beach ridge investigated here provides the first evidence for a higher-than-present relative sea level, between 1.5 and 2 ka ago, in the Disko coastal region.</t>
  </si>
  <si>
    <t>[Souza, Priscila E.; Clemmensen, Lars B.; Kroon, Aart; Nielsen, Lars] Univ Copenhagen, Dept Geosci &amp; Nat Resource Management, Fac Sci, Oster Voldgade 10, DK-1350 Copenhagen, Denmark; [Souza, Priscila E.] Univ Estadual Campinas, UNICAMP, Inst Geosci, Dept Geol &amp; Nat Resources, Rua Carlos Gomes 250, BR-13083855 Campinas, Brazil; [Sohbati, Reza] Tech Univ Denmark, Dept Phys, Riso Campus, DK-4000 Roskilde, Denmark; [Murray, Andrew S.] Aarhus Univ, Dept Geosci, Nord Lab Luminescence Dating, DK-4000 Roskilde, Denmark</t>
  </si>
  <si>
    <t>University of Copenhagen; Universidade Estadual de Campinas; Technical University of Denmark; Aarhus University</t>
  </si>
  <si>
    <t>Souza, PE (corresponding author), Univ Copenhagen, Dept Geosci &amp; Nat Resource Management, Fac Sci, Oster Voldgade 10, DK-1350 Copenhagen, Denmark.;Souza, PE (corresponding author), Univ Estadual Campinas, UNICAMP, Inst Geosci, Dept Geol &amp; Nat Resources, Rua Carlos Gomes 250, BR-13083855 Campinas, Brazil.</t>
  </si>
  <si>
    <t>pri.emerich97@gmail.com</t>
  </si>
  <si>
    <t>Nielsen, Lars/C-7142-2015; Murray, Andrew S/A-4388-2012; Sohbati, Reza/N-1239-2013; Kroon, Aart/P-9148-2014</t>
  </si>
  <si>
    <t>Sohbati, Reza/0000-0002-2382-0103; Kroon, Aart/0000-0002-9419-2327; Murray, Andrew/0000-0001-5559-1862</t>
  </si>
  <si>
    <t>Independent Research Fund Denmark; Geocenter Danmark; CNPq Brazil under the programme Science Without Borders</t>
  </si>
  <si>
    <t>Independent Research Fund Denmark(Det Frie Forskningsrad (DFF)); Geocenter Danmark; CNPq Brazil under the programme Science Without Borders</t>
  </si>
  <si>
    <t>This study was financed by the Independent Research Fund Denmark, Geocenter Danmark, and by CNPq Brazil under the programme Science Without Borders. We acknowledge the contribution by the reviewers, L. Smith and S. Cordier, whose comments helped us to improve and strengthen this manuscript. We thank the staff of Arctic Station (University of Copenhagen) for their assistance during the fieldwork in August 2016. Finally, we gratefully acknowledge Asger Meldgaard, Bruno Kabke Bainy and Sigurd Bohr who did the heaviest work during the fieldwork: digging holes, sampling, and carrying hundreds of kilos of rocks back to camp.</t>
  </si>
  <si>
    <t>0300-9483</t>
  </si>
  <si>
    <t>1502-3885</t>
  </si>
  <si>
    <t>Boreas</t>
  </si>
  <si>
    <t>10.1111/bor.12507</t>
  </si>
  <si>
    <t>RL5OT</t>
  </si>
  <si>
    <t>WOS:000612808500001</t>
  </si>
  <si>
    <t>Hindell, MA; McMahon, CR; Jonsen, I; Harcourt, R; Arce, F; Guinet, C</t>
  </si>
  <si>
    <t>Hindell, Mark A.; McMahon, Clive R.; Jonsen, Ian; Harcourt, Robert; Arce, Fernando; Guinet, Christophe</t>
  </si>
  <si>
    <t>Inter- and intrasex habitat partitioning in the highly dimorphic southern elephant seal</t>
  </si>
  <si>
    <t>Antarctic Shelf; foraging and diving behavior; Kerguelen Plateau; mid-year haul out; predation risk; Southern Ocean</t>
  </si>
  <si>
    <t>MIROUNGA-LEONINA; FORAGING BEHAVIOR; STABLE-ISOTOPES; SEX-DIFFERENCES; BODY CONDITION; AGE; ECOLOGY; DIET; MASS; ICE</t>
  </si>
  <si>
    <t>Partitioning resources is a key mechanism for avoiding intraspecific competition and maximizing individual energy gain. However, in sexually dimorphic species it is difficult to discern if partitioning is due to competition or the different resource needs of morphologically distinct individuals. In the highly dimorphic southern elephant seal, there are intersexual differences in habitat use; at Iles Kerguelen, males predominantly use shelf waters, while females use deeper oceanic waters. There are equally marked intrasexual differences, with some males using the nearby Kerguelen Plateau, and others using the much more distant Antarctic continental shelf (similar to 2,000 km away). We used this combination of inter and intrasexual behavior to test two hypotheses regarding habitat partitioning in highly dimorphic species. (a) that intersexual differences in habitat use will not appear until the seals diverge in body size and (b) that some habitats have higher rates of energy return than others. In particular, that the Antarctic shelf would provide higher energy returns than the Kerguelen Shelf, to offset the greater cost of travel. We quantified the habitat use of 187 southern elephant seals (102 adult females and 85 subadult males). The seals in the two groups were the same size (similar to 2.4 m) removing the confounding effect of body size. We found that the intersexual differences in habitat use existed before the divergence in body size. Also, we found that the amount of energy gained was the same in all of the major habitats. This suggests that the use of shelf habitats by males is innate, and a trade-off between the need to access the large benthic prey available on shelf waters, against the higher risk of predation there. Intrasexual differences in habitat use are another trade-off; although there are fewer predators on the Antarctic shelf, it is subject to considerable interannual fluctuations in sea-ice extent. In contrast, the Kerguelen Plateau presents more consistent foraging opportunities, but contains higher levels of predation. Habitat partitioning in this highly dimorphic species is therefore the result of complex interplay of life history strategies, environmental conditions and predation pressure.</t>
  </si>
  <si>
    <t>[Hindell, Mark A.; McMahon, Clive R.; Arce, Fernando] Univ Tasmania, Inst Marine &amp; Antarctic Studies, Hobart, Tas 7004, Australia; [McMahon, Clive R.; Harcourt, Robert] Sydney Inst Marine Sci, IMOS Anim Tagging, Mosman, NSW, Australia; [McMahon, Clive R.; Jonsen, Ian; Harcourt, Robert] Macquarie Univ, Dept Biol Sci, Sydney, NSW, Australia; [Guinet, Christophe] Univ Rochelle, CNRS, Ctr Etud Biol Chize CEBC, UMR 7372, Villiers En Bois, France</t>
  </si>
  <si>
    <t>University of Tasmania; Sydney Institute of Marine Science; Macquarie University; Centre National de la Recherche Scientifique (CNRS); CNRS - Institute of Ecology &amp; Environment (INEE)</t>
  </si>
  <si>
    <t>Hindell, MA (corresponding author), Univ Tasmania, Inst Marine &amp; Antarctic Studies, Hobart, Tas 7004, Australia.</t>
  </si>
  <si>
    <t>mark.hindell@utas.edu.au</t>
  </si>
  <si>
    <t>McMahon, Clive R/D-5713-2013; Hindell, Mark A/K-1131-2013</t>
  </si>
  <si>
    <t>McMahon, Clive R/0000-0001-5241-8917; Jonsen, Ian/0000-0001-5423-6076; Harcourt, Robert/0000-0003-4666-2934; Hindell, Mark/0000-0002-7823-7185</t>
  </si>
  <si>
    <t>Integrated Marine Observing System (IMOS); French Polar Institute; CNES-TOSCA; Australian Government; SNO-MEMO</t>
  </si>
  <si>
    <t>Integrated Marine Observing System (IMOS); French Polar Institute; CNES-TOSCA; Australian Government(Australian Government); SNO-MEMO</t>
  </si>
  <si>
    <t>Integrated Marine Observing System (IMOS); French Polar Institute; SNO-MEMO and CNES-TOSCA; Australian Government</t>
  </si>
  <si>
    <t>10.1002/ece3.7147</t>
  </si>
  <si>
    <t>QG9IV</t>
  </si>
  <si>
    <t>WOS:000612806900001</t>
  </si>
  <si>
    <t>Saggiomo, M; Escalera, L; Saggiomo, V; Bolinesi, F; Mangoni, O</t>
  </si>
  <si>
    <t>Saggiomo, Maria; Escalera, Laura; Saggiomo, Vincenzo; Bolinesi, Francesco; Mangoni, Olga</t>
  </si>
  <si>
    <t>Phytoplankton Blooms Below the Antarctic Landfast Ice During the Melt Season Between Late Spring and Early Summer</t>
  </si>
  <si>
    <t>Antarctica; flagellates; melting season; phytoplankton blooms; sea ice</t>
  </si>
  <si>
    <t>TERRA-NOVA BAY; ROSS SEA; LIGHT TRANSMISSION; ADELIE LAND; COMMUNITIES; MICROALGAE; DYNAMICS; DISTRIBUTIONS; NUTRIENTS; PROTISTS</t>
  </si>
  <si>
    <t>Antarctic regions are known to be mainly dominated by diatoms in the water column under sea ice. In this study, we report for the first time two distinct phytoplankton blooms dominated by nanoflagellates (&lt;15 mu m) under the landfast ice in Terra Nova Bay during the late spring-early summer 2015/2016. The taxa included the pelagic Bolidophyceae Pentalamina corona, the Chrysophyceae Ochromonas spp. and the Chlorophyceae Chlamydomonas spp., typically found in fresh waters, and the Prymnesiophyceae Phaeocystis antarctica usually observed dominating in polynya areas. These species represented from 40% to 91% of the total phytoplankton community, a percentage contrasting with the prevalence of diatoms found previously. The dominance of nanoflagellates, rather than diatoms, during late spring and early summer may have important implications for trophic relationships in Antarctic waters and the presence of typical freshwater species could indicate a great input of continental waters related to environmental changes.</t>
  </si>
  <si>
    <t>[Saggiomo, Maria; Escalera, Laura; Saggiomo, Vincenzo] Dept Res Infrastruct Marine Biol Resources, Stn Zool Anton Dohrn, I-80121 Naples, Italy; [Bolinesi, Francesco; Mangoni, Olga] Univ Napoli Federico II, Dept Biol, Complesso Univ Monte St Angelo, I-80126 Naples, Italy; [Mangoni, Olga] CoNISMa, Piazzale Flaminio 9, I-00196 Rome, Italy</t>
  </si>
  <si>
    <t>Stazione Zoologica Anton Dohrn di Napoli; University of Naples Federico II; CoNISMa</t>
  </si>
  <si>
    <t>Escalera, L; Saggiomo, V (corresponding author), Dept Res Infrastruct Marine Biol Resources, Stn Zool Anton Dohrn, I-80121 Naples, Italy.</t>
  </si>
  <si>
    <t>laura.escalera@szn.it; vincenzo.saggiomo@szn.it</t>
  </si>
  <si>
    <t>Escalera, Laura/S-2836-2018</t>
  </si>
  <si>
    <t>Escalera, Laura/0000-0003-0938-4250; Saggiomo, Maria/0000-0001-5794-0050</t>
  </si>
  <si>
    <t>Italian National Program for Antarctic Research (PNRA) [2013/AZ.06]</t>
  </si>
  <si>
    <t>Italian National Program for Antarctic Research (PNRA)</t>
  </si>
  <si>
    <t>This work was carried out within the framework of the Coastal Ecosystem Functioning in a changing Antarctic ocean (CEFA, 2013/AZ.06) as part of the Italian National Program for Antarctic Research (PNRA), whose support in the Mario Zucchelli Station in Terra Nova Bay is gratefully acknowledged. The authors are grateful to A. Passarelli for essential technical and logistical support during the research activities, A. Zingone and I. D'Ambra for revising the manuscript, and F. Iamunno for the technical support with the electron microscopy. The Authors declare that there is no conflict of interest.</t>
  </si>
  <si>
    <t>10.1111/jpy.13112</t>
  </si>
  <si>
    <t>WOS:000612700300001</t>
  </si>
  <si>
    <t>Shabangu, FW; Rogers, TL</t>
  </si>
  <si>
    <t>Shabangu, Fannie W.; Rogers, Tracey L.</t>
  </si>
  <si>
    <t>Summer circumpolar acoustic occurrence and call rates of Ross, Ommatophoca rossii, and leopard, Hydrurga leptonyx, seals in the Southern Ocean</t>
  </si>
  <si>
    <t>Antarctic pack ice seals; Diel calling behaviour; Animal calls; Antarctic; Passive acoustic survey; Circumpolar occurrence</t>
  </si>
  <si>
    <t>PACK-ICE SEALS; HAUL-OUT BEHAVIOR; QUEEN-MAUD-LAND; UNDERWATER VOCALIZATIONS; PRYDZ BAY; ENVIRONMENTAL-CONDITIONS; WEDDELL SEA; CRAB-EATER; WEST-COAST; IN-AIR</t>
  </si>
  <si>
    <t>Two of the Antarctic pack ice seals, Ross, Ommatophoca rossii, and leopard, Hydrurga leptonyx, seals, are extremely difficult to study via traditional visual survey techniques, yet are ideal for an acoustic survey as they are highly vociferous and produce an array of underwater sounds during the austral summer. To determine their acoustic occurrence in the Antarctic pack ice, we use their calls, detected within 680 acoustic recordings made between 1999 and 2009 as part of two multinational programmes. Siren calls of Ross seals were detected mainly in January, and 9.88 calls per minute from low siren calls was the highest call rate for this species. High numbers of Ross seal calls were detected close to the ice edge in areas between 0 degrees and 20 degrees E and 60 degrees and 130 degrees E, suggesting these are important summer habitats. Leopard seal calls were detected mainly in December and January, and December had the highest percentage of calls. Call rate of 11.93 calls per minute from low double trills was the highest call rate for leopard seals. Leopard seal calls were detected throughout the Southern Ocean with more calls detected throughout the pack ice. There was little spatio-temporal overlap in call occurrence of Ross and leopard seals, but both species were more vocally active during the day. Longitude and latitude were the most important predictors of Ross seal occurrence, and month of the year highly predicted leopard seal occurrence. This is the first study to examine the circumpolar acoustic occurrence of Ross and leopard seals in the Southern Ocean pack ice.</t>
  </si>
  <si>
    <t>[Shabangu, Fannie W.] Dept Environm Forestry &amp; Fisheries, Fisheries Management Branch, ZA-8018 Cape Town, South Africa; [Shabangu, Fannie W.] Univ Pretoria, Mammal Res Inst, Whale Unit, Private Bag X20, ZA-0028 Pretoria, South Africa; [Rogers, Tracey L.] Univ New South Wales, Sch BEES, Evolut &amp; Ecol Res Ctr, Sydney, NSW 2052, Australia; [Rogers, Tracey L.] Univ New South Wales, Sch BEES, Ctr Marine Sci &amp; Innovat, Sydney, NSW 2052, Australia</t>
  </si>
  <si>
    <t>University of Pretoria; University of New South Wales Sydney; University of New South Wales Sydney</t>
  </si>
  <si>
    <t>Shabangu, FW (corresponding author), Dept Environm Forestry &amp; Fisheries, Fisheries Management Branch, ZA-8018 Cape Town, South Africa.;Shabangu, FW (corresponding author), Univ Pretoria, Mammal Res Inst, Whale Unit, Private Bag X20, ZA-0028 Pretoria, South Africa.</t>
  </si>
  <si>
    <t>fannie.shabangu@yahoo.com</t>
  </si>
  <si>
    <t>Rogers, Tracey/0000-0002-7141-4177; Shabangu, Fannie W./0000-0002-3668-3566</t>
  </si>
  <si>
    <t>Antarctic Scientific Advisory Committee [ASAC 552, 1140]; Sea World Research and Rescue Foundation Inc.; Scott Foundation</t>
  </si>
  <si>
    <t>Antarctic Scientific Advisory Committee; Sea World Research and Rescue Foundation Inc.; Scott Foundation</t>
  </si>
  <si>
    <t>International Whaling Commission's Southern Ocean Whale and Ecosystem Research cruises were conducted by the International Whaling Commission, and the Scientific Committee on Antarctic Research cruise was funded by the Antarctic Scientific Advisory Committee (ASAC 552 and 1140), the Sea World Research and Rescue Foundation Inc. and the Scott Foundation.</t>
  </si>
  <si>
    <t>10.1007/s00300-021-02804-9</t>
  </si>
  <si>
    <t>WOS:000612901400001</t>
  </si>
  <si>
    <t>Hutchinson, DK; Coxall, HK; Lunt, DJ; Steinthorsdottir, M; de Boer, AM; Baatsen, M; von der Heydt, A; Huber, M; Kennedy-Asser, AT; Kunzmann, L; Ladant, JB; Lear, CH; Moraweck, K; Pearson, PN; Piga, E; Pound, MJ; Salzmann, U; Scher, HD; Sijp, WP; Sliwinska, KK; Wilson, PA; Zhang, ZS</t>
  </si>
  <si>
    <t>Hutchinson, David K.; Coxall, Helen K.; Lunt, Daniel J.; Steinthorsdottir, Margret; de Boer, Agatha M.; Baatsen, Michiel; von der Heydt, Anna; Huber, Matthew; Kennedy-Asser, Alan T.; Kunzmann, Lutz; Ladant, Jean-Baptiste; Lear, Caroline H.; Moraweck, Karolin; Pearson, Paul N.; Piga, Emanuela; Pound, Matthew J.; Salzmann, Ulrich; Scher, Howie D.; Sijp, Willem P.; Sliwinska, Kasia K.; Wilson, Paul A.; Zhang, Zhongshi</t>
  </si>
  <si>
    <t>The Eocene-Oligocene transition: a review of marine and terrestrial proxy data, models and model data comparisons</t>
  </si>
  <si>
    <t>ATMOSPHERIC CARBON-DIOXIDE; ANTARCTIC ICE-SHEET; SEA-SURFACE TEMPERATURE; LATE-MIDDLE EOCENE; MERIDIONAL OVERTURNING CIRCULATION; DEEP-WATER CIRCULATION; CLIMATIC OPTIMUM EECO; ND ISOTOPIC STRUCTURE; NORTH-ATLANTIC; DRAKE PASSAGE</t>
  </si>
  <si>
    <t>The Eocene-Oligocene transition (EOT) was a climate shift from a largely ice-free greenhouse world to an icehouse climate, involving the first major glaciation of Antarctica and global cooling occurring similar to 34 million years ago (Ma) and lasting similar to 790 kyr. The change is marked by a global shift in deep-sea delta O-18 representing a combination of deep-ocean cooling and growth in land ice volume. At the same time, multiple independent proxies for ocean temperature indicate sea surface cooling, and major changes in global fauna and flora record a shift toward more cold-climateadapted species. The two principal suggested explanations of this transition are a decline in atmospheric CO2 and changes to ocean gateways, while orbital forcing likely influenced the precise timing of the glaciation. Here we review and synthesise proxy evidence of palaeogeography, temperature, ice sheets, ocean circulation and CO2 change from the marine and terrestrial realms. Furthermore, we quantitatively compare proxy records of change to an ensemble of climate model simulations of temperature change across the EOT. The simulations compare three forcing mechanisms across the EOT: CO2 decrease, palaeogeographic changes and ice sheet growth. Our model ensemble results demonstrate the need for a global cooling mechanism beyond the imposition of an ice sheet or palaeogeographic changes. We find that CO2 forcing involving a large decrease in CO2 of ca. 40 % (similar to 325 ppm drop) provides the best fit to the available proxy evidence, with ice sheet and palaeogeographic changes playing a secondary role. While this large decrease is consistent with some CO2 proxy records (the extreme endmember of decrease), the positive feedback mechanisms on ice growth are so strong that a modest CO2 decrease beyond a critical threshold for ice sheet initiation is well capable of triggering rapid ice sheet growth. Thus, the amplitude of CO2 decrease signalled by our data-model comparison should be considered an upper estimate and perhaps artificially large, not least because the current generation of climate models do not include dynamic ice sheets and in some cases may be undersensitive to CO2 forcing. The model ensemble also cannot exclude the possibility that palaeogeographic changes could have triggered a reduction in CO2.</t>
  </si>
  <si>
    <t>[Hutchinson, David K.; Coxall, Helen K.; Steinthorsdottir, Margret; de Boer, Agatha M.] Stockholm Univ, Dept Geol Sci, Stockholm, Sweden; [Hutchinson, David K.; Coxall, Helen K.; Steinthorsdottir, Margret; de Boer, Agatha M.] Stockholm Univ, Bolin Ctr Climate Res, Stockholm, Sweden; [Lunt, Daniel J.; Kennedy-Asser, Alan T.] Univ Bristol, Sch Geog Sci, Bristol, Avon, England; [Steinthorsdottir, Margret] Swedish Museum Nat Hist, Dept Palaeobiol, Stockholm, Sweden; [Baatsen, Michiel; von der Heydt, Anna] Univ Utrecht, Inst Marine &amp; Atmospher Res, Dept Phys, Utrecht, Netherlands; [von der Heydt, Anna] Univ Utrecht, Ctr Complex Syst Studies, Utrecht, Netherlands; [Huber, Matthew] Purdue Univ, Dept Earth Atmospher &amp; Planetary Sci, W Lafayette, IN 47907 USA; [Kunzmann, Lutz; Moraweck, Karolin] Senckenberg Nat Hist Collect, Dresden, Germany; [Ladant, Jean-Baptiste] Univ Michigan, Dept Earth &amp; Environm Sci, Ann Arbor, MI 48109 USA; [Lear, Caroline H.; Pearson, Paul N.; Piga, Emanuela] Cardiff Univ, Sch Earth &amp; Ocean Sci, Cardiff, Wales; [Pound, Matthew J.; Salzmann, Ulrich] Northumbria Univ, Dept Geog &amp; Environm Sci, Newcastle Upon Tyne, Tyne &amp; Wear, England; [Scher, Howie D.] Univ South Carolina, Sch Earth Ocean &amp; Environm, Columbia, SC 29208 USA; [Sijp, Willem P.] Univ New South Wales, Climate Change Res Ctr, Sydney, NSW, Australia; [Sliwinska, Kasia K.] Geol Survey Denmark &amp; Greenland GEUS, Dept Stratig, Copenhagen, Denmark; [Wilson, Paul A.] Univ Southampton, Natl Oceanog Ctr, Southampton, Hants, England; [Zhang, Zhongshi] China Univ Geosci, Dept Atmospher Sci, Wuhan, Peoples R China; [Zhang, Zhongshi] NORCE Res, Bergen, Norway; [Zhang, Zhongshi] Bjerknes Ctr Climate Res, Bergen, Norway</t>
  </si>
  <si>
    <t>Stockholm University; University of Bristol; Swedish Museum of Natural History; Utrecht University; Utrecht University; Purdue University System; Purdue University; Senckenberg Gesellschaft fur Naturforschung (SGN); University of Michigan System; University of Michigan; Cardiff University; Northumbria University; University of South Carolina System; University of South Carolina Columbia; University of New South Wales Sydney; Geological Survey Of Denmark &amp; Greenland; University of Southampton; NERC National Oceanography Centre; China University of Geosciences; Norwegian Research Centre (NORCE); Bjerknes Centre for Climate Research</t>
  </si>
  <si>
    <t>Hutchinson, DK (corresponding author), Stockholm Univ, Dept Geol Sci, Stockholm, Sweden.;Hutchinson, DK (corresponding author), Stockholm Univ, Bolin Ctr Climate Res, Stockholm, Sweden.</t>
  </si>
  <si>
    <t>david.hutchinson@geo.su.se</t>
  </si>
  <si>
    <t>von der Heydt, Anna/B-9250-2008; Scher, Howie/C-4927-2013; zhang, zhi/HPH-4905-2023; Huber, Matthew/A-7677-2008; Śliwińska, Kasia Kamila/G-9097-2018; Pearson, Paul N/B-2276-2009; Hutchinson, David/F-4564-2016; De Boer, Agatha M/H-4202-2012; Zhang, zs/GXN-3521-2022; Lear, Caroline H/D-2582-2009; Sijp, Willem P/E-5988-2012; Lunt, Daniel/G-9451-2011; Salzmann, Ulrich/H-9929-2017</t>
  </si>
  <si>
    <t>von der Heydt, Anna/0000-0002-5557-3282; Huber, Matthew/0000-0002-2771-9977; Śliwińska, Kasia Kamila/0000-0001-5488-8832; Hutchinson, David/0000-0001-9385-4782; Kennedy-Asser, Alan/0000-0001-5143-8932; Kunzmann, Lutz/0000-0001-6445-3920; Wilson, Paul/0000-0001-6425-8906; Steinthorsdottir, Margret/0000-0002-7893-1142; Lunt, Daniel/0000-0003-3585-6928; Coxall, Helen/0000-0002-2843-2898; Salzmann, Ulrich/0000-0001-5598-5327; Sijp, Willem/0000-0002-5971-3860</t>
  </si>
  <si>
    <t>Bolin Centre for Climate Research (Research Area 6); Vetenskapsradet [2016-03912]; Svenska Forskningsradet Formas [2018-01621]; Danish Council for Independent Research - Natural Sciences (DFF/FNU) [11-107497]; Formas [2018-01621] Funding Source: Formas; Swedish Research Council [2016-03912] Funding Source: Swedish Research Council</t>
  </si>
  <si>
    <t>Bolin Centre for Climate Research (Research Area 6); Vetenskapsradet(Swedish Research Council); Svenska Forskningsradet Formas(Swedish Research Council Formas); Danish Council for Independent Research - Natural Sciences (DFF/FNU)(Det Frie Forskningsrad (DFF)); Formas(Swedish Research Council Formas); Swedish Research Council(Swedish Research Council)</t>
  </si>
  <si>
    <t>This research has been supported by the Bolin Centre for Climate Research (Research Area 6), the Vetenskapsradet (grant no. 2016-03912), the Svenska Forskningsradet Formas (grant no. 2018-01621) and the Danish Council for Independent Research - Natural Sciences (DFF/FNU; grant no. 11-107497).</t>
  </si>
  <si>
    <t>JAN 28</t>
  </si>
  <si>
    <t>10.5194/cp-17-269-2021</t>
  </si>
  <si>
    <t>QB6QL</t>
  </si>
  <si>
    <t>Green Accepted, Green Submitted, gold</t>
  </si>
  <si>
    <t>WOS:000614265100001</t>
  </si>
  <si>
    <t>Hwang, K; Choe, H; Nasir, A; Kim, KM</t>
  </si>
  <si>
    <t>Hwang, Kyuin; Choe, Hanna; Nasir, Arshan; Kim, Kyung Mo</t>
  </si>
  <si>
    <t>Complete genome of Polaromonas vacuolata KCTC 22033T isolated from beneath Antarctic Sea ice</t>
  </si>
  <si>
    <t>Betaine; Genome reduction; Horizontal gene transfer; Psychrophile; Rhodopsin</t>
  </si>
  <si>
    <t>BACTERIUM; MARINE; EVOLUTION; TOOL</t>
  </si>
  <si>
    <t>Polaromonas vacuolata KCTC 22033(T) is an obligate aerobic, Gram-negative, psychrophilic and rod-shaped bacterium isolated from beneath the sea ice off the coast of the Palmer Peninsula, Anvers Islands, Antarctica. P. vacuolata is the type species of Polaromonas genus and the first example of gas vacuolate Betaproteobacteria isolated from marine habitats. Here, we report a complete genome of P. vacuolata KCTC 22033(T) , which consists of 3,837,686 bp (G + C content of 52.07%) with a single chromosome, 3461 protein-coding genes, 56 tRNAs and 6 rRNA opemns. Genomic analysis revealed the presence of genes involved in bacterial adaptation under saline conditions, cold adaptation via the production of gas vesicles and cell adhesion proteins, and a photoheterotrophic lifestyle when challenged by starvation. Intriguingly, several of these genes were likely acquired from species outside the Polaromonas genus. The genomic information therefore describes the unique evolution and adaptation of P. vacuolata to its extraordinary habitat, i.e., beneath the Antarctic sea ice.</t>
  </si>
  <si>
    <t>[Hwang, Kyuin; Kim, Kyung Mo] Korea Polar Res Inst, Div Polar Life Sci, 26 Songdomirae Ro, Incheon 21990, South Korea; [Choe, Hanna] Korea Res Inst Biosci &amp; Biotechnol, Biol Resource Ctr, 181 Ipsin Gil, Jeongeup 56212, South Korea; [Nasir, Arshan] Los Alamos Natl Lab, Theoret Biol &amp; Biophys Grp, Los Alamos, NM USA</t>
  </si>
  <si>
    <t>Korea Polar Research Institute (KOPRI); Korea Research Institute of Bioscience &amp; Biotechnology (KRIBB); United States Department of Energy (DOE); Los Alamos National Laboratory</t>
  </si>
  <si>
    <t>Kim, KM (corresponding author), Korea Polar Res Inst, Div Polar Life Sci, 26 Songdomirae Ro, Incheon 21990, South Korea.</t>
  </si>
  <si>
    <t>kmkim@kopri.re.kr</t>
  </si>
  <si>
    <t>Nasir, Arshan/O-4111-2018</t>
  </si>
  <si>
    <t>Nasir, Arshan/0000-0001-7200-0788; Kim, Kyung Mo/0000-0001-5125-5079</t>
  </si>
  <si>
    <t>Korea Polar Research Institute [PE20130]; U.S. Department of Energy LDRD program at Los Alamos National Laboratory [20180751PRD3]</t>
  </si>
  <si>
    <t>Korea Polar Research Institute(Korea Polar Research Institute of Marine Research Placement (KOPRI)); U.S. Department of Energy LDRD program at Los Alamos National Laboratory(United States Department of Energy (DOE))</t>
  </si>
  <si>
    <t>This work was supported by Korea Polar Research Institute (grant number PE20130). AN is supported by the U.S. Department of Energy LDRD program at Los Alamos National Laboratory (20180751PRD3).</t>
  </si>
  <si>
    <t>10.1016/j.margen.2020.100790</t>
  </si>
  <si>
    <t>QI1AP</t>
  </si>
  <si>
    <t>WOS:000618706500004</t>
  </si>
  <si>
    <t>Brunt, KM; Smith, BE; Sutterley, TC; Kurtz, NT; Neumann, TA</t>
  </si>
  <si>
    <t>Brunt, K. M.; Smith, B. E.; Sutterley, T. C.; Kurtz, N. T.; Neumann, T. A.</t>
  </si>
  <si>
    <t>Comparisons of Satellite and Airborne Altimetry With Ground-Based Data From the Interior of the Antarctic Ice Sheet</t>
  </si>
  <si>
    <t>PENETRATION DEPTH; RADAR ALTIMETRY; FLUCTUATIONS; VALIDATION; CRYOSAT; LAND</t>
  </si>
  <si>
    <t>A series of traverses has been conducted for validation of the National Aeronautics and Space Administration Ice, Cloud, and land Elevation Satellite 2 (ICESat-2) on the flat interior of the Antarctic ice sheet. Global Navigation Satellite System data collected on three separate 88S Traverses intersect 20% of the ICESat-2 reference ground tracks and have precisions of better than 7 cm and biases of less than similar to 4 cm. Data from these traverses were used to assess heights from ICESat-2, CryoSat-2, and Airborne Topographic Mapper (ATM). ICESat-2 heights have better than 3.3 cm bias and better than 7.2 cm precision. ATM heights have better than 9.3 cm bias and better than 9.6 cm precision. CryoSat-2 heights have -38.9 cm of bias and 47.3 cm precision. These best case results are from the flat ice-sheet interior but provide a characterization of the quality of satellite and airborne altimetry. Plain Language Summary The National Aeronautics and Space Administration (NASA) and the European Space Agency (ESA) each currently has satellites in orbit, with science goals that include determining the mass change of the Antarctic ice sheet and its contributions to mean sea level rise. This requires dense measurements of the elevations of the ice sheet with centimeter-level accuracy and precision. We use very accurate ground-based elevation data over the ice sheet to assess data from the NASA Ice, Cloud, and land Elevation Satellite 2 (ICESat-2) and the ESA CryoSat-2 satellite missions. Further, we assess data from a single flight of the NASA Airborne Topographic Mapper (ATM). Our results show that the ground-based data are ideal for this type of validation and that the ICESat-2 and ATM data have centimeter-level accuracy, while the CryoSat-2 data are closer to the decimeter level of accuracy. Key Points . We compare satellite-derived altimetry data with GNSS data from annual traverses on the Antarctic ice sheet NASA's ICESat-2 satellite laser altimeter is the most accurate with better than +/- 3.3 cm of bias and better than +/- 7.2 cm precision These best case results are from the ice-sheet interior but provide a characterization of the quality of satellite and airborne altimetry</t>
  </si>
  <si>
    <t>[Brunt, K. M.] Univ Maryland, Earth Syst Sci Interdisciplinary Ctr, College Pk, MD 20742 USA; [Brunt, K. M.; Kurtz, N. T.; Neumann, T. A.] NASA, Cryosphenc Sci Lab, Goddard Space Flight Ctr, Greenbelt, MD 20771 USA; [Smith, B. E.; Sutterley, T. C.] Univ Washington, Appl Phys Lab, Polar Sci Ctr, Seattle, WA 98105 USA</t>
  </si>
  <si>
    <t>University System of Maryland; University of Maryland College Park; National Aeronautics &amp; Space Administration (NASA); NASA Goddard Space Flight Center; University of Washington; University of Washington Seattle</t>
  </si>
  <si>
    <t>Brunt, KM (corresponding author), Univ Maryland, Earth Syst Sci Interdisciplinary Ctr, College Pk, MD 20742 USA.;Brunt, KM (corresponding author), NASA, Cryosphenc Sci Lab, Goddard Space Flight Ctr, Greenbelt, MD 20771 USA.</t>
  </si>
  <si>
    <t>kelly.m.brunt@nasa.gov</t>
  </si>
  <si>
    <t>Neumann, Thomas/JLL-4672-2023</t>
  </si>
  <si>
    <t>Kurtz, Nathan/0000-0003-0811-5569; brunt, kelly/0000-0002-6462-6112; Neumann, Thomas/0000-0002-6926-937X</t>
  </si>
  <si>
    <t>NASA ICESat-2 Project Science Office</t>
  </si>
  <si>
    <t>Funding was provided by the NASA ICESat-2 Project Science Office. The authors thank the National Science Foundation Office of Polar Programs for logistical support of the Antarctic traverses. The authors thank the 88S Traverse teams and the numerous personnel with the U.S. Antarctic Program for survey support. The authors thank the NSIDC for ICESat-2 data distribution. Finally, the authors thank their Editor (Mathieu Morlighem) and two anonymous reviewers for constructive comments that contributed to this manuscript.</t>
  </si>
  <si>
    <t>e2020GL090572</t>
  </si>
  <si>
    <t>10.1029/2020GL090572</t>
  </si>
  <si>
    <t>QA7VA</t>
  </si>
  <si>
    <t>WOS:000613648800024</t>
  </si>
  <si>
    <t>Pauly, M; Turney, CSM; Palmer, JG; Büntgen, U; Brauer, A; Helle, G</t>
  </si>
  <si>
    <t>Pauly, M.; Turney, C. S. M.; Palmer, J. G.; Buntgen, U.; Brauer, A.; Helle, G.</t>
  </si>
  <si>
    <t>Kauri Tree-Ring Stable Isotopes Reveal a Centennial Climate Downturn Following the Antarctic Cold Reversal in New Zealand</t>
  </si>
  <si>
    <t>delta C-13; delta O-18; climate; Late Glacial; New Zealand; tree-ring cellulose</t>
  </si>
  <si>
    <t>AGATHIS-AUSTRALIS KAURI; YOUNGER DRYAS; RADIOCARBON CALIBRATION; RAINFALL; RECORD; BP; PRECIPITATION; DELTA-O-18; CHRONOLOGY; ENSO</t>
  </si>
  <si>
    <t>The dynamics of the Late Glacial have been demonstrated by numerous records from the Northern Hemisphere and far fewer from the Southern Hemisphere (SH). SH paleoclimate records reveal a general warming trend, interrupted by a deglaciation pause Antarctic Cold Reversal (ACR; similar to 14,700-13,000 cal BP). Here, we present decadal tree-ring stable isotope chronologies (delta O-18, delta C-13) from New Zealand (NZ) subfossil kauri trees (n = 6) covering the post-ACR millennium from 13,020 to 11,850 cal BP. We find a distinct, simultaneous downturn (similar to 12,625-12,375 cal BP) in all tree-ring proxies paralleling regional tree growth declines, suggesting a widespread climate deterioration. This downturn was characterized by sustained high precipitation, low temperatures, and high relative humidity in NZ with incoming weather fronts from the South Ocean. Despite these promising results, questions remain about what drove the Kauri Downturn and how the hydroclimatic conditions were altered during this time period. Key Points . Dual isotope (delta O-18(cel), delta C-13(cel)) tree-ring stable isotope chronologies (KAU-ISO) were developed from New Zealand kauri trees, covering 13,020-11,850 cal BP A simultaneous downturn in all tree-ring proxies was established covering 250 years (Kauri Downturn = KD) The records presented provide new high-resolution evidence of hydroclimate conditions in NZ at the end of the Late Glacial</t>
  </si>
  <si>
    <t>[Pauly, M.; Brauer, A.; Helle, G.] GFZ German Res Ctr Geosci, Sect Climate Dynam &amp; Landscape Evolut, Potsdam, Germany; [Pauly, M.; Helle, G.] Free Univ Berlin, Sect Palaeontol, Dept Earth Sci, Berlin, Germany; [Pauly, M.] Bath Spa Univ, Sch Sci, Bath, Avon, England; [Turney, C. S. M.; Palmer, J. G.] Univ New South Wales, Sch Biol Earth &amp; Environm Sci, Palaeontol Geobiol &amp; Earth Arch Res Ctr PANGEA, Sydney, NSW, Australia; [Buntgen, U.] Univ Cambridge, Dept Geog, Cambridge, England; [Buntgen, U.] Global Change Res Ctr, Brno, Czech Republic; [Buntgen, U.] Masaryk Univ, Brno, Czech Republic</t>
  </si>
  <si>
    <t>Helmholtz Association; Helmholtz-Center Potsdam GFZ German Research Center for Geosciences; Free University of Berlin; Bath Spa University; University of New South Wales Sydney; University of Cambridge; Czech Academy of Sciences; Global Change Research Centre of the Czech Academy of Sciences; Masaryk University Brno</t>
  </si>
  <si>
    <t>Pauly, M (corresponding author), GFZ German Res Ctr Geosci, Sect Climate Dynam &amp; Landscape Evolut, Potsdam, Germany.;Pauly, M (corresponding author), Free Univ Berlin, Sect Palaeontol, Dept Earth Sci, Berlin, Germany.;Pauly, M (corresponding author), Bath Spa Univ, Sch Sci, Bath, Avon, England.</t>
  </si>
  <si>
    <t>m.pauly@bathspa.ac.uk</t>
  </si>
  <si>
    <t>Palmer, Jonathan/J-7834-2012; Turney, Chris/P-8701-2018</t>
  </si>
  <si>
    <t>Palmer, Jonathan/0000-0002-6665-4483; Pauly, Maren/0000-0003-0470-2678; Turney, Chris/0000-0001-6733-0993; Brauer, Achim/0000-0002-6655-9451</t>
  </si>
  <si>
    <t>joint German Research Foundation (DFG) [HE3089/9-1, KR726/10-1]; Czech Republic Grant Agency [17-22102 S.]</t>
  </si>
  <si>
    <t>joint German Research Foundation (DFG)(German Research Foundation (DFG)); Czech Republic Grant Agency(Grant Agency of the Czech Republic)</t>
  </si>
  <si>
    <t>This study was funded by the joint German Research Foundation (DFG, HE3089/9-1 and KR726/10-1). It is a contribution to the climate initiative REKLIM Topic 8 Abrupt climate change derived from proxy data of the Helmholtz Association. U. Buntgen received additional funding from the Czech Republic Grant Agency project 17-22102 S.</t>
  </si>
  <si>
    <t>e2020GL090299</t>
  </si>
  <si>
    <t>10.1029/2020GL090299</t>
  </si>
  <si>
    <t>Green Published, hybrid, Green Submitted</t>
  </si>
  <si>
    <t>WOS:000613648800052</t>
  </si>
  <si>
    <t>Perrett, JA; Wright, CJ; Hindley, NP; Hoffmann, L; Mitchell, NJ; Preusse, P; Strube, C; Eckermann, SD</t>
  </si>
  <si>
    <t>Perrett, Jon A.; Wright, Corwin J.; Hindley, Neil P.; Hoffmann, Lars; Mitchell, Nicholas J.; Preusse, Peter; Strube, Cornelia; Eckermann, Stephen D.</t>
  </si>
  <si>
    <t>Determining Gravity Wave Sources and Propagation in the Southern Hemisphere by Ray-Tracing AIRS Measurements</t>
  </si>
  <si>
    <t>AIRS; gravity wave; GROGRAT; ray-tracing; Southern Ocean</t>
  </si>
  <si>
    <t>MOMENTUM FLUXES; SATELLITE-OBSERVATIONS; MOUNTAIN WAVES; MODEL; ANDES; STRATOSPHERE; TRANSFORM; LIDAR; WIND</t>
  </si>
  <si>
    <t>Gravity waves (GWs) are key drivers of atmospheric circulation. Understanding their sources and propagation is essential to improving weather and climate models. We apply a 3D Stockwell Transform to 1 month of stratospheric temperature data from NASA's Atmospheric InfraRed Sounder to obtain 3D GW measurements and parameters. We use ray-tracing methods to determine the sources and propagation characteristics of these GWs over the entire Southern Ocean. We trace 1.28 million GW measurements per day for the month of June 2010. Our analysis suggests that ground-based sources around the Andes, Antarctic Peninsula, and Kerguelen play major roles, and that the GWs generated by these and other sources travel large zonal distances. We show evidence that GWs propagate into the 60 degrees S belt, a possible source of missing momentum flux in GCMs at this latitude. These results emphasize the need for models to incorporate the possibility that GWs can exhibit large horizontal propagation. Plain Language Summary Gravity waves are atmospheric waves that transport large amounts of energy through the atmosphere. Understanding their sources and propagation characteristics is key to improving climate models. We trace 30 million wave measurements back to their sources over the Southern Ocean. We find that wave sources in this region are mainly small, mountainous islands and the Andes mountain range, a well-known gravity wave hot spot. These waves propagate southwards, a feature that is not implemented in many climate models. Hence, the momentum carried by the gravity waves is deposited at the wrong place in these models. We also find that waves travel many hundreds of kilometers west to east. This evidence suggests that atmospheric models need to improve their handling of gravity waves, and more accurately model the way they travel. Key Points . We ray-trace 3 x 10(7) satellite gravity wave measurements over the Southern Ocean We see evidence of southward wave propagation into a band at similar to 60 degrees S Our evidence suggests that waves from near-surface sources in the Southern Ocean region are a plausible source of missing model momentum flux</t>
  </si>
  <si>
    <t>[Perrett, Jon A.; Wright, Corwin J.; Hindley, Neil P.; Mitchell, Nicholas J.] Univ Bath, Ctr Space Atmospher &amp; Ocean Sci, Bath, Avon, England; [Hoffmann, Lars] Forschungszentrum Julich, Julich Supercomp Ctr, Julich, Germany; [Preusse, Peter; Strube, Cornelia] Forschungszentrum Julich, Inst Energy &amp; Climate Res Stratosphere, Julich, Germany; [Eckermann, Stephen D.] US Naval Res Lab, Div Space Sci, Washington, DC USA</t>
  </si>
  <si>
    <t>University of Bath; Helmholtz Association; Research Center Julich; Helmholtz Association; Research Center Julich; United States Department of Defense; United States Navy; Naval Research Laboratory</t>
  </si>
  <si>
    <t>Wright, CJ (corresponding author), Univ Bath, Ctr Space Atmospher &amp; Ocean Sci, Bath, Avon, England.</t>
  </si>
  <si>
    <t>c.wright@bath.ac.uk</t>
  </si>
  <si>
    <t>Hoffmann, Lars/ABI-3746-2020; Preusse, Peter/A-1193-2013; Wright, Corwin/J-4598-2014</t>
  </si>
  <si>
    <t>Hoffmann, Lars/0000-0003-3773-4377; Wright, Corwin/0000-0003-2496-953X; Perrett, Jon/0000-0002-9147-7079; Hindley, Neil/0000-0003-4377-2038; Mitchell, Nicholas/0000-0003-1149-8484; Eckermann, Stephen/0000-0002-8534-1909</t>
  </si>
  <si>
    <t>Royal Society [UF160545, RGF/EA/180217]; NERC [NE/R001391/1, NE/S00985X/1]; Chief of Naval Research; NERC [NE/S00985X/1] Funding Source: UKRI</t>
  </si>
  <si>
    <t>Royal Society(Royal Society); NERC(UK Research &amp; Innovation (UKRI)Natural Environment Research Council (NERC)); Chief of Naval Research; NERC(UK Research &amp; Innovation (UKRI)Natural Environment Research Council (NERC))</t>
  </si>
  <si>
    <t>J. A. Perrett is funded by Royal Society grant RGF/EA/180217. C. J. Wright is funded by Royal Society grant UF160545 and NERC grant NE/S00985X/1. C. J Wright, N. P. Hindley, and N. J Mitchell are funded by NERC grant NE/R001391/1. S. D. Eckermann's research was supported by the Chief of Naval Research.</t>
  </si>
  <si>
    <t>e2020GL088621</t>
  </si>
  <si>
    <t>10.1029/2020GL088621</t>
  </si>
  <si>
    <t>WOS:000613648800041</t>
  </si>
  <si>
    <t>Zambri, B; Kinnison, DE; Solomon, S</t>
  </si>
  <si>
    <t>Zambri, Brian; Kinnison, Douglas E.; Solomon, Susan</t>
  </si>
  <si>
    <t>Subpolar Activation of Halogen Heterogeneous Chemistry in Austral Spring</t>
  </si>
  <si>
    <t>atmospheric chemistry; climate modeling</t>
  </si>
  <si>
    <t>STRATOSPHERIC OZONE; POLAR VORTEX; CHLORINE; TROPOPAUSE; AEROSOLS; WINTER; MODEL</t>
  </si>
  <si>
    <t>Heterogeneous halogen chemistry plays a dominant role in driving changes in polar chemical composition and ozone depletion. Activation of halogens outside the polar regions may result in depletion of local ozone, along with changes in the chemical budgets of various species in the lower stratosphere (LS). In this study, the means and distributions of NO2 measurements from the Stratospheric Aerosol and Gas Experiment III (SAGE3m) are compared to simulations from a coupled climate-chemistry model, in order to better characterize and quantify subpolar heterogeneous halogen chemistry. NO2 abundances from a simulation with heterogeneous chemistry are drawn from the same distribution as the SAGE3m observations, while the NO2 distribution is different in a simulation without heterogeneous chemistry. Results indicate that heterogeneous chemistry plays a significant role in determining the chemical composition of the subpolar LS in austral spring and show how analysis of distribution functions can provide useful insights into chemical processes. Plain Language Summary Much research has been done on the impacts of ozone-depleting substances on the atmospheres of the polar regions, where their impacts, including the infamous Antarctic ozone hole, are greatest. However, it is possible for these same chemicals to be active outside the polar regions, where they can destroy ozone locally as they do near the poles. In this study, we analyze observations of NO2 outside the polar region. Because its concentrations are also impacted by the same chemistry that destroys ozone, NO2 is a good indicator of where chemistry involving ozone-depleting substances is occurring. We provide important evidence for the active presence of ozone-depleting substances outside of the polar regions. In addition, we use a model to show that the chemistry is essential to explain the observed NO2 distributions. The results presented here should motivate further research on the impacts of ozone-depleting substances on ozone abundances throughout the atmosphere. Key Points . Observed and modeled NO2 depletion indicates significant heterogeneous chemistry in the Southern Hemisphere springtime subpolar lower stratosphere Novel evidence for chemical processes is revealed using probability distributions in NO2 data versus simulations</t>
  </si>
  <si>
    <t>[Zambri, Brian; Solomon, Susan] MIT, Dept Earth Atmospher &amp; Planetary Sci, Cambridge, MA 02139 USA; [Kinnison, Douglas E.] Natl Ctr Atmospher Res, Atmospher Chem Observat &amp; Modeling Lab, POB 3000, Boulder, CO 80307 USA</t>
  </si>
  <si>
    <t>Massachusetts Institute of Technology (MIT); National Center Atmospheric Research (NCAR) - USA</t>
  </si>
  <si>
    <t>Zambri, B (corresponding author), MIT, Dept Earth Atmospher &amp; Planetary Sci, Cambridge, MA 02139 USA.</t>
  </si>
  <si>
    <t>bzambri@mit.edu</t>
  </si>
  <si>
    <t>Kinnison, Douglas/0000-0002-3418-0834</t>
  </si>
  <si>
    <t>NASA [80NSSC19K0952]; NSF [1906719]; Div Atmospheric &amp; Geospace Sciences; Directorate For Geosciences [1906719] Funding Source: National Science Foundation</t>
  </si>
  <si>
    <t>NASA(National Aeronautics &amp; Space Administration (NASA)); NSF(National Science Foundation (NSF)); Div Atmospheric &amp; Geospace Sciences; Directorate For Geosciences(National Science Foundation (NSF)NSF - Directorate for Geosciences (GEO))</t>
  </si>
  <si>
    <t>Brian Zambri and Douglas E. Kinnison were funded in part by NASA grant (80NSSC19K0952). Brian Zambri and Susan Solomon were funded in part by NSF 1906719. This research was enabled by the computational and storage resources of NCAR's Computational and Information Systems Laboratory (CISL), sponsored by the NSF. Cheyenne: HPE/SGI ICE XA System (NCAR Community Computing). Boulder, CO: National Center for Atmospheric Research.</t>
  </si>
  <si>
    <t>e2020GL090036</t>
  </si>
  <si>
    <t>10.1029/2020GL090036</t>
  </si>
  <si>
    <t>WOS:000613648800004</t>
  </si>
  <si>
    <t>Li, YJ; Ding, YJ; Shangguan, DH; Liu, FJ; Zhao, QD</t>
  </si>
  <si>
    <t>Li, Yaojun; Ding, Yongjian; Shangguan, Donghui; Liu, Fengjing; Zhao, Qiudong</t>
  </si>
  <si>
    <t>Climate-driven acceleration of glacier mass loss on global and regional scales during 1961-2016</t>
  </si>
  <si>
    <t>SCIENCE CHINA-EARTH SCIENCES</t>
  </si>
  <si>
    <t>Glaciers; Mass loss; Acceleration; Climate warming</t>
  </si>
  <si>
    <t>SEA-LEVEL RISE; ICE CAPS; GREENLAND; RUNOFF</t>
  </si>
  <si>
    <t>During the past decades, glacier mass loss is becoming increasingly significant worldwide but knowledge about the acceleration is still limited despite its potentially profound impacts on sea level rise, water resources availability and glacial hazards. In this study, we analyzed the acceleration of glacier mass loss based on in-situ measurements and on the latest compilation dataset of direct and geodetic observations for the period 1961-2016. The results showed that the rate of glacier mass loss has increased worldwide during the past decades. At the global scale, the rate of glacier mass loss has been accelerating at 5.76 +/- 1.35 Gt a(-2) as well as 0.0074 +/- 0.0016 m w.e.a(-2) on mass balance (refer to the area-averaged mass change value) during the whole period. At regional scales, for mass change rate, the heavily glacierized regions excluding Antarctic and Subantarctic exhibited a larger acceleration compared to other regions. The highest acceleration of mass change was found in Alaska glaciers (1.33 +/- 0.47 Gt a(-2)) over the full period. As for mass balance, high acceleration occurred on the regions with small glaciers as well as on the heavily glacierized regions. Central Europe exhibited the highest acceleration (0.024 +/- 0.0088 m w.e.a(-2)) during 1961-2016. High level of consistency between the acceleration and temperature implies that climate warming had a significant effect on the accelerating of glacier mass loss. Moreover, acceleration of the contribution from the Greenland ice sheet (0.028 to 0.070 mm a(-2)) and Antarctic ice sheet (0.023 to 0.058 mm a(-2)) to sea level rise exceeds acceleration of the contribution from global glaciers (0.019 +/- 0.013 mm a(-2)). These results will improve our understanding of the glacier retreat in response to climate change and provide critical information for improving mitigation strategies for impacts that may be caused by glacier melting.</t>
  </si>
  <si>
    <t>[Li, Yaojun; Ding, Yongjian; Shangguan, Donghui; Zhao, Qiudong] Chinese Acad Sci, Northwest Inst Ecoenvironm &amp; Resources, State Key Lab Cryospher Sci, Lanzhou 730000, Peoples R China; [Li, Yaojun; Ding, Yongjian; Zhao, Qiudong] Chinese Acad Sci, Northwest Inst Ecoenvironm &amp; Resources, Key Lab Ecohydrol Inland River Basin, Lanzhou 730000, Peoples R China; [Li, Yaojun; Ding, Yongjian] Univ Chinese Acad Sci, Beijing 100049, Peoples R China; [Ding, Yongjian; Shangguan, Donghui] CAS HEC, China Pakistan Joint Res Ctr Earth Sci, Islamabad 45320, Pakistan; [Liu, Fengjing] Michigan Technol Univ, Sch Forest Resources &amp; Environm Sci, Houghton, MI 49931 USA</t>
  </si>
  <si>
    <t>Chinese Academy of Sciences; Chinese Academy of Sciences; Chinese Academy of Sciences; University of Chinese Academy of Sciences, CAS; Michigan Technological University</t>
  </si>
  <si>
    <t>Ding, YJ; Shangguan, DH (corresponding author), Chinese Acad Sci, Northwest Inst Ecoenvironm &amp; Resources, State Key Lab Cryospher Sci, Lanzhou 730000, Peoples R China.;Ding, YJ (corresponding author), Chinese Acad Sci, Northwest Inst Ecoenvironm &amp; Resources, Key Lab Ecohydrol Inland River Basin, Lanzhou 730000, Peoples R China.;Ding, YJ (corresponding author), Univ Chinese Acad Sci, Beijing 100049, Peoples R China.;Ding, YJ; Shangguan, DH (corresponding author), CAS HEC, China Pakistan Joint Res Ctr Earth Sci, Islamabad 45320, Pakistan.</t>
  </si>
  <si>
    <t>dyj@lzb.ac.cn; dhguan@lzb.ac.cn</t>
  </si>
  <si>
    <t>Liu, Fengjing/AFB-2641-2022</t>
  </si>
  <si>
    <t>China-Pakistan Joint Research Center on Earth Sciences; Strategic Priority Research Program of the Chinese Academy of Sciences [XDA19070501]; National Natural Science Foundation of China [41730751, 41671066, 41871059, 41871055]</t>
  </si>
  <si>
    <t>China-Pakistan Joint Research Center on Earth Sciences; Strategic Priority Research Program of the Chinese Academy of Sciences(Chinese Academy of Sciences); National Natural Science Foundation of China(National Natural Science Foundation of China (NSFC))</t>
  </si>
  <si>
    <t>We are grateful to WGMS (http://wgms.ch/) for their compiling and disseminating standardized mass balance observations through its scientific collaboration network, especially to Michael Zemp who gives us suggestions about how to collect the mass balance dataset. The in-situ mass balance data are available at http://wgms.ch/data_databaseversions/.Glaciers accumulation area ratio data are from the annual reports of WGMS (https://wgms.ch/ggcb/).We are grateful to China-Pakistan Joint Research Center on Earth Sciences that supported the implementation of this study. We thank the two anonymous reviewers, for their constructive comments that helped improve the manuscript. This work was supported by the Strategic Priority Research Program of the Chinese Academy of Sciences (Grant No. XDA19070501), the National Natural Science Foundation of China (Grant Nos. 41730751, 41671066, 41871059 &amp; 41871055).</t>
  </si>
  <si>
    <t>1674-7313</t>
  </si>
  <si>
    <t>1869-1897</t>
  </si>
  <si>
    <t>SCI CHINA EARTH SCI</t>
  </si>
  <si>
    <t>Sci. China-Earth Sci.</t>
  </si>
  <si>
    <t>10.1007/s11430-020-9700-1</t>
  </si>
  <si>
    <t>RH7YY</t>
  </si>
  <si>
    <t>WOS:000613047300001</t>
  </si>
  <si>
    <t>Braga, MME; Bernales, J; Prange, M; Stroeven, AP; Rogozhina, I</t>
  </si>
  <si>
    <t>Mas e Braga, Martim; Bernales, Jorge; Prange, Matthias; Stroeven, Arjen P.; Rogozhina, Irina</t>
  </si>
  <si>
    <t>Sensitivity of the Antarctic ice sheets to the warming of marine isotope substage 11c</t>
  </si>
  <si>
    <t>CONTINENTAL-MARGIN SEDIMENTS; SEA-LEVEL; PLEISTOCENE COLLAPSE; CLIMATE VARIABILITY; MODEL PISM; OCEAN; SIMULATIONS; SURFACE; COMBINATION; CHRONOLOGY</t>
  </si>
  <si>
    <t>Studying the response of the Antarctic ice sheets during periods when climate conditions were similar to the present can provide important insights into current observed changes and help identify natural drivers of ice sheet retreat. In this context, the marine isotope substage 11c (MIS11c) interglacial offers a suitable scenario, given that during its later portion orbital parameters were close to our current interglacial. Ice core data indicate that warmer-than-present temperatures lasted for longer than during other interglacials. However, the response of the Antarctic ice sheets and their contribution to sea level rise remain unclear. We explore the dynamics of the Antarctic ice sheets during this period using a numerical ice sheet model forced by MIS11c climate conditions derived from climate model outputs scaled by three glaciological and one sedimentary proxy records of ice volume. Our results indicate that the East and West Antarctic ice sheets contributed 4.0-8.2 m to the MIS11c sea level rise. In the case of a West Antarctic Ice Sheet collapse, which is the most probable scenario according to far-field sea level reconstructions, the range is reduced to 6.7-8.2 m independently of the choices of external sea level forcing and millennialscale climate variability. Within this latter range, the main source of uncertainty arises from the sensitivity of the East Antarctic Ice Sheet to a choice of initial ice sheet configuration. We found that the warmer regional climate signal captured by Antarctic ice cores during peak MIS11c is crucial to reproduce the contribution expected from Antarctica during the recorded global sea level highstand. This climate signal translates to a modest threshold of 0.4 degrees C oceanic warming at intermediate depths, which leads to a collapse of the West Antarctic Ice Sheet if sustained for at least 4000 years.</t>
  </si>
  <si>
    <t>[Mas e Braga, Martim; Stroeven, Arjen P.] Stockholm Univ, Dept Phys Geog, Geomorphol &amp; Glaciol, Stockholm, Sweden; [Mas e Braga, Martim; Stroeven, Arjen P.] Stockholm Univ, Bolin Ctr Climate Res, Stockholm, Sweden; [Bernales, Jorge; Prange, Matthias] Univ Bremen, MARUM Ctr Marine Environm Sci, Bremen, Germany; [Rogozhina, Irina] Norwegian Univ Sci &amp; Technol, Dept Geog, Trondheim, Norway</t>
  </si>
  <si>
    <t>Stockholm University; University of Bremen; Norwegian University of Science &amp; Technology (NTNU)</t>
  </si>
  <si>
    <t>Braga, MME (corresponding author), Stockholm Univ, Dept Phys Geog, Geomorphol &amp; Glaciol, Stockholm, Sweden.;Braga, MME (corresponding author), Stockholm Univ, Bolin Ctr Climate Res, Stockholm, Sweden.</t>
  </si>
  <si>
    <t>martim.braga@natgeo.su.se</t>
  </si>
  <si>
    <t>Rogozhina, Irina/JFK-1968-2023; Stroeven, Arjen/I-7330-2013</t>
  </si>
  <si>
    <t>Rogozhina, Irina/0009-0008-5067-080X; Prange, Matthias/0000-0001-5874-756X; Stroeven, Arjen/0000-0001-8812-2253; Mas e Braga, Martim/0000-0002-4843-1876</t>
  </si>
  <si>
    <t>Swedish Research Council [2016-04422]; German Research Foundation [1158-365737614]; US National Science Foundation [PLR-1542930]; Norwegian Polar Institute/NARE [2015/38/7/NK/ihs]; MAGIC-DML project through DFG [SPP 1158 (RO 4262/1-6)]; Swedish Research Council [2016-04422] Funding Source: Swedish Research Council</t>
  </si>
  <si>
    <t>Swedish Research Council(Swedish Research Council); German Research Foundation(German Research Foundation (DFG)); US National Science Foundation(National Science Foundation (NSF)); Norwegian Polar Institute/NARE; MAGIC-DML project through DFG(German Research Foundation (DFG)); Swedish Research Council(Swedish Research Council)</t>
  </si>
  <si>
    <t>This research has been supported by the Swedish Research Council (grant no. 2016-04422), the German Research Foundation (grant no. 1158-365737614), the US National Science Foundation (grant no. PLR-1542930), and the Norwegian Polar Institute/NARE (grant no. 2015/38/7/NK/ihs). Jorge Bernales has been supported by the MAGIC-DML project through DFG SPP 1158 (RO 4262/1-6).</t>
  </si>
  <si>
    <t>10.5194/tc-15-459-2021</t>
  </si>
  <si>
    <t>QB6QU</t>
  </si>
  <si>
    <t>WOS:000614266000004</t>
  </si>
  <si>
    <t>Tielidze, LG; Eaves, SR; Norton, KP; Mackintosh, AN</t>
  </si>
  <si>
    <t>Tielidze, Levan G.; Eaves, Shaun R.; Norton, Kevin P.; Mackintosh, Andrew N.</t>
  </si>
  <si>
    <t>Glacial geomorphology of the Ahuriri River valley, central Southern Alps, New Zealand</t>
  </si>
  <si>
    <t>Geomorphological mapping; Southern Alps; New Zealand; Late Quaternary glaciation</t>
  </si>
  <si>
    <t>Detailed geomorphological mapping of ice-related and post-glacial landforms is widely used to explain past glacial fluctuations and dynamics. Here we present the first detailed glacial geomorphological description of the landform assemblages produced by the former Ahuriri Glacier, Southern Alps, New Zealand (44 degrees 15 ' S, 169 degrees 36 ' E). The Southern Alps of New Zealand experienced multiple episodes of glaciation during the Late Quaternary with large mountain glaciers in many valleys, but very little is known about the Ahuriri River valley, one of the main tributaries of the Waitaki River. We selected a region extending approximately 45 km downstream from the headwaters of the Ahuriri River covering an area of about 532 km(2). Our goal was to create a detailed 1:38,000 scale glacial geomorphological map of this area and provide a geomorphological context to support future geochronological work. Glacial geomorphological mapping was performed by combining several field investigations and remote sensing surveys. We provided high-resolution spatial information for all the glacial-related landforms shown on the map (see main Map). The distribution of post-glacial landforms in the middle and lower section of the main valley outline at least three advances or stillstand phases of past glaciers and suggesting the maximum length (similar to 41 km) of the former glacier during the Last Glacial Maximum. Most of the tributary valleys were also probably covered by ice at this time. Other prominent but smaller size moraine landforms, mostly in the tributary river valleys, also suggest relatively small, post-glacial advance phases of former glaciers.</t>
  </si>
  <si>
    <t>[Tielidze, Levan G.; Eaves, Shaun R.] Victoria Univ Wellington, Antarctic Res Ctr, Wellington, New Zealand; [Tielidze, Levan G.; Eaves, Shaun R.; Norton, Kevin P.] Victoria Univ Wellington, Sch Geog Environm &amp; Earth Sci, Wellington, New Zealand; [Mackintosh, Andrew N.] Monash Univ, Sch Earth Atmosphere &amp; Environm, Melbourne, Vic, Australia</t>
  </si>
  <si>
    <t>Victoria University Wellington; Victoria University Wellington; Monash University; Melbourne Genomics Health Alliance</t>
  </si>
  <si>
    <t>Tielidze, LG (corresponding author), Victoria Univ Wellington, Antarctic Res Ctr, Wellington, New Zealand.;Tielidze, LG (corresponding author), Victoria Univ Wellington, Sch Geog Environm &amp; Earth Sci, Wellington, New Zealand.</t>
  </si>
  <si>
    <t>tielidzelevan@gmail.com</t>
  </si>
  <si>
    <t>Tielidze, Levan G/E-2690-2018; Norton, Kevin/CAF-1290-2022</t>
  </si>
  <si>
    <t>Tielidze, Levan G/0000-0002-4646-5458; Norton, Kevin/0000-0002-7995-6464; Eaves, Shaun/0000-0003-0444-631X; Mackintosh, Andrew/0000-0002-6430-4711</t>
  </si>
  <si>
    <t>Victoria University of Wellington; Marsden Fund - Royal Society of New Zealand [E3230]</t>
  </si>
  <si>
    <t>Victoria University of Wellington; Marsden Fund - Royal Society of New Zealand(Royal Society of New ZealandMarsden Fund (NZ))</t>
  </si>
  <si>
    <t>This work was supported by Victoria University of Wellington (Doctoral Scholarship) and Marsden Fund - Royal Society of New Zealand [grant number E3230].</t>
  </si>
  <si>
    <t>10.1080/17445647.2021.1876777</t>
  </si>
  <si>
    <t>QH0IT</t>
  </si>
  <si>
    <t>WOS:000612776600001</t>
  </si>
  <si>
    <t>Bilyk, KT; Zhuang, X; Vargas-Chacoff, L; Cheng, CHC</t>
  </si>
  <si>
    <t>Bilyk, Kevin T.; Zhuang, Xuan; Vargas-Chacoff, Luis; Cheng, C-H Christina</t>
  </si>
  <si>
    <t>Evolution of chaperome gene expression and regulatory elements in the antarctic notothenioid fishes (Nov, 10.1038/s41437-020-00382-w, 2020)</t>
  </si>
  <si>
    <t>HEREDITY</t>
  </si>
  <si>
    <t>bilykk@montclair.edu; c-cheng@illinois.edu</t>
  </si>
  <si>
    <t>Zhuang, Xuan/0000-0002-1919-9764; Bilyk, Kevin/0000-0002-2262-2703</t>
  </si>
  <si>
    <t>0018-067X</t>
  </si>
  <si>
    <t>1365-2540</t>
  </si>
  <si>
    <t>Heredity</t>
  </si>
  <si>
    <t>10.1038/s41437-020-00399-1</t>
  </si>
  <si>
    <t>Ecology; Evolutionary Biology; Genetics &amp; Heredity</t>
  </si>
  <si>
    <t>Environmental Sciences &amp; Ecology; Evolutionary Biology; Genetics &amp; Heredity</t>
  </si>
  <si>
    <t>QR9SM</t>
  </si>
  <si>
    <t>WOS:000612604500006</t>
  </si>
  <si>
    <t>Vagrant sub-Antarctic fur seal at tropical Ascension Island, South Atlantic Ocean</t>
  </si>
  <si>
    <t>Arctocephalus tropicalis; Ascension island; South Atlantic ocean; Geographic distribution; Sightings; Vagrants</t>
  </si>
  <si>
    <t>Knowledge of extra-limital movements of seals improves our understanding of species' dispersal and dispersion abilities and patterns, and perhaps environmental changes. Canvassing and internet literature searches revealed the sighting of a vagrant adult male sub-Antarctic fur seal Arctocephalus tropicalis on the coast adjacent to George Town (7 degrees 56 ' S, 14 degrees 25 ' W), Ascension Island, in 2010. Although finer details of the sighting are sketchy, this is the first sighting of any seal at Ascension Island, and the northernmost sighting on record for the species on the mid-Atlantic Ridge islands. The likely source of the vagrant is the population at Gough Island (40 degrees 20 ' S, 9 degrees 54 ' W) some 3624 km further south in the Atlantic. The vagrant likely moved westward from Gough Island to the Brazilian coast, then northwards in coastal waters, eventually reaching Ascension Island.</t>
  </si>
  <si>
    <t>10.1007/s00300-021-02800-z</t>
  </si>
  <si>
    <t>WOS:000612556000002</t>
  </si>
  <si>
    <t>Almond, PM; Linse, K; Dreutter, S; Grant, SM; Griffiths, HJ; Whittle, RJ; Mackenzie, M; Reid, WDK</t>
  </si>
  <si>
    <t>Almond, Peter M.; Linse, Katrin; Dreutter, Simon; Grant, Susie M.; Griffiths, Huw J.; Whittle, Rowan J.; Mackenzie, Melanie; Reid, William D. K.</t>
  </si>
  <si>
    <t>In-situ Image Analysis of Habitat Heterogeneity and Benthic Biodiversity in the Prince Gustav Channel, Eastern Antarctic Peninsula</t>
  </si>
  <si>
    <t>vulnerable marine ecosystem; habitat heterogeneity; benthic biodiversity; global climate change; ice shelf; marine protect area; Antarctic</t>
  </si>
  <si>
    <t>SEA-FLOOR; SHELF; COMMUNITIES; DIVERSITY; ISLAND; DEPTH; BIOGEOGRAPHY; ASSEMBLAGES; VARIABILITY; ABUNDANCE</t>
  </si>
  <si>
    <t>Habitat heterogeneity is important for maintaining high levels of benthic biodiversity. The Prince Gustav Channel, on the Eastern Antarctic Peninsula, is characterized by an array of habitat types, ranging from flat, mud-dominated sheltered bays to steep and rocky exposed slopes. The channel has undergone dramatic environmental changes in recent decades, with the southern end of the channel permanently covered by the Prince Gustav Ice Shelf until it completely collapsed in 1995. Until now the marine benthic fauna of the Prince Gustav Channel has remained unstudied. A shallow underwater camera system and Agassiz trawl were deployed at different locations across the channel to collect information on habitat type and heterogeneity, benthic community composition and macrofaunal biomass. The texture of the seafloor was found to have a significant influence on the benthos, with hard substrates supporting higher abundances and diversity. Suspension and filter feeding organisms, including porifera, crinoids, and anthozoans, were strongly associated with hard substrates, with the same being true for deposit feeders, such as holothurians, and soft sediments. Habitat heterogeneity was high across the Prince Gustav Channel, particularly on a local scale, and this was significant in determining patterns of benthic composition and abundance. Other physical variables including depth and seafloor gradient played significant, interactive roles in determining composition potentially mediated through other processes. Sites that were once covered by the Prince Gustav Ice Shelf held distinct and unique communities, suggesting that the legacy of the ice shelf collapse may still be reflected in the benthos. Biomass estimations suggest that critical thresholds of vulnerable marine ecosystem indicator taxa, as defined by the Commission for the Conservation of Antarctic Marine Living Resources, have been met at multiple locations within the Prince Gustav Channel, which has implications for the future establishment of no take zones and marine protected areas within the region.</t>
  </si>
  <si>
    <t>[Almond, Peter M.; Reid, William D. K.] Newcastle Univ, Sch Nat &amp; Environm Sci, Newcastle Upon Tyne, Tyne &amp; Wear, England; [Linse, Katrin; Grant, Susie M.; Griffiths, Huw J.; Whittle, Rowan J.] British Antarctic Survey, Cambridge, England; [Dreutter, Simon] Alfred Wegener Inst, Bremerhaven, Germany; [Mackenzie, Melanie] Museums Victoria, Melbourne, Vic, Australia</t>
  </si>
  <si>
    <t>Newcastle University - UK; UK Research &amp; Innovation (UKRI); Natural Environment Research Council (NERC); NERC British Antarctic Survey; Helmholtz Association; Alfred Wegener Institute, Helmholtz Centre for Polar &amp; Marine Research; Melbourne Genomics Health Alliance</t>
  </si>
  <si>
    <t>Almond, PM; Reid, WDK (corresponding author), Newcastle Univ, Sch Nat &amp; Environm Sci, Newcastle Upon Tyne, Tyne &amp; Wear, England.</t>
  </si>
  <si>
    <t>p.almond@newcastle.ac.uk; willlam.reid@newcastle.ac.uk</t>
  </si>
  <si>
    <t>Griffiths, Huw J/D-4234-2009; Reid, William/J-8528-2013</t>
  </si>
  <si>
    <t>Griffiths, Huw J/0000-0003-1764-223X; Almond, Peter/0009-0003-3419-9169; Reid, William/0000-0003-0190-0425; Grant, Susie/0000-0001-7941-3948</t>
  </si>
  <si>
    <t>Newcastle University; Natural Environment Research Council (NERC) [NC-Science]; NERC [NE/R012296/1]; Museums Victoria; NERC [NE/R012296/1, bas0100035, bas0100030] Funding Source: UKRI</t>
  </si>
  <si>
    <t>Newcastle University; Natural Environment Research Council (NERC) [NC-Science](UK Research &amp; Innovation (UKRI)Natural Environment Research Council (NERC)); NERC(UK Research &amp; Innovation (UKRI)Natural Environment Research Council (NERC)); Museums Victoria; NERC(UK Research &amp; Innovation (UKRI)Natural Environment Research Council (NERC))</t>
  </si>
  <si>
    <t>PA and WR are funded by Newcastle University. KL, HG, SG, and RW are part of the British Antarctic Survey Polar Science for Planet Earth Programme funded by The Natural Environment Research Council (NERC) [NC-Science]. The RSS James Clark Ross expedition JR17003a and participation of KL, WR, RW, MM, and SG were funded by the NERC urgency grant NE/R012296/1. MM was also funded by Museums Victoria.</t>
  </si>
  <si>
    <t>10.3389/fmars.2021.614496</t>
  </si>
  <si>
    <t>QF6KE</t>
  </si>
  <si>
    <t>WOS:000617000300001</t>
  </si>
  <si>
    <t>Roslin, T; Antao, L; Hällfors, M; Meyke, E; Lo, C; Tikhonov, G; Delgado, MD; Gurarie, E; Abadonova, M; Abduraimov, O; Adrianova, O; Akimova, T; Akkiev, M; Ananin, A; Andreeva, E; Andriychuk, N; Antipin, M; Arzamascev, K; Babina, S; Babushkin, M; Bakin, O; Barabancova, A; Basilskaja, I; Belova, N; Belyaeva, N; Bespalova, T; Bisikalova, E; Bobretsov, A; Bobrov, V; Bobrovskyi, V; Bochkareva, E; Bogdanov, G; Bolshakov, V; Bondarchuk, S; Bukharova, E; Butunina, A; Buyvolov, Y; Buyvolova, A; Bykov, Y; Chakhireva, E; Chashchina, O; Cherenkova, N; Chistjakov, S; Chuhontseva, S; Davydov, EA; Demchenko, V; Diadicheva, E; Dobrolyubov, A; Dostoyevskaya, L; Drovnina, S; Drozdova, Z; Dubanaev, A; Dubrovsky, Y; Elsukov, S; Epova, L; Ermakova, O; Ermakova, OS; Ershkova, E; Esengeldenova, A; Evstigneev, O; Fedchenko, I; Fedotova, V; Filatova, T; Gashev, S; Gavrilov, A; Gaydysh, I; Golovcov, D; Goncharova, N; Gorbunova, E; Gordeeva, T; Grishchenko, V; Gromyko, L; Hohryakov, V; Hritankov, A; Ignatenko, E; Igosheva, S; Ivanova, U; Ivanova, N; Kalinkin, Y; Kaygorodova, E; Kazansky, F; Kiseleva, D; Knorre, A; Kolpashikov, L; Korobov, E; Korolyova, H; Korotkikh, N; Kosenkov, G; Kossenko, S; Kotlugalyamova, E; Kozlovsky, E; Kozsheechkin, V; Kozurak, A; Kozyr, I; Krasnopevtseva, A; Kruglikov, S; Kuberskaya, O; Kudryavtsev, A; Kulebyakina, E; Kulsha, Y; Kupriyanova, M; Kurbanbagamaev, M; Kutenkov, A; Kutenkova, N; Kuyantseva, N; Kuznetsov, A; Larin, E; Lebedev, P; Litvinov, K; Luzhkova, N; Mahmudov, A; Makovkina, L; Mamontov, V; Mayorova, S; Megalinskaja, I; Meydus, A; Minin, A; Mitrofanov, O; Motruk, M; Myslenkov, A; Nasonova, N; Nemtseva, N; Nesterova, I; Nezdoliy, T; Niroda, T; Novikova, T; Panicheva, D; Pavlov, A; Pavlova, K; Podolski, S; Polikarpova, N; Polyanskaya, T; Pospelov, I; Pospelova, E; Prokhorov, I; Prokosheva, I; Puchnina, L; Putrashyk, I; Raiskaya, J; Rozhkov, Y; Rozhkova, O; Rudenko, M; Rybnikova, I; Rykova, S; Sahnevich, M; Samoylov, A; Sanko, V; Sapelnikova, I; Sazonov, S; Selyunina, Z; Shalaeva, K; Shashkov, M; Shcherbakov, A; Shevchyk, V; Shubin, S; Shujskaja, E; Sibgatullin, R; Sikkila, N; Sitnikova, E; Sivkov, A; Skok, N; Skorokhodova, S; Smirnova, E; Sokolova, G; Sopin, V; Spasovski, Y; Stepanov, S; Stratiy, V; Strekalovskaya, V; Sukhov, A; Suleymanova, G; Sultangareeva, L; Teleganova, V; Teplov, V; Teplova, V; Tertitsa, T; Timoshkin, V; Tirski, D; Tolmachev, A; Tomilin, A; Tselishcheva, L; Turgunov, M; Tyukh, Y; Van, P; Van, V; Vasin, A; Vasina, A; Vekliuk, A; Vetchinnikova, L; Vinogradov, V; Volodchenkov, N; Voloshina, I; Xoliqov, T; Yablonovska-Grishchenko, E; Yakovlev, V; Yakovleva, M; Yantser, O; Yarema, Y; Zahvatov, A; Zakharov, V; Zelenetskiy, N; Zheltukhin, A; Zubina, T; Kurhinen, J; Ovaskainen, O</t>
  </si>
  <si>
    <t>Roslin, Tomas; Antao, Laura; Hallfors, Maria; Meyke, Evgeniy; Lo, Coong; Tikhonov, Gleb; Delgado, Maria del Mar; Gurarie, Eliezer; Abadonova, Marina; Abduraimov, Ozodbek; Adrianova, Olga; Akimova, Tatiana; Akkiev, Muzhigit; Ananin, Aleksandr; Andreeva, Elena; Andriychuk, Natalia; Antipin, Maxim; Arzamascev, Konstantin; Babina, Svetlana; Babushkin, Miroslav; Bakin, Oleg; Barabancova, Anna; Basilskaja, Inna; Belova, Nina; Belyaeva, Natalia; Bespalova, Tatjana; Bisikalova, Evgeniya; Bobretsov, Anatoly; Bobrov, Vladimir; Bobrovskyi, Vadim; Bochkareva, Elena; Bogdanov, Gennady; Bolshakov, Vladimir; Bondarchuk, Svetlana; Bukharova, Evgeniya; Butunina, Alena; Buyvolov, Yuri; Buyvolova, Anna; Bykov, Yuri; Chakhireva, Elena; Chashchina, Olga; Cherenkova, Nadezhda; Chistjakov, Sergej; Chuhontseva, Svetlana; Davydov, Evgeniy A.; Demchenko, Viktor; Diadicheva, Elena; Dobrolyubov, Aleksandr; Dostoyevskaya, Ludmila; Drovnina, Svetlana; Drozdova, Zoya; Dubanaev, Akynaly; Dubrovsky, Yuriy; Elsukov, Sergey; Epova, Lidia; Ermakova, Olga; Ermakova, Olga S.; Ershkova, Elena; Esengeldenova, Aleksandra; Evstigneev, Oleg; Fedchenko, Irina; Fedotova, Violetta; Filatova, Tatiana; Gashev, Sergey; Gavrilov, Anatoliy; Gaydysh, Irina; Golovcov, Dmitrij; Goncharova, Nadezhda; Gorbunova, Elena; Gordeeva, Tatyana; Grishchenko, Vitaly; Gromyko, Ludmila; Hohryakov, Vladimir; Hritankov, Alexander; Ignatenko, Elena; Igosheva, Svetlana; Ivanova, Uliya; Ivanova, Natalya; Kalinkin, Yury; Kaygorodova, Evgeniya; Kazansky, Fedor; Kiseleva, Darya; Knorre, Anastasia; Kolpashikov, Leonid; Korobov, Evgenii; Korolyova, Helen; Korotkikh, Natalia; Kosenkov, Gennadiy; Kossenko, Sergey; Kotlugalyamova, Elvira; Kozlovsky, Evgeny; Kozsheechkin, Vladimir; Kozurak, Alla; Kozyr, Irina; Krasnopevtseva, Aleksandra; Kruglikov, Sergey; Kuberskaya, Olga; Kudryavtsev, Aleksey; Kulebyakina, Elena; Kulsha, Yuliia; Kupriyanova, Margarita; Kurbanbagamaev, Murad; Kutenkov, Anatoliy; Kutenkova, Nadezhda; Kuyantseva, Nadezhda; Kuznetsov, Andrey; Larin, Evgeniy; Lebedev, Pavel; Litvinov, Kirill; Luzhkova, Natalia; Mahmudov, Azizbek; Makovkina, Lidiya; Mamontov, Viktor; Mayorova, Svetlana; Megalinskaja, Irina; Meydus, Artur; Minin, Aleksandr; Mitrofanov, Oleg; Motruk, Mykhailo; Myslenkov, Aleksandr; Nasonova, Nina; Nemtseva, Natalia; Nesterova, Irina; Nezdoliy, Tamara; Niroda, Tatyana; Novikova, Tatiana; Panicheva, Darya; Pavlov, Alexey; Pavlova, Klara; Podolski, Sergei; Polikarpova, Natalja; Polyanskaya, Tatiana; Pospelov, Igor; Pospelova, Elena; Prokhorov, Ilya; Prokosheva, Irina; Puchnina, Lyudmila; Putrashyk, Ivan; Raiskaya, Julia; Rozhkov, Yuri; Rozhkova, Olga; Rudenko, Marina; Rybnikova, Irina; Rykova, Svetlana; Sahnevich, Miroslava; Samoylov, Alexander; Sanko, Valeri; Sapelnikova, Inna; Sazonov, Sergei; Selyunina, Zoya; Shalaeva, Ksenia; Shashkov, Maksim; Shcherbakov, Anatoliy; Shevchyk, Vasyl; Shubin, Sergej; Shujskaja, Elena; Sibgatullin, Rustam; Sikkila, Natalia; Sitnikova, Elena; Sivkov, Andrei; Skok, Nataliya; Skorokhodova, Svetlana; Smirnova, Elena; Sokolova, Galina; Sopin, Vladimir; Spasovski, Yurii; Stepanov, Sergei; Stratiy, Vitaliy; Strekalovskaya, Violetta; Sukhov, Alexander; Suleymanova, Guzalya; Sultangareeva, Lilija; Teleganova, Viktorija; Teplov, Viktor; Teplova, Valentina; Tertitsa, Tatiana; Timoshkin, Vladislav; Tirski, Dmitry; Tolmachev, Andrej; Tomilin, Aleksey; Tselishcheva, Ludmila; Turgunov, Mirabdulla; Tyukh, Yurij; Van, Polina; Van, Vladimir; Vasin, Aleksander; Vasina, Aleksandra; Vekliuk, Anatoliy; Vetchinnikova, Lidia; Vinogradov, Vladislav; Volodchenkov, Nikolay; Voloshina, Inna; Xoliqov, Tura; Yablonovska-Grishchenko, Eugenia; Yakovlev, Vladimir; Yakovleva, Marina; Yantser, Oksana; Yarema, Yurij; Zahvatov, Andrey; Zakharov, Valery; Zelenetskiy, Nicolay; Zheltukhin, Anatolii; Zubina, Tatyana; Kurhinen, Juri; Ovaskainen, Otso</t>
  </si>
  <si>
    <t>Phenological shifts of abiotic events, producers and consumers across a continent</t>
  </si>
  <si>
    <t>CLIMATE-CHANGE; FLOWERING PHENOLOGY; TROPHIC LEVELS; RESPONSES; COMMUNITY; VARIABILITY; IMPACTS; MARINE; AUTUMN; SEASON</t>
  </si>
  <si>
    <t>Ongoing climate change can shift organism phenology in ways that vary depending on species, habitats and climate factors studied. To probe for large-scale patterns in associated phenological change, we use 70,709 observations from six decades of systematic monitoring across the former Union of Soviet Socialist Republics. Among 110 phenological events related to plants, birds, insects, amphibians and fungi, we find a mosaic of change, defying simple predictions of earlier springs, later autumns and stronger changes at higher latitudes and elevations. Site mean temperature emerged as a strong predictor of local phenology, but the magnitude and direction of change varied with trophic level and the relative timing of an event. Beyond temperature-associated variation, we uncover high variation among both sites and years, with some sites being characterized by disproportionately long seasons and others by short ones. Our findings emphasize concerns regarding ecosystem integrity and highlight the difficulty of predicting climate change outcomes. The authors use systematic monitoring across the former USSR to investigate phenological changes across taxa. The long-term mean temperature of a site emerged as a strong predictor of phenological change, with further imprints of trophic level, event timing, site, year and biotic interactions.</t>
  </si>
  <si>
    <t>[Roslin, Tomas] Swedish Univ Agr Sci, Dept Ecol, Uppsala, Sweden; [Roslin, Tomas; Antao, Laura; Hallfors, Maria; Lo, Coong; Kurhinen, Juri; Ovaskainen, Otso] Univ Helsinki, Helsinki, Finland; [Meyke, Evgeniy] EarthCape OY, Helsinki, Finland; [Tikhonov, Gleb] Aalto Univ, Dept Comp Sci, Espoo, Finland; [Delgado, Maria del Mar] Oviedo Univ, Res Unit Biodivers UMIB, UO CSIC PA, Mieres, Spain; [Gurarie, Eliezer] Univ Maryland, 3237 Biol Psychol Bldg, College Pk, MD 20742 USA; [Abadonova, Marina] Natl Pk Orlovskoe Polesie, Oryol, Russia; [Abduraimov, Ozodbek; Mahmudov, Azizbek; Turgunov, Mirabdulla] Acad Sci Uzbek, Inst Bot, Tashkent, Uzbekistan; [Adrianova, Olga; Gaydysh, Irina; Sikkila, Natalia] Kostomuksha Nat Reserve, Kostomuksha, Russia; [Akimova, Tatiana; Chuhontseva, Svetlana; Gorbunova, Elena; Kalinkin, Yury; Korolyova, Helen; Mitrofanov, Oleg; Sahnevich, Miroslava; Yakovlev, Vladimir; Zubina, Tatyana] Altai State Nat Biosphere Reserve, Gorno Altaysk, Russia; [Akkiev, Muzhigit] Kabardino Balkarski Nat Reserve, Kashkhatau, Russia; [Ananin, Aleksandr; Bukharova, Evgeniya; Luzhkova, Natalia] FSE Zapovednoe Podlemorye, Ust Bargizin, Russia; [Ananin, Aleksandr] Russian Acad Sci, Siberian Branch, Inst Gen &amp; Expt Biol, Ulan Ude, Russia; [Andreeva, Elena; Goncharova, Nadezhda; Hritankov, Alexander; Knorre, Anastasia; Kozsheechkin, Vladimir; Timoshkin, Vladislav] State Nat Reserve Stolby, Krasnoyarsk, Russia; [Andriychuk, Natalia; Kozurak, Alla; Vekliuk, Anatoliy] Carpathian Biosphere Reserve, Rakhiv, Ukraine; [Antipin, Maxim] Nizhne Svirsky State Nat Reserve, Lodeinoe Pole, Russia; [Arzamascev, Konstantin] State Nat Reserve Prisursky, Cheboksary, Russia; [Babina, Svetlana] Pribajkalsky Natl Pk, Zapovednoe Pribajkalje Bajkalo Lensky State Nat R, Irkutsk, Russia; [Babushkin, Miroslav; Kuznetsov, Andrey; Nemtseva, Natalia; Rybnikova, Irina; Zelenetskiy, Nicolay] Darwin Nat Biosphere Reserve, Borok, Russia; [Bakin, Oleg; Chakhireva, Elena; Pavlov, Alexey] Volzhsko Kamsky Natl Nat Biosphere Rezerve, Sadovy, Russia; [Barabancova, Anna; Tolmachev, Andrej] FGBU Natl Pk Shushenskiy Bor, Shushenskoe, Russia; [Basilskaja, Inna; Sapelnikova, Inna] Voronezhsky Nat Biosphere Reserve, Voronezh, Russia; [Belova, Nina; Ermakova, Olga; Kozyr, Irina; Krasnopevtseva, Aleksandra; Volodchenkov, Nikolay] Baikalsky State Nat Biosphere Reserve, Tankhoy, Russia; [Belyaeva, Natalia; Sibgatullin, Rustam] Visimsky Nat Biosphere Reserve, Kirovgrad, Russia; [Bespalova, Tatjana; Butunina, Alena; Esengeldenova, Aleksandra; Korotkikh, Natalia; Larin, Evgeniy] Kondinskie Lakes Natl Pk, Sovietsky, Russia; [Bisikalova, Evgeniya] FSBI United Adm Kedrovaya Pad State Biosphere Nat, Vladivostok, Russia; [Bisikalova, Evgeniya] Leopards Land Natl Pk, Vladivostok, Russia; [Bobretsov, Anatoly; Kurbanbagamaev, Murad; Megalinskaja, Irina; Teplov, Viktor; Teplova, Valentina; Tertitsa, Tatiana] Pechoro Ilych State Nat Reserve, Yaksha, Russia; [Bobrov, Vladimir; Pospelov, Igor] AN Severtsov Inst Ecol &amp; Evolut, Moscow, Russia; [Bobrovskyi, Vadim; Kuberskaya, Olga; Van, Polina; Van, Vladimir] FGBU Zapovednoye Priamurye, Komsomolskiy Dept, Komsomolsk On Amur, Russia; [Bochkareva, Elena; Davydov, Evgeniy A.] Tigirek State Nat Reserve, Barnaul, Russia; [Bochkareva, Elena] Russian Acad Sci, Siberian Branch, Inst Systemat &amp; Ecol Anim, Novosibirsk, Russia; [Bogdanov, Gennady] State Nat Reserve Bolshaya Kokshaga, Yoshkar Ola, Russia; [Bolshakov, Vladimir] Russian Acad Sci, Ural Branch, Inst Plant &amp; Anim Ecol, Ekaterinburg, Russia; [Bondarchuk, Svetlana; Elsukov, Sergey; Gromyko, Ludmila; Nesterova, Irina; Smirnova, Elena] Sikhote Alin State Nat Biosphere Reserve, Terney, Russia; [Buyvolov, Yuri; Sokolova, Galina] FSBI Prioksko Terrasniy State Reserve, Danky, Russia; [Buyvolova, Anna; Prokhorov, Ilya] Lomonosov Moscow State Univ, Moscow, Russia; [Bykov, Yuri; Drozdova, Zoya; Mayorova, Svetlana] Natl Pk Meshchera, Gus Hrustalnyi, Russia; [Chashchina, Olga; Kuyantseva, Nadezhda; Zakharov, Valery] Russian Acad Sci, Ural Branch, South Urals Fed Res Ctr Mineral &amp; Geoecol, Ilmeny State Reserve, Miass, Russia; [Cherenkova, Nadezhda; Drovnina, Svetlana; Samoylov, Alexander] FGBU Natl Pk Kenozersky, Arkhangelsk, Russia; [Chistjakov, Sergej] FGBU GPZ Kologrivskij MG Sinicina, Kologriv, Russia; [Davydov, Evgeniy A.] Altai State Univ, Barnaul, Russia; [Demchenko, Viktor; Diadicheva, Elena; Sanko, Valeri] Pryazovskyi Natl Nat Pk, Melitopol, Ukraine; [Dobrolyubov, Aleksandr; Kudryavtsev, Aleksey] State Nat Reserve Privolzhskaya Lesostep, Penza, Russia; [Dostoyevskaya, Ludmila; Fedotova, Violetta; Lebedev, Pavel] Russian Acad Sci, Komarov Bot Inst, St Petersburg, Russia; [Dubanaev, Akynaly] Sary Chelek State Nat Reserve, Aksu, Kyrgyzstan; [Dubrovsky, Yuriy] Inst Evolutionary Ecol NAS Ukraine, Kiev, Ukraine; [Epova, Lidia] FGBU State Nat Reserve Kuznetsk Alatau, Mezhdurechensk, Russia; [Ermakova, Olga S.] Kerzhenskiy State Nat Biosphere Reserve, Nizhnii Novgorod, Russia; [Ershkova, Elena] Mordovia State Nat Reserve, FSBI United Adm, Saransk, Russia; [Ershkova, Elena] Natl Pk Smolny, Saransk, Russia; [Ershkova, Elena] Ogarev Mordovia State Univ, Saransk, Russia; [Evstigneev, Oleg; Kaygorodova, Evgeniya; Kossenko, Sergey; Kruglikov, Sergey; Sitnikova, Elena] Bryansk Forest Nat Reserve, Nerussa, Russia; [Fedchenko, Irina; Puchnina, Lyudmila; Rykova, Svetlana; Sivkov, Andrei] Pinezhsky State Nat Reserve, Pinega, Russia; [Filatova, Tatiana] Cent Chernozem State Biosphere Nat Reserve, Kurskiy, Russia; [Gashev, Sergey] Tyumen State Univ, Tyumen, Russia; [Gavrilov, Anatoliy; Kolpashikov, Leonid; Pospelova, Elena; Strekalovskaya, Violetta] Reserves Taimyr, Norilsk, Russia; [Golovcov, Dmitrij] Chatkalski Natl Pk, Toshkent, Uzbekistan; [Gordeeva, Tatyana; Teleganova, Viktorija] Natl Pk Ugra, Kaluga, Russia; [Grishchenko, Vitaly; Kulsha, Yuliia; Shevchyk, Vasyl; Yablonovska-Grishchenko, Eugenia] Kaniv Nat Reserve, Kaniv, Ukraine; [Hohryakov, Vladimir; Kosenkov, Gennadiy; Shalaeva, Ksenia] Smolenskoe Poozerje Natl Pk, Przhevalskoe, Russia; [Ignatenko, Elena; Pavlova, Klara; Podolski, Sergei] FSBI Zeya State Nat Reserve, Zeya, Russia; [Igosheva, Svetlana; Novikova, Tatiana] Polistovsky State Nat Reserve, Pskov, Russia; [Ivanova, Uliya; Kupriyanova, Margarita; Nezdoliy, Tamara; Skok, Nataliya; Yantser, Oksana] Ural State Pedag Univ, Ekaterinburg, Russia; [Ivanova, Natalya; Shashkov, Maksim] Russian Acad Sci, Inst Appl Math, Branch Keldysh, Inst Math Problems Biol RAS, Pushchino, Russia; [Kazansky, Fedor; Panicheva, Darya] Kronotsky Fed Nat Biosphere Reserve, Yelizovo, Russia; [Kiseleva, Darya] Zhiguli Nat Reserve, P Bakhilova Polyana, Russia; [Knorre, Anastasia] Siberian Fed Univ, Inst Ecol &amp; Geog, Krasnoyarsk, Russia; [Korobov, Evgenii; Shujskaja, Elena; Stepanov, Sergei; Zheltukhin, Anatolii] Cent Forest State Nat Biosphere Reserve, Tver, Russia; [Kotlugalyamova, Elvira; Sultangareeva, Lilija] Natl Pk Bashkirija, Nurgush, Russia; [Kozlovsky, Evgeny] State Nat Reserve Kurilsky, Juzhno Kurilsk, Russia; [Kulebyakina, Elena; Mamontov, Viktor] Vodlozersky Natl Pk, Petrozavodsk, Russia; [Kutenkov, Anatoliy; Kutenkova, Nadezhda; Shcherbakov, Anatoliy; Skorokhodova, Svetlana; Sukhov, Alexander; Yakovleva, Marina] State Nat Reserve Kivach, Kondopoga, Russia; [Kuyantseva, Nadezhda] South Ural Fed Univ, Miass, Russia; [Lebedev, Pavel] St Petersburg State Forest Tech Univ, St Petersburg, Russia; [Litvinov, Kirill] Astrakhan Biosphere Reserve, Astrakhan, Russia; [Makovkina, Lidiya; Myslenkov, Aleksandr; Voloshina, Inna] Lazovsky State Reserve, FSBI United Adm, Lazo, Russia; [Makovkina, Lidiya; Myslenkov, Aleksandr; Voloshina, Inna] Natl Pk Zov Tigra, Lazo, Russia; [Meydus, Artur; Raiskaya, Julia; Sopin, Vladimir] State Nat Reserve Tungusskiy, Krasnoyarsk, Russia; [Meydus, Artur] Krasnoyarsk State Pedag Univ, Krasnoyarsk, Russia; [Minin, Aleksandr] Russian Acad Sci, Inst Geog, Moscow, Russia; [Minin, Aleksandr] Russian Acad Sci, Koltzov Inst Dev Biol, Moscow, Russia; [Motruk, Mykhailo] Carpathian Natl Nat Pk, Yaremche, Ukraine; [Nasonova, Nina] State Environm Inst Natl Pk Braslav Lakes, Braslav, BELARUS; [Niroda, Tatyana; Putrashyk, Ivan; Tyukh, Yurij; Yarema, Yurij] Natl Pk Synevyr, Synevyr Ostriki, Ukraine; [Polikarpova, Natalja] Pasvik State Nat Reserve, Nikel, Russia; [Polyanskaya, Tatiana] Mari Chodra Natl Pk, Krasnogorsky, Russia; [Prokosheva, Irina] State Nat Reserve Vishersky, Krasnovishersk, Russia; [Rozhkov, Yuri; Rozhkova, Olga; Tirski, Dmitry] State Nat Reserve Olekminsky, Olekminsk, Russia; [Rudenko, Marina] Crimea Nat Reserve, Alushta, Crimea, Ukraine; [Sazonov, Sergei; Vetchinnikova, Lidia; Kurhinen, Juri] Russian Acad Sci, Forest Res Inst, Karelian Res Ctr, Petrozavodsk, Russia; [Selyunina, Zoya] Black Sea Biosphere Reserve, Hola Prystan, Ukraine; [Shashkov, Maksim] Russian Acad Sci, Inst Physicochem &amp; Biol Problems Soil Sci, Pushchino, Russia; [Shubin, Sergej; Tselishcheva, Ludmila] State Nat Reserve Nurgush, Kirov, Russia; [Spasovski, Yurii] Minist Nat Resources, Caucasian State Biosphere Reserve, Maykop, Russia; [Stratiy, Vitaliy] Natl Nat Pk Vyzhnytskiy, Berehomet, Ukraine; [Suleymanova, Guzalya] Natl Pk Khvalynsky, Khvalynsk, Russia; [Tomilin, Aleksey] Arctic &amp; Antarctic Res Inst, State Res Ctr, St Petersburg, Russia; [Tomilin, Aleksey] Informat Analyt Ctr Protected Areas, Moscow, Russia; [Vasin, Aleksander; Vasina, Aleksandra] State Nat Reserve Malaya Sosva, Sovetskiy, Russia; [Vinogradov, Vladislav] Krasnoyarsk State Med Univ, Krasnoyarsk, Russia; [Xoliqov, Tura] Surhanskiy State Nat Reserve, Sherabad, Uzbekistan; [Zahvatov, Andrey] Mordovia State Nat Reserve, Pushta, Russia; [Ovaskainen, Otso] Norwegian Univ Sci &amp; Technol, Dept Biol, Ctr Biodivers Dynam, Trondheim, Norway</t>
  </si>
  <si>
    <t>Swedish University of Agricultural Sciences; University of Helsinki; Aalto University; Consejo Superior de Investigaciones Cientificas (CSIC); University System of Maryland; University of Maryland College Park; Academy of Sciences of Uzbekistan; Institute of Botany, Uzbekistan; Russian Academy of Sciences; Russian Academy of Sciences; Saratov Scientific Center of the Russian Academy of Sciences; Severtsov Institute of Ecology &amp; Evolution; Russian Academy of Sciences; Russian Academy of Sciences; Institute of Plant &amp; Animal Ecology of the Russian Academy of Sciences; Lomonosov Moscow State University; Russian Academy of Sciences; Ilmen State Reserve; Altai State University; Russian Academy of Sciences; Komarov Botanical Institute, Russian Academy of Sciences; Mordovian State University; Tyumen State University; Ministry of Education &amp; Science of Ukraine; Taras Shevchenko National University of Kyiv; Ural State Pedagogical University; Russian Academy of Sciences; Siberian Federal University; South Ural State University; Saint Petersburg State Forest Technical University; Krasnoyarsk State Pedagogical University; Institute of Geography, Russian Academy of Sciences; Russian Academy of Sciences; Russian Academy of Sciences; Koltzov Institute of Developmental Biology of the Russian Academy of Sciences; Russian Academy of Sciences; Karelian Research Centre of the Russian Academy of Sciences; Forest Research Institute of Karelian Research Centre Russian Academy of Sciences; Russian Academy of Sciences; Pushchino Scientific Center for Biological Research (PSCBI) of the Russian Academy of Sciences; Institute of Physicohemical &amp; Biological Problems of Soil Science; Arctic &amp; Antarctic Research Institute; Krasnoyarsk State Medical University; Norwegian University of Science &amp; Technology (NTNU)</t>
  </si>
  <si>
    <t>Roslin, T (corresponding author), Swedish Univ Agr Sci, Dept Ecol, Uppsala, Sweden.;Roslin, T (corresponding author), Univ Helsinki, Helsinki, Finland.</t>
  </si>
  <si>
    <t>tomas.roslin@slu.se</t>
  </si>
  <si>
    <t>Filatova, Tatiana/K-8233-2016; Gurarie, Eliezer/AGI-0958-2022; Davydov, Evgeny/K-4521-2013; Akimova, Tatiana/ABB-7046-2021; Ivanova, Uliya/JFS-6652-2023; Minin, Alexander Andreevich/AAG-4502-2021; Pavlov, Alexey Vladilenovich/ABB-8215-2021; Ivanova, Natalya/N-8890-2013; Abduraimov, Ozodbek/AAB-7110-2022; Ovaskainen, Otso/D-9119-2012; Ovaskainen, Otso/AGN-4838-2022; Ershkova, Elena/ABC-1891-2021; Мамонтов, Виктор/AAP-2271-2021; Янцер, Оксана/JFS-1518-2023; Knorre, Anastasia/ABB-8057-2021; Chashchina, Olga/AAI-6551-2021; Bondarchuk, Svetlana Nikolaevna/ABB-6725-2021; Buyvolov, Yury A./A-7058-2013; Korotkikh, Natalia/JPL-4580-2023; Meidus, Artur/ABA-7610-2021; Epova, Lidia/KHD-1388-2024; Ван, Полина/GQS-8107-2022; PROKHOROV, ILYA/AAY-3571-2020; Mahmudov, Azizbek/CAG-1050-2022; Litvinov, Kirill/AAU-5669-2021; Antão, Laura/GPX-7616-2022; Chashchina, Olga E/I-8574-2018; Turgunov, Mirabdulla Dexkanovich/AFJ-4086-2022; Vetchinnikova, Lidia/J-5665-2018; Lebedev, Pavel/AAF-5068-2021; Babushkin, Miroslav/ABB-7041-2021; Zakharov, Valery P/K-3410-2013; Kazansky, Fedor/ABC-6928-2021; Igor, Pospelov/S-7976-2016; Roslin, Tomas/E-8648-2016</t>
  </si>
  <si>
    <t>Gurarie, Eliezer/0000-0002-8666-9674; Davydov, Evgeny/0000-0002-2316-8506; Ivanova, Uliya/0000-0001-7918-5324; Ivanova, Natalya/0000-0003-4199-5924; Ovaskainen, Otso/0000-0001-9750-4421; Ovaskainen, Otso/0000-0001-9750-4421; Ershkova, Elena/0000-0001-6998-3496; Мамонтов, Виктор/0000-0002-2611-8942; Buyvolov, Yury A./0000-0003-1350-2088; Meidus, Artur/0000-0003-4974-7909; Ван, Полина/0000-0001-7588-7003; PROKHOROV, ILYA/0000-0001-6109-4977; Antão, Laura/0000-0001-6612-9366; Turgunov, Mirabdulla Dexkanovich/0000-0003-2404-4262; Vetchinnikova, Lidia/0000-0003-2091-905X; Lebedev, Pavel/0000-0002-1848-7588; Zakharov, Valery P/0000-0002-0597-3122; Hallfors, Maria H/0000-0002-6890-8942; Sapelnikova, Inna/0000-0001-5375-260X; Bockareva, Elena/0000-0003-3428-944X; Epova, Lidia/0000-0002-6052-3263; Suleymanova, Gusaliya/0000-0003-4722-6608; Bykov, Yuri/0000-0001-5016-4714; Minin, Alexander/0000-0002-8006-819X; Meyke, Evgeniy/0000-0003-1986-2631; Akimova, Tat'ana/0000-0003-4751-7587; Igor, Pospelov/0000-0001-9564-5589; Litvinov, Kirill/0000-0001-9413-6440; Roslin, Tomas/0000-0002-2957-4791; Delgado, Maria del Mar/0000-0002-3009-738X; Rudenko, Marina/0000-0002-5859-7212; Babina, Svetlana/0000-0002-5371-9399; Kozyr, Irina/0000-0003-0829-1650; Lo, Coong/0000-0002-5214-452X; Tikhonov, Gleb/0000-0003-3040-0307; Cherenkova, Nadezhda/0000-0002-7843-4189; Kurhinen, Juri/0000-0002-9874-3501; Vasyl, Shevchyk V.L./0000-0001-5981-3776</t>
  </si>
  <si>
    <t>Academy of Finland [250243, 284601, 309581]; European Research Council [205905, 856506 -LIFEPLAN]; Nordic Environment Finance Corporation; Jane and Aatos Erkko Foundation; University of Helsinki HiLIFE Fellow Grant 2017-2020; Research Council of Norway through its Centres of Excellence Funding Scheme via Centre for Biodiversity Dynamics [223257]; Kone Foundation [44-6977, 55-14839]; Spanish Ramon y Cajal grant [RYC-2014-16263]; Federal Budget for the Forest Research Institute of Karelian Research Centre Russian Academy of Sciences [220-2017-0003, 0220-2017-0005]; Russian Foundation for Basic Research [16-08-00510]; Ministry of Education and Science of the Russian Federation [0017-2019-0009]; Academy of Finland (AKA) [250243] Funding Source: Academy of Finland (AKA)</t>
  </si>
  <si>
    <t>Academy of Finland(Research Council of Finland); European Research Council(European Research Council (ERC)); Nordic Environment Finance Corporation; Jane and Aatos Erkko Foundation; University of Helsinki HiLIFE Fellow Grant 2017-2020; Research Council of Norway through its Centres of Excellence Funding Scheme via Centre for Biodiversity Dynamics; Kone Foundation; Spanish Ramon y Cajal grant(Spanish Government); Federal Budget for the Forest Research Institute of Karelian Research Centre Russian Academy of Sciences; Russian Foundation for Basic Research(Russian Foundation for Basic Research (RFBR)Spanish Government); Ministry of Education and Science of the Russian Federation(Ministry of Education and Science, Russian Federation); Academy of Finland (AKA)</t>
  </si>
  <si>
    <t>The field work was conducted as part of the monitoring programme of nature reserves, Chronicles of Nature. The work was financially supported by the Academy of Finland, grants 250243 (O.O.), 284601 (O.O.), 309581 (O.O.); the European Research Council, ERC Starting Grant 205905 (O.O.) and Synergy Grant 856506 -LIFEPLAN (to O.O. and T.R.); Nordic Environment Finance Corporation Grant (O.O.); Jane and Aatos Erkko Foundation Grant (O.O., T.R., M.H., L.A.); University of Helsinki HiLIFE Fellow Grant 2017-2020 (O.O.); and the Research Council of Norway through its Centres of Excellence Funding Scheme (223257) to O.O. via Centre for Biodiversity Dynamics; the Kone Foundation 44-6977 (M.D.) and 55-14839 (G.T.); a Spanish Ramon y Cajal grant RYC-2014-16263 (M.D.); the Federal Budget for the Forest Research Institute of Karelian Research Centre Russian Academy of Sciences 220-2017-0003, 0220-2017-0005 (L.V., S.S. and J.K.); the Russian Foundation for Basic Research Grant 16-08-00510 (L.K.), and the Ministry of Education and Science of the Russian Federation 0017-2019-0009 (Keldysh Institute of Applied Mathematics, Russian Academy of Sciences) (N.I., M. Shashkov). We also thank additional colleagues contributing to data collection, especially A. Beshkarev, G. Bushmakova, T. Butorina, L. Chrevova, A. Esipov, N. Gordienko, E. Kireeva, V. Koltsova, I. Kurakina, V. Likhvar, I. Likhvar, D. Mirsaitov, M. Nanynets, L. Ovcharenko, L. Rassohina, E. Romanova, A. Shelekhov, N. Shirshova, D. Sizhko, I. Sorokin, H. Subota, V. Syzhko, G. Talanova, P. Valizer and A. Zakusov.</t>
  </si>
  <si>
    <t>10.1038/s41558-020-00967-7</t>
  </si>
  <si>
    <t>QR4NH</t>
  </si>
  <si>
    <t>WOS:000612576900001</t>
  </si>
  <si>
    <t>Abkenar, AM; Yahyavi, M; Esmaeili, N; Rombenso, A</t>
  </si>
  <si>
    <t>Abkenar, Ali Mahdi; Yahyavi, Maziar; Esmaeili, Noah; Rombenso, Artur</t>
  </si>
  <si>
    <t>High bioaccumulation factors and ecological risk index of Cd and Hg in Indian white shrimp, hooded oyster, brown algae, and Sediment in northern coasts of the Gulf of Oman before and after a monsoon</t>
  </si>
  <si>
    <t>Bioaccumulation; Contamination; Hooded oyster; Indian white shrimp; Metals; Monsoon; Oman Sea; Risk assessment</t>
  </si>
  <si>
    <t>HEAVY-METAL CONCENTRATIONS; PERSIAN-GULF; TRACE-METALS; SACCOSTREA-CUCULLATA; MARINE ORGANISMS; FISHED SHRIMPS; SOFT-TISSUE; CONTAMINATION; POLLUTION; SEA</t>
  </si>
  <si>
    <t>This study analyzed the concentrations (dry weight basis) and bioaccumulation factors (BAF) of copper (Cu), lead (Pb), cadmium (Cd), and mercury (Hg) in pre- and post-monsoon samples at five stations (Chabahar, Darak, Gowatr, Jask, and Pozm) in the Gulf of Oman. For this purpose, ten samples of hooded oyster Saccostrea cucullata, brown algae Sargassum ilicifolium, and Indian white shrimp Penaeus indicus were collected once a month during fall and spring (a total of 60 samples were obtained from each species per station). Additionally, sediment samples were collected three times a month during these two seasons (ten samples per each season). Our results indicated that metal concentrations were lower than the maximum permitted limit in the sediment across the tested stations (&lt;0.42 ppm). In both seasons, the highest concentrations of metals in the sediment were found in Chabahar, followed by Jask. The concentration of Hg was higher in the Indian white shrimp (0.16 ppm) and hooded oyster (0.20 ppm) than in the standard (0.10 ppm), while for other metals and tissues the concentrations were lower than the standard level. Also, BAF of Hg was higher than the standard permissible level in Jask(spring: 109.71%) and Pozm station (spring: 123.12%, fall: 125.76%). Except for Cd and Cu at the Chabahar station, the monsoon did not have any significant effect on metal concentrations and bioaccumulation. Preventive measures and management strategies are required as these concentrations and BAF of metals can become an actual threat to the environment and human health in this area. Crown Copyright (C) 2020 Published by Elsevier B.V. All rights reserved.</t>
  </si>
  <si>
    <t>[Abkenar, Ali Mahdi] Islamic Azad Univ, Chabahar Branch, Dept Fisheries, POB 5871743671, Chabahar, Iran; [Yahyavi, Maziar] Islamic Azad Univ, Bandar Abbas Branch, Dept Fisheries, Bandar Abbas, Iran; [Esmaeili, Noah] Univ Tasmania, Inst Marine &amp; Antarctic Studies IMAS, Hobart, Tas, Australia; [Rombenso, Artur] CSIRO, Aquaculture Program, Woorim, Qld, Australia</t>
  </si>
  <si>
    <t>Islamic Azad University; Islamic Azad University; University of Tasmania; Commonwealth Scientific &amp; Industrial Research Organisation (CSIRO)</t>
  </si>
  <si>
    <t>Abkenar, AM (corresponding author), Islamic Azad Univ, Chabahar Branch, Dept Fisheries, POB 5871743671, Chabahar, Iran.</t>
  </si>
  <si>
    <t>aliabkenar@gmail.com; maziar_yahyavi@yahoo.com; noah.esmaeili@utas.edu.au; Artur.Rombenso@csiro.au</t>
  </si>
  <si>
    <t>Rombenso, Artur N/B-6978-2019; yahyavi, maziar/AAO-1662-2021; Mahdi Abkenar, Ali/ABC-3944-2021; Esmaeili, Noah/Q-4536-2019</t>
  </si>
  <si>
    <t>yahyavi, maziar/0000-0001-5682-4365; Esmaeili, Noah/0000-0001-8704-939X; Mahdi Abkenar, Ali/0000-0003-4357-4234</t>
  </si>
  <si>
    <t>Department of Natural Resources Engineering of Islamic Azad University of Bandar Abbas</t>
  </si>
  <si>
    <t>The authors would like to express their gratitude to the Department of Natural Resources Engineering of Islamic Azad University of Bandar Abbas for their kind supports and financial resources. Also, they would like to thank Amir Hoshang Bahri for his assistance and support.</t>
  </si>
  <si>
    <t>10.1016/j.rsma.2020.101552</t>
  </si>
  <si>
    <t>SA4KS</t>
  </si>
  <si>
    <t>WOS:000649269800015</t>
  </si>
  <si>
    <t>Bhuyan, MS; Venkatramanan, S; Selvam, S; Szabo, S; Hossain, MM; Rashed-Un-Nabi, M; Paramasivam, CR; Jonathan, MP; Islam, MS</t>
  </si>
  <si>
    <t>Bhuyan, Md. Simul; Venkatramanan, S.; Selvam, S.; Szabo, Sylvia; Hossain, Md. Maruf; Rashed-Un-Nabi, Md.; Paramasivam, C. R.; Jonathan, M. P.; Islam, Md. Shafiqul</t>
  </si>
  <si>
    <t>Plastics in marine ecosystem: A review of their sources and pollution conduits</t>
  </si>
  <si>
    <t>Plastics; Plastic trash; Environmental pollution; Marine environment; Pollution</t>
  </si>
  <si>
    <t>MONOFILAMENT FISHING LINES; GANNETS MORUS-BASSANUS; ANTARCTIC FUR SEALS; BISPHENOL-A; COASTAL WATERS; FLOATING DEBRIS; BEACH LITTER; HUMAN HEALTH; RIGHT WHALE; GILL-NET</t>
  </si>
  <si>
    <t>Oceanic marine plastic contamination was an increasingly global issue due to increased demand. This has a significant effect not only on marine biodiversity, but also on public safety and numerous infectious diseases found in both aquatic and human species. A huge amount of money was spent worldwide on plastic waste. In the 1940s, plastics development began and is increasing massively. This crucial analysis intends to accomplish goals such as defining plastic materials, origins, detecting aggregation, and validating appropriate techniques to analyze plastic abundance spatio-temporal trends. This further addresses the possible impacts of plastics on marine species, humans, and future chemical emission control strategies together with advice. Plastics are primarily distributed along the coasts and mid-ocean vortex in large amounts. The broad variety of plastics, as eaten by aquatic animals finds their way to the human body through the food chain. Research articles should help learn the origins, deterioration mechanisms, and harmful effects of plastics on both the human body and the ecosystem. Until recently, the science community and politicians have generally ignored plastic waste, but ecological implications, as well as plastic pollution's economic/health effects, have now gained greater global interest. (C) 2020 Elsevier B.V. All rights reserved.</t>
  </si>
  <si>
    <t>[Bhuyan, Md. Simul; Hossain, Md. Maruf; Islam, Md. Shafiqul] Univ Chittagong, Fac Marine Sci &amp; Fisheries, Inst Marine Sci, Chittagong, Bangladesh; [Venkatramanan, S.] Ton Duc Thang Univ, Environm Qual Atmospher Sci &amp; Climate Change Res, Ho Chi Minh City, Vietnam; [Venkatramanan, S.] Ton Duc Thang Univ, Fac Environm &amp; Labour Safety, Ho Chi Minh City, Vietnam; [Selvam, S.] VO Chidambaram Coll, Dept Geol, Tuticorin, Tamil Nadu, India; [Szabo, Sylvia] Dongguk Univ, Coll Future Convergence, Dept Social Welf Counseling, Seoul 14620, South Korea; [Rashed-Un-Nabi, Md.] Univ Chittagong, Fac Marine Sci &amp; Fisheries, Dept Fisheries, Chittagong, Bangladesh; [Paramasivam, C. R.] Bule Hora Univ, Dept Surveying Engn, Bule Hora, Ethiopia; [Jonathan, M. P.] Inst Politecn Nacl IPN, Ctr Interdisciplinario Invest &amp; Estudios Medio Am, Calle 30 Junio 1520, Mexico City 07340, DF, Mexico</t>
  </si>
  <si>
    <t>University of Chittagong; Ton Duc Thang University; Ton Duc Thang University; Dongguk University; University of Chittagong</t>
  </si>
  <si>
    <t>Venkatramanan, S (corresponding author), Ton Duc Thang Univ, Ho Chi Minh City, Vietnam.</t>
  </si>
  <si>
    <t>venkatramanan@tdtu.edu.vn</t>
  </si>
  <si>
    <t>Bhuyan, Md. Simul/H-9591-2018; Venkatramanan, Dr Senapathi/K-8125-2013; S, Selvam/U-2719-2018; Jonathan, MP/AAA-4427-2020; S, Selvam/AAL-5184-2021</t>
  </si>
  <si>
    <t>Bhuyan, Md. Simul/0000-0003-3543-0556; Venkatramanan, Dr Senapathi/0000-0002-1698-1101; Jonathan, MP/0000-0001-9040-4911; S, Selvam/0000-0002-8899-3494; C R, Dr.PARAMASIVAM/0000-0002-1207-2963</t>
  </si>
  <si>
    <t>10.1016/j.rsma.2020.101539</t>
  </si>
  <si>
    <t>WOS:000649269800006</t>
  </si>
  <si>
    <t>Li, Y; Yang, SH; Wu, JJ; Gu, BZ</t>
  </si>
  <si>
    <t>Li, Yun; Yang, Shihai; Wu, Jiajia; Gu, Bozhong</t>
  </si>
  <si>
    <t>A general process model for unanticipated state recognition of a telescope drive system</t>
  </si>
  <si>
    <t>PUBLICATIONS OF THE ASTRONOMICAL SOCIETY OF JAPAN</t>
  </si>
  <si>
    <t>methods: analytical; methods: data analysis; techniques: miscellaneous; telescopes</t>
  </si>
  <si>
    <t>This paper presents a three-layer general process model for unanticipated state recognition in a telescope drive system, consisting of an anticipated fault diagnosis layer, an unanticipated normal state isolation layer, and an unanticipated fault state recognition layer. It is proposed for the first time to subdivide the unanticipated state into an unanticipated normal state and an unanticipated fault state in this paper, and to study their theories separately. Unanticipated normal state isolation rules based on angle deviation and amplitude deviation are established, as are unanticipated fault state recognition rules based on angle deviation and deviation contribution factor. Finally, normal operation data of the Antarctic Survey Telescope (AST3-3) combined with fault implantation was used to verify the validity of the model. The results show that the method can effectively carry out isolation of the unanticipated normal state and identification of the unanticipated fault state.</t>
  </si>
  <si>
    <t>[Li, Yun; Yang, Shihai; Wu, Jiajia; Gu, Bozhong] Chinese Acad Sci, Natl Astron Observ, Nanjing Inst Astron Opt &amp; Technol, Nanjing 210042, Peoples R China; [Li, Yun; Yang, Shihai; Wu, Jiajia; Gu, Bozhong] Nanjing Inst Astron Opt &amp; Technol, CAS Key Lab Astron Opt &amp; Technol, Nanjing 210042, Peoples R China; [Li, Yun; Wu, Jiajia] Univ Chinese Acad Sci, Beijing 100049,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</si>
  <si>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t>
  </si>
  <si>
    <t>Yang, SH (corresponding author), Chinese Acad Sci, Natl Astron Observ, Nanjing Inst Astron Opt &amp; Technol, Nanjing 210042, Peoples R China.;Yang, SH (corresponding author), Nanjing Inst Astron Opt &amp; Technol, CAS Key Lab Astron Opt &amp; Technol, Nanjing 210042, Peoples R China.</t>
  </si>
  <si>
    <t>shyang@niaot.ac.cn</t>
  </si>
  <si>
    <t>Yang, Shihai/J-1593-2012</t>
  </si>
  <si>
    <t>Li, Yun/0000-0003-4631-5553</t>
  </si>
  <si>
    <t>National Natural Science Foundation of China [11973065, 11373052, U1931207]; Chinese Academy of Science</t>
  </si>
  <si>
    <t>National Natural Science Foundation of China(National Natural Science Foundation of China (NSFC)); Chinese Academy of Science(Chinese Academy of Sciences)</t>
  </si>
  <si>
    <t>This project is supported by the National Natural Science Foundation of China (grant nos. 11973065, 11373052, and U1931207). The authors gratefully acknowledge the support of the National Astronomical Observatories/Nanjing Institute of Astronomical Optics &amp; Technology, Chinese Academy of Science.</t>
  </si>
  <si>
    <t>0004-6264</t>
  </si>
  <si>
    <t>2053-051X</t>
  </si>
  <si>
    <t>PUBL ASTRON SOC JPN</t>
  </si>
  <si>
    <t>Publ. Astron. Soc. Jpn.</t>
  </si>
  <si>
    <t>10.1093/pasj/psaa117</t>
  </si>
  <si>
    <t>RO2ZX</t>
  </si>
  <si>
    <t>WOS:000640917300015</t>
  </si>
  <si>
    <t>Yamashita, Y; Tosaka, T; Bamba, R; Kamezaki, R; Goto, S; Nishioka, J; Yasuda, I; Hirawake, T; Oida, J; Obata, H; Ogawa, H</t>
  </si>
  <si>
    <t>Yamashita, Youhei; Tosaka, Tetsu; Bamba, Rise; Kamezaki, Ryuichi; Goto, Shuji; Nishioka, Jun; Yasuda, Ichiro; Hirawake, Toru; Oida, Joji; Obata, Hajime; Ogawa, Hiroshi</t>
  </si>
  <si>
    <t>Widespread distribution of allochthonous fluorescent dissolved organic matter in the intermediate water of the North Pacific</t>
  </si>
  <si>
    <t>Dissolved organic matter; Visible wavelength fluorescence; Allochthonous; Shelf sediments; North Pacific intermediate water</t>
  </si>
  <si>
    <t>IRON(III) HYDROXIDE SOLUBILITY; ARCTIC GYRE EXPERIMENT; HYDROGRAPHIC STRUCTURE; VERTICAL-DISTRIBUTION; MICROBIAL-PRODUCTION; OKHOTSK SEA; TRANSPORT; CARBON; OCEAN; CIRCULATION</t>
  </si>
  <si>
    <t>Visible wavelength fluorescent dissolved organic matter (FDOM), usually defined as humic-like FDOM, plays important roles in marine carbon and iron cycles as biorefractory dissolved organic matter and organic ligands, respectively. The major fractions of FDOM in the open ocean have been considered to be of marine origin (autochthonous) according to linear relationships between FDOM and apparent oxygen utilization (AOU) in the mesopelagic (200-1000 m) and bathypelagic (&gt;1000 m) layers. Recently, Yamashita et al. (2020) quantified allochthonous FDOM from the positive deviation of the general FDOM-AOU relationship in the bathypelagic layer and found that allochthonous FDOM derived from the Sea of Okhotsk was conservatively transported to the western North Pacific through the circulation of intermediate water, including North Pacific Intermediate Water (NPIW). However, the contribution of allochthonous FDOM from the Bering Sea, the other source region of NPIW, has not been evaluated. Here, we determined the distributions of allochthonous FDOM in the entire North Pacific, including the Sea of Okhotsk and the Bering Sea, and the spatial distribution of allochthonous FDOM in the density range of NPIW for the entire North Pacific. We found that the major source region of allochthonous FDOM in NPIW was the Sea of Okhotsk but not the Bering Sea, although the water mass contributing to the lower part of NPIW is known to be mainly derived from the Bering Sea. Such different contributions of allochthonous FDOM from the marginal seas are likely due to a lack of expansion of the dense shelf water, which forms at coastal polynya and interacts with shelf sediments with a strong tidal current, to the basin region of the Bering Sea. We also demonstrated that allochthonous FDOM derived from the shelf sediments of the Sea of Okhotsk was conservatively distributed to the wide area of the North Pacific through the circulation of intermediate water, particularly the upper part of NPIW. Furthermore, the negative deviations of the FDOM-AOU relationship in the bathypelagic layer were evident for other water masses, such as Antarctic Intermediate Water (AAIW), suggesting that FDOM can help determine the spatiotemporal distribution of NPIW and its mixing with other water masses, such as AAIW.</t>
  </si>
  <si>
    <t>[Yamashita, Youhei] Hokkaido Univ, Fac Environm Earth Sci, Sapporo, Hokkaido, Japan; [Yamashita, Youhei; Tosaka, Tetsu; Bamba, Rise; Goto, Shuji; Nishioka, Jun] Hokkaido Univ, Grad Sch Environm Sci, Sapporo, Hokkaido, Japan; [Bamba, Rise; Nishioka, Jun] Hokkaido Univ, Inst Low Temp Sci, Pan Okhotsk Res Ctr, Sapporo, Hokkaido, Japan; [Kamezaki, Ryuichi] Hokkaido Univ, Sch Sci, Sapporo, Hokkaido, Japan; [Goto, Shuji; Yasuda, Ichiro; Obata, Hajime; Ogawa, Hiroshi] Univ Tokyo, Atmosphere &amp; Ocean Res Inst, Kashiwa, Chiba, Japan; [Hirawake, Toru] Hokkaido Univ, Fac Fisheries Sci, Hakodate, Hokkaido, Japan; [Hirawake, Toru; Oida, Joji] Hokkaido Univ, Grad Sch Fisheries Sci, Hakodate, Hokkaido, Japan</t>
  </si>
  <si>
    <t>Hokkaido University; Hokkaido University; Hokkaido University; Hokkaido University; University of Tokyo; Hokkaido University; Hokkaido University</t>
  </si>
  <si>
    <t>Yamashita, Y (corresponding author), Hokkaido Univ, Fac Environm Earth Sci, Sapporo, Hokkaido, Japan.;Yamashita, Y (corresponding author), Hokkaido Univ, Grad Sch Environm Sci, Sapporo, Hokkaido, Japan.</t>
  </si>
  <si>
    <t>yamashiy@ees.hokudai.ac.jp</t>
  </si>
  <si>
    <t>Nishioka, Jun/F-5314-2011</t>
  </si>
  <si>
    <t>Nishioka, Jun/0000-0003-1723-9344</t>
  </si>
  <si>
    <t>OMIX project [JP15H05817, JP15H05818, JP15H05820, JP18H04910]; Arctic Challenge for Sustainability (ArCS) project; Grant for Joint Research Program of the Institute of Low Temperature Science, Hokkaido University; [JP16H02930]; [JP17H00775]; [JP19H04249]; [JP19H04250]; Grants-in-Aid for Scientific Research [20H04965, 20H05598] Funding Source: KAKEN</t>
  </si>
  <si>
    <t>OMIX project; Arctic Challenge for Sustainability (ArCS) project; Grant for Joint Research Program of the Institute of Low Temperature Science, Hokkaido University; ; ; ; ; Grants-in-Aid for Scientific Research(Ministry of Education, Culture, Sports, Science and Technology, Japan (MEXT)Japan Society for the Promotion of ScienceGrants-in-Aid for Scientific Research (KAKENHI))</t>
  </si>
  <si>
    <t>We would like to thank the captains, crews, principal investigators, and scientists onboard the R/V Hakuho Maru, T/S Ohoro-Maru, R/V Professor Multanovskiy, and R/V Professor Khromov for their help with observations and sample collection, as well as Dr Y. Volkov, director of the Far Eastern Regional Hydrometeorological Research Institute, for cooperation with the Japanese-Russian joint research program. We also thank Drs. S. Fujio and E. Oka for providing corrected CTD data from the R/V Professor Multanovskiy (Mu-14, Mu-18) and the KH-16-3 cruises, respectively. We acknowledge two anonymous reviewers for their helpful comments and Dr. Y. Kondo for editorial assistance. This work was supported by the Grant-in-Aid for Scientific Research (Grant Numbers JP16H02930, JP17H00775, JP19H04249, JP19H04250), the Ocean mixing processes: OMIX project, (Grant Numbers JP15H05817, JP15H05818, JP15H05820, JP18H04910), the Arctic Challenge for Sustainability (ArCS) project, and the Grant for Joint Research Program of the Institute of Low Temperature Science, Hokkaido University.</t>
  </si>
  <si>
    <t>10.1016/j.pocean.2020.102510</t>
  </si>
  <si>
    <t>QH9CJ</t>
  </si>
  <si>
    <t>WOS:000618570100001</t>
  </si>
  <si>
    <t>Cha, QQ; Wang, XJ; Ren, XB; Li, D; Wang, P; Li, PY; Fu, HH; Zhang, XY; Chen, XL; Zhang, YZ; Xu, F; Qin, QL</t>
  </si>
  <si>
    <t>Cha, Qian-Qian; Wang, Xiu-Juan; Ren, Xue-Bing; Li, Dong; Wang, Peng; Li, Ping-Yi; Fu, Hui-Hui; Zhang, Xi-Ying; Chen, Xiu-Lan; Zhang, Yu-Zhong; Xu, Fei; Qin, Qi-Long</t>
  </si>
  <si>
    <t>Comparison of Alginate Utilization Pathways in Culturable Bacteria Isolated From Arctic and Antarctic Marine Environments</t>
  </si>
  <si>
    <t>alginate; polar bacteria; enzymes; transporters; biogeographic distribution</t>
  </si>
  <si>
    <t>HUMAN GUT SYMBIONT; SP NOV.; BACTEROIDES-THETAIOTAOMICRON; MOLECULAR-IDENTIFICATION; GEN. NOV.; STARCH; LYASE; CATABOLISM; ALIGNMENT; PROTEIN</t>
  </si>
  <si>
    <t>Alginate, mainly derived from brown algae, is an important carbon source that can support the growth of marine microorganisms in the Arctic and Antarctic regions. However, there is a lack of systematic investigation and comparison of alginate utilization pathways in culturable bacteria from both polar regions. In this study, 88 strains were isolated from the Arctic and Antarctic regions, of which 60 strains could grow in the medium with alginate as the sole carbon source. These alginate-utilizing strains belong to 9 genera of the phyla Proteobacteria and Bacteroidetes. The genomes of 26 alginate-utilizing strains were sequenced and genomic analyses showed that they all contain the gene clusters related to alginate utilization. The alginate transport systems of Proteobacteria differ from those of Bacteroidetes and there may be unique transport systems among different genera of Proteobacteria. The biogeographic distribution pattern of alginate utilization genes was further investigated. The alginate utilization genes are found to cluster according to bacterial taxonomy rather than geographic location, indicating that the alginate utilization genes do not evolve independently in both polar regions. This study systematically illustrates the alginate utilization pathways in culturable bacteria from the Arctic and Antarctic regions, shedding light into the distribution and evolution of alginate utilization pathways in polar bacteria.</t>
  </si>
  <si>
    <t>[Cha, Qian-Qian; Wang, Xiu-Juan; Ren, Xue-Bing; Li, Ping-Yi; Zhang, Xi-Ying; Chen, Xiu-Lan; Zhang, Yu-Zhong; Xu, Fei; Qin, Qi-Long] Shandong Univ, Marine Biotechnol Res Ctr, State Key Lab Microbial Technol, Qingdao, Peoples R China; [Li, Dong] Qingdao Vland Biotech Grp Inc, Dept Mol Biol, Qingdao, Peoples R China; [Wang, Peng; Fu, Hui-Hui; Zhang, Yu-Zhong; Qin, Qi-Long] Ocean Univ China, Coll Marine Life Sci, Frontiers Sci Ctr Deep Ocean Multispheres &amp; Earth, Qingdao, Peoples R China; [Wang, Peng; Li, Ping-Yi; Fu, Hui-Hui; Zhang, Xi-Ying; Chen, Xiu-Lan; Zhang, Yu-Zhong; Qin, Qi-Long] Qingdao Natl Lab Marine Sci &amp; Technol, Lab Marine Biol &amp; Biotechnol, Qingdao, Peoples R China</t>
  </si>
  <si>
    <t>Shandong University; Ocean University of China; Laoshan Laboratory</t>
  </si>
  <si>
    <t>Xu, F; Qin, QL (corresponding author), Shandong Univ, Marine Biotechnol Res Ctr, State Key Lab Microbial Technol, Qingdao, Peoples R China.;Qin, QL (corresponding author), Ocean Univ China, Coll Marine Life Sci, Frontiers Sci Ctr Deep Ocean Multispheres &amp; Earth, Qingdao, Peoples R China.;Qin, QL (corresponding author), Qingdao Natl Lab Marine Sci &amp; Technol, Lab Marine Biol &amp; Biotechnol, Qingdao, Peoples R China.</t>
  </si>
  <si>
    <t>15692379512@163.com; qinqilong@sdu.edu.cn</t>
  </si>
  <si>
    <t>liu, peiyao/KFT-1810-2024; sun, jiamin/JPY-2155-2023; Zhang, Xi/HJH-1211-2023; zheng, xin/JNS-5523-2023; lu, kai/KBB-4008-2024; wang, qi/ITT-9652-2023; Lin, Fan/JZT-1441-2024</t>
  </si>
  <si>
    <t>Lin, Fan/0000-0002-7330-3833</t>
  </si>
  <si>
    <t>National Key Research and Development Program of China [2018YFC1406700, 2018YFC1406702, 2016YFA0601303]; National Science Foundation of China [31870052, 31870101, 31800107, U1706207, 91751101, 41676180]; Major Scientific and Technological Innovation Project (MSTIP) of Shandong Province [2019JZZY010817]; Young Scholars Program of Shandong University [2016WLJH36, 2017WLJH57]; Program of Shandong for Taishan Scholars [tspd20181203]</t>
  </si>
  <si>
    <t>National Key Research and Development Program of China; National Science Foundation of China(National Natural Science Foundation of China (NSFC)); Major Scientific and Technological Innovation Project (MSTIP) of Shandong Province; Young Scholars Program of Shandong University; Program of Shandong for Taishan Scholars</t>
  </si>
  <si>
    <t>This work was supported by the National Key Research and Development Program of China (2018YFC1406700, 2018YFC1406702, and 2016YFA0601303), the National Science Foundation of China (Grants 31870052, 31870101, 31800107, U1706207, 91751101, and 41676180), Major Scientific and Technological Innovation Project (MSTIP) of Shandong Province (2019JZZY010817), the Program of Shandong for Taishan Scholars (tspd20181203), and the Young Scholars Program of Shandong University (2016WLJH36 and 2017WLJH57).</t>
  </si>
  <si>
    <t>JAN 27</t>
  </si>
  <si>
    <t>10.3389/fmicb.2021.609393</t>
  </si>
  <si>
    <t>QF0PP</t>
  </si>
  <si>
    <t>WOS:000616603400001</t>
  </si>
  <si>
    <t>Kim, JT; Choi, YJ; Barghi, M; Kim, JH; Jung, JW; Kim, K; Kang, JH; Lammel, G; Chang, YS</t>
  </si>
  <si>
    <t>Kim, Jun-Tae; Choi, Yun-Jeong; Barghi, Mandana; Kim, Jeong-Hoon; Jung, Jin-Woo; Kim, Kitae; Kang, Jung-Ho; Lammel, Gerhard; Chang, Yoon-Seok</t>
  </si>
  <si>
    <t>Occurrence, distribution, and bioaccumulation of new and legacy persistent organic pollutants in an ecosystem on King George Island, maritime Antarctica</t>
  </si>
  <si>
    <t>Persistent organic pollutants; Polychlorinated naphthalenes; Hexabromocyclododecane; Dechloranes; Trophic magnification factor</t>
  </si>
  <si>
    <t>SOUTH SHETLAND ISLANDS; STABLE-ISOTOPE RATIOS; LONG-RANGE TRANSPORT; DECHLORANE PLUS; TROPHIC MAGNIFICATION; FOOD-WEB; RESEARCH STATIONS; FLAME RETARDANTS; FISH; HEXABROMOCYCLODODECANE</t>
  </si>
  <si>
    <t>The occurrence and bioaccumulation of new and legacy persistent organic pollutants (POPs), organochlorine pesticides (OCPs), polychlorinated biphenyls (PCBs), polychlorinated naphthalenes (PCNs), hexabromocyclododecanes (HBCDs), and Dechlorane Plus (DPs) and their related compounds (Dechloranes) in an ecosystem on King George Island, Antarctica are investigated. The new and legacy POPs were widely detected in the animal samples collected from Antarctica, which included Limpet, Antarctic cod, Amphipods, Antarctic icefish, Gentoo and Chinstrap penguins, Kelp gull, and South polar skua. The trophic magnification factors indicated that the levels of PCNs and HBCDs, as well as the legacy POPs, were magnified through the food web, whereas DPs might be diluted through the trophic levels contradicting the classification of Dechloranes as POPs. This is one of the first extensive surveys on PCNs, HBCDs, and Dechloranes, which provides unique information on the distribution and trophic biomagnification potential of the new and legacy POPs in the Antarctic region.</t>
  </si>
  <si>
    <t>[Kim, Jun-Tae; Choi, Yun-Jeong; Barghi, Mandana; Chang, Yoon-Seok] Pohang Univ Sci &amp; Technol POSTECH, San 31, Pohang 37673, South Korea; [Kim, Jun-Tae; Kim, Jeong-Hoon; Jung, Jin-Woo; Kim, Kitae; Kang, Jung-Ho] Korea Polar Res Inst KOPRI, 26 Songdomirae Ro, Incheon 21990, South Korea; [Lammel, Gerhard] Max Planck Inst Chem, Multiphase Chem Dept, Hahn Meitner Weg 1, D-55128 Mainz, Germany; [Lammel, Gerhard] Masaryk Univ, Res Ctr Tox Cpds Environm RECETOX, Kamenice 753-5, Brno 62500, Czech Republic</t>
  </si>
  <si>
    <t>Pohang University of Science &amp; Technology (POSTECH); Korea Polar Research Institute (KOPRI); Max Planck Society; Masaryk University Brno</t>
  </si>
  <si>
    <t>Chang, YS (corresponding author), Pohang Univ Sci &amp; Technol POSTECH, San 31, Pohang 37673, South Korea.</t>
  </si>
  <si>
    <t>yschang@postech.ac.kr</t>
  </si>
  <si>
    <t>Lammel, Gerhard/ABE-1446-2021</t>
  </si>
  <si>
    <t>Lammel, Gerhard/0000-0003-2313-0628; Kim, Jun-Tae/0000-0002-4814-6127; Barghi, Mandana/0000-0001-7171-1051</t>
  </si>
  <si>
    <t>National Research Foundation of Korea (NRF) grant [NRF-2017R1A2B3012681]; Korea Polar Research Institute [PE 20030, PE 20170]</t>
  </si>
  <si>
    <t>National Research Foundation of Korea (NRF) grant(National Research Foundation of Korea); Korea Polar Research Institute(Korea Polar Research Institute of Marine Research Placement (KOPRI))</t>
  </si>
  <si>
    <t>This research was supported by the National Research Foundation of Korea (NRF) grant (No. NRF-2017R1A2B3012681) and the grants from Korea Polar Research Institute (PE 20030 and PE 20170).</t>
  </si>
  <si>
    <t>10.1016/j.jhazmat.2020.124141</t>
  </si>
  <si>
    <t>QE4CH</t>
  </si>
  <si>
    <t>WOS:000616154800003</t>
  </si>
  <si>
    <t>Djoumna, G; Mernild, SH; Holland, DM</t>
  </si>
  <si>
    <t>Djoumna, G.; Mernild, S. H.; Holland, D. M.</t>
  </si>
  <si>
    <t>Meteorological Conditions and Cloud Effects on Surface Radiation Balance Near Helheim Glacier and Jakobshavn IsbrÆ (Greenland) Using Ground-Based Observations</t>
  </si>
  <si>
    <t>surface radiation; longwave-equivalent cloudiness; cloud transmittance factor; meteorological conditions; cloud effects on radiation</t>
  </si>
  <si>
    <t>INCOMING LONGWAVE RADIATION; ICE-SHEET; SOLAR-RADIATION; ENERGY-BALANCE; MELTING GLACIERS; BARRIER WINDS; MASS-LOSS; SEA-ICE; CLIMATE; BUDGET</t>
  </si>
  <si>
    <t>The surface radiation budget is an essential component of the total energy exchange between the atmosphere and the Earth's surface. Measurements of radiative fluxes near/on ice surfaces are sparse in the polar regions, including on the Greenland Ice Sheet (GrIS), and the effects of cloud on radiative fluxes are still poorly studied. In this work, we assess the impacts of cloud on radiative fluxes using two metrics: the longwave-equivalent cloudiness, derived from long-wave radiation measurements, and the cloud transmittance factor, obtained from short-wave radiation data. The metrics are applied to radiation data from two automatic weather stations located over the bare ground near the ice front of Helheim (HG, 66.3290 degrees N, 38.1460 degrees W) and Jakobshavn Isbr AE(JI, 69.2220 degrees N, 49.8150 degrees W) on the GrIS. Comparisons of meteorological parameters, surface radiation fluxes, and cloud metrics show significant differences between the two sites. The cloud transmittance factor is higher at HG than at JI, and the incoming short-wave radiation in the summer at HG is about 50.0 W m(-2) larger than at JI. Cloud metrics derived at the two sites reveal partly cloudy conditions were frequent (42 and 65% of the period at HG and JI) with a high dependency on the wind direction. The total cloud radiative effect (CREnet) generally increases during melt season at the two stations due to long-wave CRE enhancement by cloud fraction. CREnet decreases from May to June and increases afterward, due to the strengthened short-wave CRE. The annually averaged CREnet were 3.0 +/- 7.4 W m(-2) and 1.9 +/- 15.1 W m(-2) at JI and HG. CREnet estimated from AWS indicates that clouds cool the JI and HG during melt season at different rates.</t>
  </si>
  <si>
    <t>[Djoumna, G.; Holland, D. M.] New York Univ Abu Dhabi, Abu Dhabi, U Arab Emirates; [Mernild, S. H.] Univ Southern Denmark, Vice Chancellors Off, Odense, Denmark; [Mernild, S. H.] Nansen Environm &amp; Remote Sensing Ctr, Bergen, Norway; [Mernild, S. H.] Univ Bergen, Geophys Inst, Bergen, Norway; [Mernild, S. H.] Univ Magallanes, Direct Antarctic &amp; Sub Antarctic Programs, Punta Arenas, Chile; [Holland, D. M.] NYU, Courant Inst Math Sci, New York, NY USA</t>
  </si>
  <si>
    <t>New York University Abu Dhabi; University of Southern Denmark; Nansen Environmental &amp; Remote Sensing Center (NERSC); University of Bergen; Universidad de Magallanes; New York University</t>
  </si>
  <si>
    <t>Djoumna, G (corresponding author), New York Univ Abu Dhabi, Abu Dhabi, U Arab Emirates.</t>
  </si>
  <si>
    <t>gdjoumna@gmail.com</t>
  </si>
  <si>
    <t>; Mernild, Sebastian H./M-5516-2013</t>
  </si>
  <si>
    <t>Djoumna, Georges/0000-0002-1780-7543; Mernild, Sebastian H./0000-0003-0797-3975</t>
  </si>
  <si>
    <t>National Science Foundation Office of Polar Programs [PLR-1739003]; NASA Polar Programs [NNX08AN52G]; New York University Abu Dhabi Center for Global Sea Level Change grant [G1204]; Japan Society for the Promotion of Science [S17096]; NASA [NNX08AN52G, 97611] Funding Source: Federal RePORTER</t>
  </si>
  <si>
    <t>National Science Foundation Office of Polar Programs(National Science Foundation (NSF)NSF - Directorate for Geosciences (GEO)); NASA Polar Programs; New York University Abu Dhabi Center for Global Sea Level Change grant; Japan Society for the Promotion of Science(Ministry of Education, Culture, Sports, Science and Technology, Japan (MEXT)Japan Society for the Promotion of Science); NASA(National Aeronautics &amp; Space Administration (NASA))</t>
  </si>
  <si>
    <t>This work was supported by grants from the National Science Foundation Office of Polar Programs grant PLR-1739003, NASA Polar Programs grant NNX08AN52G, and the New York University Abu Dhabi Center for Global Sea Level Change grant G1204. SM. was funded by the Japan Society for the Promotion of Science, under Project no. S17096.</t>
  </si>
  <si>
    <t>10.3389/feart.2020.616105</t>
  </si>
  <si>
    <t>QE9HN</t>
  </si>
  <si>
    <t>WOS:000616514700001</t>
  </si>
  <si>
    <t>Korczak-Abshire, M; Hinke, JT; Milinevsky, G; Juáres, MA; Watters, GM</t>
  </si>
  <si>
    <t>Korczak-Abshire, Malgorzata; Hinke, Jefferson T.; Milinevsky, Gennadi; Juares, Mariana A.; Watters, George M.</t>
  </si>
  <si>
    <t>Coastal regions of the northern Antarctic Peninsula are key for gentoo populations</t>
  </si>
  <si>
    <t>BIOLOGY LETTERS</t>
  </si>
  <si>
    <t>Pygoscelis papua; climate change; range expansion; satellite telemetry</t>
  </si>
  <si>
    <t>CLIMATE-CHANGE; PENGUIN POPULATIONS; PYGOSCELIS-PAPUA; KRILL FISHERY; DYNAMICS; VARIABILITY; ECOSYSTEMS; MANAGEMENT; SEABIRD</t>
  </si>
  <si>
    <t>Southern Ocean ecosystems are rapidly changing due to climate variability. An apparent beneficiary of such change in the western Antarctic Peninsula (WAP) is the gentoo penguin Pygoscelis papua, which has increased its population size and expanded its range southward in the last 20 years. To better understand how this species has responded to large-scale changes, we tracked individuals during the non-breeding winter period from five colonies across the latitudinal range of breeding sites in the WAP, including from a recently established colony. Results highlight latitudinal gradients in movement; strong associations with shallow, coastal habitats along the entire Antarctic Peninsula; and movements that are independent of, yet constrained by, sea ice. It is clear that coastal habitats essential to gentoo penguins during the breeding season are similarly critical during winter. Larger movements of birds from northern colonies in the WAP further suggest that leap-frog migration may influence colonization events by facilitating nest-area prospecting and use of new haul-out sites. Our results support efforts to develop a marine protected area around the WAP. Winter habitats used by gentoo penguins outline high priority areas for improving the management of the spatio-temporally concentrated krill (Euphausia superba) fishery that operates in this region during winter.</t>
  </si>
  <si>
    <t>[Korczak-Abshire, Malgorzata] Polish Acad Sci, Inst Biochem &amp; Biophys, PL-02106 Warsaw, Poland; [Hinke, Jefferson T.; Watters, George M.] Natl Marine Fisheries Serv, Antarctic Ecosyst Res Div, Southwest Fisheries Sci Ctr, Natl Ocean &amp; Atmospher Adm, La Jolla, CA 92037 USA; [Milinevsky, Gennadi] Natl Antarctic Sci Ctr Ukraine, Dept Atmospher Phys &amp; Geospace, UA-01601 Kiev, Ukraine; [Milinevsky, Gennadi] Taras Shevchenko Natl Univ Kyiv, Phys Fac, UA-01033 Kiev, Ukraine; [Juares, Mariana A.] Inst Antartico Argentino, Dept Biol Predadores Tope, B1650CSP, San Martin, Buenos Aires, Argentina; [Juares, Mariana A.] Natl Sci &amp; Tech Res Council CONICET, C1425FQB, Buenos Aires, Argentina</t>
  </si>
  <si>
    <t>Polish Academy of Sciences; Institute of Biochemistry &amp; Biophysics - Polish Academy of Sciences; National Oceanic Atmospheric Admin (NOAA) - USA; Ministry of Education &amp; Science of Ukraine; State Institution National Antarctic Scientific Center; Ministry of Education &amp; Science of Ukraine; Taras Shevchenko National University of Kyiv; Instituto Antartico Argentino; Centro Nacional Patagonico (CENPAT); Consejo Nacional de Investigaciones Cientificas y Tecnicas (CONICET)</t>
  </si>
  <si>
    <t>Korczak-Abshire, M (corresponding author), Polish Acad Sci, Inst Biochem &amp; Biophys, PL-02106 Warsaw, Poland.</t>
  </si>
  <si>
    <t>mka@ibb.waw.pl</t>
  </si>
  <si>
    <t>Watters, George/HPE-2184-2023; Korczak-Abshire, Malgorzata/AAA-1563-2020; , Jefferson/AAG-1702-2021; Milinevsky, Gennadi/AAD-8801-2019</t>
  </si>
  <si>
    <t>Watters, George/0000-0002-6989-1273; Korczak-Abshire, Malgorzata/0000-0001-7695-0588; , Jefferson/0000-0002-3600-1414; Milinevsky, Gennadi/0000-0002-2342-2615; Juares, Mariana A./0000-0002-6763-0416</t>
  </si>
  <si>
    <t>CCAMLR CEMP Special Fund; Commission for the Conservation of Antarctic Marin; Henryk Arctowski Polish Antarctic Station; Instituto Antartico ArgentinoDireccion Nacional del Antartico; NASA MEaSUREs programme</t>
  </si>
  <si>
    <t>This study was funded by CCAMLR CEMP Special Fund, Commission for the Conservation of Antarctic Marin, Henryk Arctowski Polish Antarctic Station and Instituto Antartico ArgentinoDireccion Nacional del Antartico and NASA MEaSUREs programme.</t>
  </si>
  <si>
    <t>1744-9561</t>
  </si>
  <si>
    <t>1744-957X</t>
  </si>
  <si>
    <t>BIOL LETTERS</t>
  </si>
  <si>
    <t>Biol. Lett.</t>
  </si>
  <si>
    <t>10.1098/rsbl.2020.0708</t>
  </si>
  <si>
    <t>QA8YJ</t>
  </si>
  <si>
    <t>WOS:000613728500001</t>
  </si>
  <si>
    <t>Jonassen, MO; Nygård, T; Vihma, T</t>
  </si>
  <si>
    <t>Jonassen, M. O.; Nygard, T.; Vihma, T.</t>
  </si>
  <si>
    <t>Evaluation of Three Numerical Weather Prediction Models for the Weddell Sea Region for the Austral Winter 2013</t>
  </si>
  <si>
    <t>ROSS ICE SHELF; BOUNDARY-LAYER SIMULATIONS; MESOSCALE CYCLONES; ANTARCTICA; SYSTEM; SUMMER; TOWER; WRF; PERFORMANCE; CLOUDS</t>
  </si>
  <si>
    <t>It is widely recognized that numerical weather prediction (NWP) results for the Antarctic are relatively poor compared to the mid-latitudes. In this study, we evaluate output from three operational NWP systems: the ECMWF, Global Forecast System (GFS) and Antarctic Mesoscale Prediction System (AMPS), for the Austral winter (June-August) of 2013 for the Weddell Sea region, paying special attention to regional patterns of error statistics. This is the first evaluation of NWP systems over the Southern Ocean that also addresses the accuracy of forecasted vertical profiles. In the evaluation, we use data from land- and ship-based automatic weather stations (AWS) and radiosoundings. While the ECMWF and AMPS forecasts are on average biased cold and dry near the surface, the GFS forecasts are on average biased warm and moist. The near-surface wind speed is on average overestimated by the AMPS forecasts, whereas it is slightly underestimated by the forecasts of the other two NWP systems. Among the variables investigated, all three NWP systems forecast the near-surface specific humidity most accurately, followed by the temperature and then the wind speed. The forecast quality for the near-surface and upper-air wind speed degrades the most rapidly with increasing lead time, compared to the other variables. ECMWF is the overall best NWP system when compared against both the near-surface and upper-air observations, followed by AMPS and then GFS. The generally poorest model performance is found in locations with complex terrain along the coast of the Antarctic continent, and the best over the ocean. Plain Language Summary It is widely recognized that weather forecasts are rather poor for the Antarctic compared to the mid-latitudes. In this study, we evaluate output from three weather forecasting systems: the ECMWF, GFS, and AMPS, for the Austral winter (June-August) of 2013 for the Weddell Sea region. This is the first evaluation of weather forecasting systems over the Southern Ocean that also addresses the accuracy of forecasted vertical profiles. In the evaluation, we use data from automatic weather stations and radiosondes. While the ECMWF and AMPS forecasts are on average biased cold and dry near the surface, the GFS forecasts are on average biased warm and moist. The near-surface wind speed is on average overestimated by the AMPS forecasts, whereas it is slightly underestimated by the forecasts of the other two forecasting systems. All three forecasting systems forecast the near-surface specific humidity most accurately, followed by the temperature and then the wind speed. ECMWF is the overall best weather forecasting system when compared against both the near-surface and upper-air observations, followed by AMPS and then GFS. The generally poorest model performance is found in locations with complex terrain along the coast of the Antarctic continent, and the best over the ocean.</t>
  </si>
  <si>
    <t>[Jonassen, M. O.; Vihma, T.] Univ Ctr Svalbard, Dept Arctic Eophys, Longyearbyen, Norway; [Jonassen, M. O.] Univ Bergen, Geophys Inst, Bergen, Norway; [Nygard, T.; Vihma, T.] Finnish Meteorol Inst, Helsinki, Finland</t>
  </si>
  <si>
    <t>University Centre Svalbard (UNIS); University of Bergen; Finnish Meteorological Institute</t>
  </si>
  <si>
    <t>Jonassen, MO (corresponding author), Univ Ctr Svalbard, Dept Arctic Eophys, Longyearbyen, Norway.;Jonassen, MO (corresponding author), Univ Bergen, Geophys Inst, Bergen, Norway.</t>
  </si>
  <si>
    <t>mariusj@unis.no</t>
  </si>
  <si>
    <t>Jonassen, Marius Opsanger/0000-0002-4745-9009; Nygard, Tiina/0000-0002-7695-456X</t>
  </si>
  <si>
    <t>Academy of Finland [304345, 308441]; Academy of Finland (AKA) [304345, 308441] Funding Source: Academy of Finland (AKA)</t>
  </si>
  <si>
    <t>This study was supported by the Academy of Finland (Contracts 304345 and 308441).</t>
  </si>
  <si>
    <t>e2020JD033389</t>
  </si>
  <si>
    <t>10.1029/2020JD033389</t>
  </si>
  <si>
    <t>QA8OV</t>
  </si>
  <si>
    <t>WOS:000613703000011</t>
  </si>
  <si>
    <t>Luo, LP; Zhang, J; Hock, R; Yao, Y</t>
  </si>
  <si>
    <t>Luo, Liping; Zhang, Jing; Hock, Regine; Yao, Yao</t>
  </si>
  <si>
    <t>Case Study of Blowing Snow Impacts on the Antarctic Peninsula Lower Atmosphere and Surface Simulated With a Snow/Ice Enhanced WRF Model</t>
  </si>
  <si>
    <t>blowing snow impacts; snow; ice enhanced WRF-ice model</t>
  </si>
  <si>
    <t>POLAR WEATHER RESEARCH; BOUNDARY-LAYER SIMULATIONS; ROSS ICE SHELF; MASS-BALANCE; FORECASTING-MODEL; ADELIE LAND; SEA-ICE; ENERGY BALANCE; PART I; SUBLIMATION</t>
  </si>
  <si>
    <t>To better capture the air-snow-ice interaction, a snow/ice enhanced Weather Research and Forecasting (WRF-ice) model has been developed. This study examines the performance of WRF-ice and its blowing snow component during a strong cyclone event from October 23 to 27, 2017 over the Antarctic Peninsula, which is characterized by a synoptic cyclone crossing the northern part of the Peninsula and an embodied mesoscale cyclone over the Weddell Sea. Evolution of the cyclone is accurately reproduced in the 5-km resolution WRF-ice simulation, and the simulated near-surface conditions agree well with station and satellite observations. Numerical simulations show that the process of blowing snow sublimation can be prominent within the lower atmosphere when the air is dry, and produces moistening and cooling effects. Over relatively warm and humid areas, cloud enhancement by blowing snow can lead to either colder or warmer surfaces because of competing effects of longwave and shortwave cloud radiative forcings. In particular, additional moisture from blowing snow sublimation can slightly intensify precipitation over the mountains. Surface energy budget analysis indicates that absorbed shortwave (S-a), incoming longwave (L-d), and outgoing longwave (L-u) are dominant components of surface energy budget. When increases in L-d, L-u, and sensible heat flux are combined with decreases in S-a and latent heat flux due to blowing snow effects, a negative surface net heat flux (similar to 0.5 W/m(2)) occurs during daytime. A positive domain-total surface mass balance (similar to 0.43 Gt) is generated during the simulated cyclone event due to increases in precipitation, decreases in runoff, and decreases in sublimation.</t>
  </si>
  <si>
    <t>[Luo, Liping; Zhang, Jing] North Carolina A&amp;T State Univ, Dept Phys, Greensboro, NC 27411 USA; [Luo, Liping] Hohai Univ, Coll Oceanog, Nanjing, Peoples R China; [Luo, Liping] Southern Marine Sci &amp; Engn Guangdong Lab, Zhuhai, Peoples R China; [Hock, Regine] Univ Alaska Fairbanks, Inst Geophys, Fairbanks, AK 99775 USA; [Hock, Regine] Univ Oslo, Dept Geosci, Oslo, Norway; [Yao, Yao] Nanjing Univ Informat Sci &amp; Technol, Coll Atmosphere Sci, Nanjing, Peoples R China</t>
  </si>
  <si>
    <t>University of North Carolina; North Carolina A&amp;T State University; Hohai University; Southern Marine Science &amp; Engineering Guangdong Laboratory; University of Alaska System; University of Alaska Fairbanks; University of Oslo; Nanjing University of Information Science &amp; Technology</t>
  </si>
  <si>
    <t>Zhang, J (corresponding author), North Carolina A&amp;T State Univ, Dept Phys, Greensboro, NC 27411 USA.</t>
  </si>
  <si>
    <t>lpingluo@hhu.edu.cn; jzhang1@ncat.edu</t>
  </si>
  <si>
    <t>Hock, Regine/JTT-4089-2023; Zhang, Jing/B-3465-2009</t>
  </si>
  <si>
    <t>Hock, Regine/0000-0001-8336-9441; luo, liping/0000-0002-0384-1396; Zhang, Jing/0000-0001-7530-1121</t>
  </si>
  <si>
    <t>NSF [OPP-1649713, OPP-1543445, OPP-1543432]; Chinese NSF [41941007, 2016YFA0601804]</t>
  </si>
  <si>
    <t>NSF(National Science Foundation (NSF)); Chinese NSF(National Natural Science Foundation of China (NSFC))</t>
  </si>
  <si>
    <t>This study was sponsored by the NSF (Grant nos. OPP-1649713, OPP-1543445, and OPP-1543432). Computational support was provided by the Research Computing Systems at the University of Alaska Fairbanks and Blue Waters Supercomputer at University of Illinois Urbana-Champaign. Liping Luo also received support from Chinese NSF (Grant no. 41941007) and R&amp;D (Grant no. 2016YFA0601804). Forcing and verification data used are included in the paper (Durre et al., 2006; Fretwell et al., 2013; Hall &amp; Riggs, 2015; Hersbach et al., 2020; Matsuoka et al., 2018; Meier et al., 2018; Smith et al., 2011; Wan et al., 2015a, 2015b). The authors thank the Editor and the reviewers for the constructive suggestions and comments, which have greatly improved the paper. The authors appreciate Chongran Zhang for help with manuscript.</t>
  </si>
  <si>
    <t>e2020JD033936</t>
  </si>
  <si>
    <t>10.1029/2020JD033936</t>
  </si>
  <si>
    <t>WOS:000613703000003</t>
  </si>
  <si>
    <t>Prado-Cabrero, A; Nolan, JM</t>
  </si>
  <si>
    <t>Prado-Cabrero, Alfonso; Nolan, John M.</t>
  </si>
  <si>
    <t>Omega-3 nutraceuticals, climate change and threats to the environment: The cases of Antarctic krill and Calanus finmarchicus</t>
  </si>
  <si>
    <t>AMBIO</t>
  </si>
  <si>
    <t>Antarctic krill; Calanus finmarchicus; Climate change; Docosahexaenoic acid; Eicosapentaenoic acid; Krill oil</t>
  </si>
  <si>
    <t>POLYUNSATURATED FATTY-ACIDS; DEFICIT HYPERACTIVITY DISORDER; ALPHA-LINOLENIC ACID; ATLANTIC RIGHT WHALE; DOCOSAHEXAENOIC ACID; SOUTHERN-OCEAN; EICOSAPENTAENOIC ACID; CARDIOVASCULAR OUTCOMES; LIVING RESOURCES; CLINICAL-TRIALS</t>
  </si>
  <si>
    <t>The nutraceutical market for EPA (eicosapentaenoic acid) and DHA (docosahexaenoic acid) is promoting fishing for Euphasia superba (Antarctic krill) in the Southern Ocean and Calanus finmarchicus in Norwegian waters. This industry argues that these species are underexploited, but they are essential in their ecosystems, and climate change is altering their geographical distribution. In this perspective, we advocate the cessation of fishing for these species to produce nutraceuticals with EPA and DHA. We argue that this is possible because, contrary to what this industry promotes, the benefits of these fatty acids only seem significant to specific population groups, and not for the general population. Next, we explain that this is desirable because there is evidence that these fisheries may interact with the impact of climate change. Greener sources of EPA and DHA are already available on the market, and their reasonable use would ease pressure on the Arctic and Antarctic ecosystems.</t>
  </si>
  <si>
    <t>[Prado-Cabrero, Alfonso; Nolan, John M.] Waterford Inst Technol, Nutr Res Ctr Ireland, Sch Hlth Sci, Carriganore House,West Campus, Carriganore, Waterford, Ireland</t>
  </si>
  <si>
    <t>South East Technological University (SETU)</t>
  </si>
  <si>
    <t>Prado-Cabrero, A (corresponding author), Waterford Inst Technol, Nutr Res Ctr Ireland, Sch Hlth Sci, Carriganore House,West Campus, Carriganore, Waterford, Ireland.</t>
  </si>
  <si>
    <t>aprado-cabrero@wit.ie; jmnolan@wit.ie</t>
  </si>
  <si>
    <t>Prado-Cabrero, Alfonso/M-2504-2019</t>
  </si>
  <si>
    <t>Prado-Cabrero, Alfonso/0000-0001-8268-5362</t>
  </si>
  <si>
    <t>Enterprise Ireland Commercialisation Fund Programme; Ireland's European Structural and Investment Funds Programmes 2014-2020 [CF20160426]; Science Foundation Ireland (SFI); Department of Agriculture, Food and Marine on behalf of the government of Ireland [16/RC/3835]; European Regional Development Fund (ERDF)</t>
  </si>
  <si>
    <t>Enterprise Ireland Commercialisation Fund Programme; Ireland's European Structural and Investment Funds Programmes 2014-2020; Science Foundation Ireland (SFI)(Science Foundation Ireland); Department of Agriculture, Food and Marine on behalf of the government of Ireland; European Regional Development Fund (ERDF)(European Union (EU))</t>
  </si>
  <si>
    <t>We are grateful to the reviewers, who with their suggestions have improved this article. During the preparation of this work, A.P.-C. was supported by Enterprise Ireland Commercialisation Fund Programme, co-funded by the European Regional Development Fund (ERDF) and the Ireland's European Structural and Investment Funds Programmes 2014-2020, project number CF20160426. A.P.-C. is also supported by a joint research centre grant from Science Foundation Ireland (SFI) and the Department of Agriculture, Food and Marine on behalf of the government of Ireland under Grant Number 16/RC/3835 - Vistamilk. The conclusions and recommendations presented in this article are of the authors and do not, in any way, represent the views of the funders.</t>
  </si>
  <si>
    <t>0044-7447</t>
  </si>
  <si>
    <t>1654-7209</t>
  </si>
  <si>
    <t>Ambio</t>
  </si>
  <si>
    <t>10.1007/s13280-020-01472-z</t>
  </si>
  <si>
    <t>RR7DZ</t>
  </si>
  <si>
    <t>WOS:000612253900001</t>
  </si>
  <si>
    <t>George, SF; Fierer, N; Levy, JS; Adams, B</t>
  </si>
  <si>
    <t>George, Scott F.; Fierer, Noah; Levy, Joseph S.; Adams, Byron</t>
  </si>
  <si>
    <t>Antarctic Water Tracks: Microbial Community Responses to Variation in Soil Moisture, pH, and Salinity</t>
  </si>
  <si>
    <t>Antarctica; Mars analog; water tracks; microbial ecology; extremophiles</t>
  </si>
  <si>
    <t>RECURRING SLOPE LINEAE; MCMURDO DRY VALLEYS; TAYLOR VALLEY; SP-NOV.; POLAR DESERT; FAMILY FLAVOBACTERIACEAE; GEN.-NOV.; DIVERSITY; PATTERNS; BACTERIA</t>
  </si>
  <si>
    <t>Ice-free soils in the McMurdo Dry Valleys select for taxa able to cope with challenging environmental conditions, including extreme chemical water activity gradients, freeze-thaw cycling, desiccation, and solar radiation regimes. The low biotic complexity of Dry Valley soils makes them well suited to investigate environmental and spatial influences on bacterial community structure. Water tracks are annually wetted habitats in the cold-arid soils of Antarctica that form briefly each summer with moisture sourced from snow melt, ground ice thaw, and atmospheric deposition via deliquescence and vapor flow into brines. Compared to neighboring arid soils, water tracks are highly saline and relatively moist habitats. They represent a considerable area (similar to 5-10 km(2)) of the Dry Valley terrestrial ecosystem, an area that is expected to increase with ongoing climate change. The goal of this study was to determine how variation in the environmental conditions of water tracks influences the composition and diversity of microbial communities. We found significant differences in microbial community composition between on- and off-water track samples, and across two distinct locations. Of the tested environmental variables, soil salinity was the best predictor of community composition, with members of the Bacteroidetes phylum being relatively more abundant at higher salinities and the Actinobacteria phylum showing the opposite pattern. There was also a significant, inverse relationship between salinity and bacterial diversity. Our results suggest water track formation significantly alters dry soil microbial communities, likely influencing subsequent ecosystem functioning. We highlight how Dry Valley water tracks could be a useful model system for understanding the potential habitability of transiently wetted environments found on the surface of Mars.</t>
  </si>
  <si>
    <t>[George, Scott F.; Adams, Byron] Brigham Young Univ, Dept Biol, Provo, UT 84602 USA; [Fierer, Noah] Univ Colorado, Dept Ecol &amp; Evolutionary Biol, Boulder, CO 80309 USA; [Fierer, Noah] Univ Colorado, Cooperat Inst Res Environm Sci, Boulder, CO 80309 USA; [Levy, Joseph S.] Colgate Univ, Dept Geol, Hamilton, NY 13346 USA; [Adams, Byron] Brigham Young Univ, Monte L Bean Museum, Provo, UT 84602 USA</t>
  </si>
  <si>
    <t>Brigham Young University; University of Colorado System; University of Colorado Boulder; University of Colorado System; University of Colorado Boulder; Colgate University; Brigham Young University</t>
  </si>
  <si>
    <t>George, SF (corresponding author), Brigham Young Univ, Dept Biol, Provo, UT 84602 USA.</t>
  </si>
  <si>
    <t>scott.f.george@byu.edu</t>
  </si>
  <si>
    <t>Adams, Byron J/C-3808-2009</t>
  </si>
  <si>
    <t>United States Antarctic Program; National Science Foundation [NSF1341629, NSF-1847067, OPP-1637708]</t>
  </si>
  <si>
    <t>United States Antarctic Program; National Science Foundation(National Science Foundation (NSF))</t>
  </si>
  <si>
    <t>This study was funded by the United States Antarctic Program and the National Science Foundation with the grants NSF1341629, NSF-1847067, and OPP-1637708 for Long Term Ecological Research.</t>
  </si>
  <si>
    <t>10.3389/fmicb.2021.616730</t>
  </si>
  <si>
    <t>QE9HK</t>
  </si>
  <si>
    <t>WOS:000616514400001</t>
  </si>
  <si>
    <t>Bowen, MM; Fernandez, D; Forcen-Vazquez, A; Gordon, AL; Huber, B; Castagno, P; Falco, P</t>
  </si>
  <si>
    <t>Bowen, Melissa M.; Fernandez, Denise; Forcen-Vazquez, Aitana; Gordon, Arnold L.; Huber, Bruce; Castagno, Pasquale; Falco, Pierpaolo</t>
  </si>
  <si>
    <t>The role of tides in bottom water export from the western Ross Sea</t>
  </si>
  <si>
    <t>CIRCUMPOLAR DEEP-WATER; VARIABILITY; CIRCULATION</t>
  </si>
  <si>
    <t>Approximately 25% of Antarctic Bottom Water has its origin as dense water exiting the western Ross Sea, but little is known about what controls the release of dense water plumes from the Drygalski Trough. We deployed two moorings on the slope to investigate the water properties of the bottom water exiting the region at Cape Adare. Salinity of the bottom water has increased in 2018 from the previous measurements in 2008-2010, consistent with the observed salinity increase in the Ross Sea. We find High Salinity Shelf Water from the Drygalski Trough contributes to two pulses of dense water at Cape Adare. The timing and magnitude of the pulses is largely explained by an inverse relationship with the tidal velocity in the Ross Sea. We suggest that the diurnal and low frequency tides in the western Ross Sea may control the magnitude and timing of the dense water outflow.</t>
  </si>
  <si>
    <t>[Bowen, Melissa M.] Univ Auckland, Sch Environm, Auckland, New Zealand; [Fernandez, Denise] NIWA, Wellington, New Zealand; [Forcen-Vazquez, Aitana] MetService, Wellington, New Zealand; [Gordon, Arnold L.; Huber, Bruce] Columbia Univ, Lamont Doherty Earth Observ, New York, NY USA; [Castagno, Pasquale] Univ Parthenope, Naples, Italy; [Falco, Pierpaolo] Univ Politecn Marche, Ancona, Italy</t>
  </si>
  <si>
    <t>University of Auckland; National Institute of Water &amp; Atmospheric Research (NIWA) - New Zealand; Columbia University; Parthenope University Naples; Marche Polytechnic University</t>
  </si>
  <si>
    <t>Bowen, MM (corresponding author), Univ Auckland, Sch Environm, Auckland, New Zealand.</t>
  </si>
  <si>
    <t>m.bowen@auckland.ac.nz</t>
  </si>
  <si>
    <t>Gordon, Arnold/H-1049-2011; Castagno, Pasquale/HCI-3939-2022; Castagno, Pasquale/JAC-6923-2023</t>
  </si>
  <si>
    <t>Castagno, Pasquale/0000-0002-5705-1066; Forcen-Vazquez, Aitana/0000-0003-2471-705X</t>
  </si>
  <si>
    <t>New Zealand Ministry of Business Innovation and Employment through the Deep South National Science Challenge</t>
  </si>
  <si>
    <t>New Zealand Ministry of Business Innovation and Employment through the Deep South National Science Challenge(New Zealand Ministry of Business, Innovation and Employment (MBIE))</t>
  </si>
  <si>
    <t>This study was funded by the New Zealand Ministry of Business Innovation and Employment through the Deep South National Science Challenge.</t>
  </si>
  <si>
    <t>JAN 26</t>
  </si>
  <si>
    <t>10.1038/s41598-021-81793-5</t>
  </si>
  <si>
    <t>SX2TX</t>
  </si>
  <si>
    <t>WOS:000665064000001</t>
  </si>
  <si>
    <t>Schiaparelli, S; Jirkov, IA</t>
  </si>
  <si>
    <t>Schiaparelli, Stefano; Jirkov, Igor A.</t>
  </si>
  <si>
    <t>Contribution to the taxonomic knowledge of Ampharetidae (Annelida) from Antarctica with the description of Amage giacomobovei sp. nov.</t>
  </si>
  <si>
    <t>EUROPEAN JOURNAL OF TAXONOMY</t>
  </si>
  <si>
    <t>Amage; Ampharete; Ross Sea; morphology; ecology; distribution; dichotomic key</t>
  </si>
  <si>
    <t>POLYCHAETA; CHARACTERS; PACIFIC; WORMS</t>
  </si>
  <si>
    <t>Thanks to newly collected material from the Terra Nova Bay area (Ross Sea, Antarctica), we discuss the taxonomy of the ampharetid genera Amage Malmgren, 1866 and Amythas Benham, 1921. A new species of Amage, A. giacomobovei sp. nov., is described based on morpho-anatomical data. This is the second new species described from an area which appears to be rich in ampharetids, a coastal embayment at similar to 500 m depth near the Italian Mario Zucchelli research station. The new species is characterized by having 16 abdominal uncinigers and four pairs of branchiae that readily distinguish it from its congeners. Tubes of A. giacomobovei sp. nov. are also characteristic in showing a large amount of embedded sponge spicules, suggesting a possible close association to spicule mats. Based on the amended diagnoses of the two genera, Amage septemdecima Schuller &amp; Jirkov, 2013 is transferred to the genus Amythas. Finally, to simplify the task of ampharetid genera recognition for untrained people, we provide a dichotomic key for ampharetid genera found in Antarctica and a checklist of species occurring in Terra Nova Bay.</t>
  </si>
  <si>
    <t>[Schiaparelli, Stefano] Univ Genoa, Dipartimento Sci Terra Ambiente &amp; Vita DISTAV, Cso Europa 26, I-16132 Genoa, Italy; [Schiaparelli, Stefano] Museo Nazl Antartide, MNA, Sede Genova, Viale Benedetto XV 1, I-16132 Genoa, Italy; [Jirkov, Igor A.] Moscow MV Lomonosov State Univ, Dept Gen Ecol &amp; Hydrobiol, Biol Fac, Leninskiye Gory 1,Bldg 12, Moscow 119234, Russia</t>
  </si>
  <si>
    <t>University of Genoa; Lomonosov Moscow State University</t>
  </si>
  <si>
    <t>Schiaparelli, S (corresponding author), Univ Genoa, Dipartimento Sci Terra Ambiente &amp; Vita DISTAV, Cso Europa 26, I-16132 Genoa, Italy.;Schiaparelli, S (corresponding author), Museo Nazl Antartide, MNA, Sede Genova, Viale Benedetto XV 1, I-16132 Genoa, Italy.</t>
  </si>
  <si>
    <t>stefano.schiaparelli@unige.it; ampharete@ya.ru</t>
  </si>
  <si>
    <t>Jirkov, Igor/JSL-4347-2023</t>
  </si>
  <si>
    <t>Schiaparelli, Stefano/0000-0002-0137-3605</t>
  </si>
  <si>
    <t>Italian National Antarctic Research Program (PNRA) [2010-A1.10, 2013-AZ1.15]; Ministry of Education and Science of the Russian Federation; State Research Program [15-5-21]</t>
  </si>
  <si>
    <t>Italian National Antarctic Research Program (PNRA)(Ministry of Education, Universities and Research (MIUR)); Ministry of Education and Science of the Russian Federation(Ministry of Education and Science, Russian Federation); State Research Program</t>
  </si>
  <si>
    <t>We thank the Italian National Antarctic Research Program (PNRA) for the funding of the BAMBi (2010-A1.10) and ISOBIOTOX (2013-AZ1.15) projects and the State Research Program granted to Moscow State University (project Patterns in structure and functioning of biological communities No. 15-5-21 General Ecology and Hydrobiology Dept) for the financial support to I. Jirkov. Dr Andrev Sazhin (IORAN) provided use of a stereo microsope and compound microscope for photography. The SEM was performed with financial support from the Ministry of Education and Science of the Russian Federation. We thank Marino Vacchi, for having been made available to the project BAMBi the material accidentally collected with the SHPN. We also thank Dr H.J. Griffiths (BAS) for the English revision. Two anonymous reviewers are acknowledged for their comments that greatly improved the first version of the manuscript.</t>
  </si>
  <si>
    <t>MUSEUM NATL HISTOIRE NATURELLE</t>
  </si>
  <si>
    <t>SERVICE PUBLICATIONS SCIENTIFIQUES, 57 RUE CUVIER, 75005 PARIS, FRANCE</t>
  </si>
  <si>
    <t>2118-9773</t>
  </si>
  <si>
    <t>EUR J TAXON</t>
  </si>
  <si>
    <t>Eur. J. Taxon.</t>
  </si>
  <si>
    <t>10.5852/ejt.2021.733.1227</t>
  </si>
  <si>
    <t>Plant Sciences; Entomology; Zoology</t>
  </si>
  <si>
    <t>QP2BO</t>
  </si>
  <si>
    <t>WOS:000623641100007</t>
  </si>
  <si>
    <t>Johansen, JL; Nadler, LE; Habary, A; Bowden, AJ; Rummer, J</t>
  </si>
  <si>
    <t>Johansen, Jacob L.; Nadler, Lauren E.; Habary, Adam; Bowden, Alyssa J.; Rummer, Jodie</t>
  </si>
  <si>
    <t>Thermal acclimation of tropical coral reef fishes to global heat waves</t>
  </si>
  <si>
    <t>MAXIMUM METABOLIC-RATE; CLIMATE-CHANGE; AEROBIC SCOPE; TRANSGENERATIONAL PLASTICITY; PHENOTYPIC PLASTICITY; CAPACITY LIMITATION; OXYGEN LIMITATION; TOLERANCE OCLTT; TEMPERATURE; RESPONSES</t>
  </si>
  <si>
    <t>As climate-driven heat waves become more frequent and intense, there is increasing urgency to understand how thermally sensitive species are responding. Acute heating events lasting days to months may elicit acclimation responses to improve performance and survival. However, the coordination of acclimation responses remains largely unknown for most stenothermal species. We documented the chronology of 18 metabolic and cardiorespiratory changes that occur in the gills, blood, spleen, and muscles when tropical coral reef fishes are thermally stressed (+3.0 degrees C above ambient). Using representative coral reef fishes (Caesio cuning and Cheilodipterus quinquelineatus) separated by &gt;100 million years of evolution and with stark differences in major life-history characteristics (i.e. lifespan, habitat use, mobility, etc.), we show that exposure duration illicited coordinated responses in 13 tissue and organ systems over 5 weeks. The onset and duration of biomarker responses differed between species, with C. cuning - an active, mobile species - initiating acclimation responses to unavoidable thermal stress within the first week of heat exposure; conversely, C. quinquelineatus - a sessile, territorial species - exhibited comparatively reduced acclimation responses that were delayed through time. Seven biomarkers, including red muscle citrate synthase and lactate dehydrogenase activities, blood glucose and hemoglobin concentrations, spleen somatic index, and gill lamellar perimeter and width, proved critical in evaluating acclimation progression and completion, as these provided consistent evaluation of thermal responses across species.</t>
  </si>
  <si>
    <t>[Johansen, Jacob L.] Univ Hawaii, Hawaii Inst Marine Biol, Kaneohe, HI 96744 USA; [Johansen, Jacob L.; Nadler, Lauren E.; Habary, Adam; Rummer, Jodie] James Cook Univ, ARC Ctr Excellence Coral Reef Studies, Townsville, Qld, Australia; [Nadler, Lauren E.] Nova Southeastern Univ, Halmos Coll Arts &amp; Sci, Dania, FL 33004 USA; [Nadler, Lauren E.; Rummer, Jodie] James Cook Univ, Coll Sci &amp; Engn, Townsville, Qld, Australia; [Bowden, Alyssa J.] CSIRO, Hobart, Tas, Australia; [Bowden, Alyssa J.] Univ Tasmania, Inst Marine &amp; Antarctic Studies, Hobart, Tas, Australia</t>
  </si>
  <si>
    <t>University of Hawaii System; James Cook University; Nova Southeastern University; James Cook University; Commonwealth Scientific &amp; Industrial Research Organisation (CSIRO); University of Tasmania</t>
  </si>
  <si>
    <t>Johansen, JL (corresponding author), Univ Hawaii, Hawaii Inst Marine Biol, Kaneohe, HI 96744 USA.;Johansen, JL; Nadler, LE (corresponding author), James Cook Univ, ARC Ctr Excellence Coral Reef Studies, Townsville, Qld, Australia.;Nadler, LE (corresponding author), Nova Southeastern Univ, Halmos Coll Arts &amp; Sci, Dania, FL 33004 USA.;Nadler, LE (corresponding author), James Cook Univ, Coll Sci &amp; Engn, Townsville, Qld, Australia.</t>
  </si>
  <si>
    <t>jacob.johansen@hawaii.edu; lauren.e.nadler@gmail.com</t>
  </si>
  <si>
    <t>Bowden, Alyssa/ABG-6330-2021; Johansen, Jacob L/F-9189-2011; Rummer, Jodie/A-6524-2015</t>
  </si>
  <si>
    <t>Bowden, Alyssa/0000-0001-6024-1891; Nadler, Lauren/0000-0001-8225-8344; johansen, jacob/0000-0002-2912-2146; Rummer, Jodie/0000-0001-6067-5892</t>
  </si>
  <si>
    <t>Australian Research Council; James Cook University</t>
  </si>
  <si>
    <t>Australian Research Council(Australian Research Council); James Cook University</t>
  </si>
  <si>
    <t>Australian Research Council Super Science Fellowship Jodie Rummer; Australian Research Council Early Career Discovery Award Jodie Rummer; James Cook University Infrastructure and research allocation Jodie Rummer; James Cook University Australian Postgraduate Award Lauren E Nadler; James Cook University International PostgraduateResearch Scholarship Lauren E Nadler; The funders had no role in study design, data collection and interpretation, or the decision to submit the work for publication.</t>
  </si>
  <si>
    <t>e59162</t>
  </si>
  <si>
    <t>10.7554/eLife.59162</t>
  </si>
  <si>
    <t>QA9BC</t>
  </si>
  <si>
    <t>WOS:000613735900001</t>
  </si>
  <si>
    <t>Ade, PAR; Ahmed, Z; Amiri, M; Anderson, AJ; Austermann, JE; Avva, JS; Barkats, D; Thakur, RB; Beall, JA; Bender, AN; Benson, BA; Bianchini, F; Bischoff, CA; Bleem, LE; Bock, JJ; Boenish, H; Bullock, E; Buza, V; Carlstrom, JE; Chang, CL; Cheshire, JR; Chiang, HC; Chou, TL; Citron, R; Connors, J; Moran, CC; Cornelison, J; Crawford, TM; Crites, AT; Crumrine, M; Cukierman, A; de Haan, T; Dierickx, M; Dobbs, MA; Duband, L; Everett, W; Fatigoni, S; Filippini, JP; Fliescher, S; Gallicchio, J; George, EM; St Germaine, T; Goeckner-Wald, N; Goldfinger, DC; Grayson, J; Gupta, N; Hall, G; Halpern, M; Halverson, NW; Harrison, S; Henderson, S; Henning, JW; Hildebrandt, SR; Hilton, GC; Holder, GP; Holzapfel, WL; Hrubes, JD; Huang, N; Hubmayr, J; Hui, H; Irwin, KD; Kang, J; Karkare, KS; Karpel, E; Kefeli, S; Kernasovskiy, SA; Knox, L; Kovac, JM; Kuo, CL; Lau, K; Lee, AT; Leitch, EM; Li, D; Lowitz, A; Manzotti, A; McMahon, JJ; Megerian, KG; Meyer, SS; Millea, M; Mocanu, LM; Moncelsi, L; Montgomery, J; Nadolski, A; Namikawa, T; Natoli, T; Netterfield, CB; Nguyen, HT; Nibarger, JP; Noble, G; Novosad, V; O'Brient, R; Ogburn, RW; Omori, Y; Padin, S; Palladino, S; Patil, S; Prouve, T; Pryke, C; Racine, B; Reichardt, CL; Reintsema, CD; Richter, S; Ruhl, JE; Saliwanchik, BR; Schaffer, KK; Schillaci, A; Schmitt, BL; Schwarz, R; Sheehy, CD; Sievers, C; Smecher, G; Soliman, A; Stark, AA; Steinbach, B; Sudiwala, RV; Teply, GP; Thompson, KL; Tolan, JE; Tucker, C; Turner, AD; Umiltà, C; Veach, T; Vieira, JD; Vieregg, AG; Wandui, A; Wang, G; Weber, AC; Whitehorn, N; Wiebe, DV; Willmert, J; Wong, CL; Wu, WLK; Yang, H; Yefremenko, V; Yoon, KW; Young, E; Yu, C; Zeng, L; Zhang, C</t>
  </si>
  <si>
    <t>Ade, P. A. R.; Ahmed, Z.; Amiri, M.; Anderson, A. J.; Austermann, J. E.; Avva, J. S.; Barkats, D.; Thakur, R. Basu; Beall, J. A.; Bender, A. N.; Benson, B. A.; Bianchini, F.; Bischoff, C. A.; Bleem, L. E.; Bock, J. J.; Boenish, H.; Bullock, E.; Buza, V; Carlstrom, J. E.; Chang, C. L.; Cheshire, J. R.; Chiang, H. C.; Chou, T-L; Citron, R.; Connors, J.; Moran, C. Corbett; Cornelison, J.; Crawford, T. M.; Crites, A. T.; Crumrine, M.; Cukierman, A.; de Haan, T.; Dierickx, M.; Dobbs, M. A.; Duband, L.; Everett, W.; Fatigoni, S.; Filippini, J. P.; Fliescher, S.; Gallicchio, J.; George, E. M.; St Germaine, T.; Goeckner-Wald, N.; Goldfinger, D. C.; Grayson, J.; Gupta, N.; Hall, G.; Halpern, M.; Halverson, N. W.; Harrison, S.; Henderson, S.; Henning, J. W.; Hildebrandt, S. R.; Hilton, G. C.; Holder, G. P.; Holzapfel, W. L.; Hrubes, J. D.; Huang, N.; Hubmayr, J.; Hui, H.; Irwin, K. D.; Kang, J.; Karkare, K. S.; Karpel, E.; Kefeli, S.; Kernasovskiy, S. A.; Knox, L.; Kovac, J. M.; Kuo, C. L.; Lau, K.; Lee, A. T.; Leitch, E. M.; Li, D.; Lowitz, A.; Manzotti, A.; McMahon, J. J.; Megerian, K. G.; Meyer, S. S.; Millea, M.; Mocanu, L. M.; Moncelsi, L.; Montgomery, J.; Nadolski, A.; Namikawa, T.; Natoli, T.; Netterfield, C. B.; Nguyen, H. T.; Nibarger, J. P.; Noble, G.; Novosad, V; O'Brient, R.; Ogburn, R. W.; Omori, Y.; Padin, S.; Palladino, S.; Patil, S.; Prouve, T.; Pryke, C.; Racine, B.; Reichardt, C. L.; Reintsema, C. D.; Richter, S.; Ruhl, J. E.; Saliwanchik, B. R.; Schaffer, K. K.; Schillaci, A.; Schmitt, B. L.; Schwarz, R.; Sheehy, C. D.; Sievers, C.; Smecher, G.; Soliman, A.; Stark, A. A.; Steinbach, B.; Sudiwala, R., V; Teply, G. P.; Thompson, K. L.; Tolan, J. E.; Tucker, C.; Turner, A. D.; Umilta, C.; Veach, T.; Vieira, J. D.; Vieregg, A. G.; Wandui, A.; Wang, G.; Weber, A. C.; Whitehorn, N.; Wiebe, D., V; Willmert, J.; Wong, C. L.; Wu, W. L. K.; Yang, H.; Yefremenko, V; Yoon, K. W.; Young, E.; Yu, C.; Zeng, L.; Zhang, C.</t>
  </si>
  <si>
    <t>BicEPKeek Collaboration; SPTpol Collaboration</t>
  </si>
  <si>
    <t>A demonstration of improved constraints on primordial gravitational waves with delensing</t>
  </si>
  <si>
    <t>GRAVITY-WAVES; POLARIZATION</t>
  </si>
  <si>
    <t>We present a constraint on the tensor-to-scalar ratio, r, derived from measurements of cosmic microwave background (CMB) polarization B-modes with delensing, whereby the uncertainty on r contributed by the sample variance of the gravitational lensing B-modes is reduced by cross-correlating against a lensing B-mode template. This template is constructed by combining an estimate of the polarized CMB with a tracer of the projected large-scale structure. The large-scale-structure tracer used is a map of the cosmic infrared background derived from Planck satellite data, while the polarized CMB map comes from a combination of South Pole Telescope, BicEP/Keck, and Planck data. We expand the BicEP/Keck likelihood analysis framework to accept a lensing template and apply it to the BicEP/Keck dataset collected through 2014 using the same parametric foreground modeling as in the previous analysis. From simulations, we find that the uncertainty on r is reduced by similar to 10%, from sigma(r) = 0.024 to 0.022, which can be compared with a similar to 26% reduction obtained when using a perfect lensing template or if there were zero lensing B-modes. Applying the technique to the real data, the constraint on r is improved from r(0.)(05) &lt; 0.090 to r(0.)(05) &lt; 0.082 (95% C.L.). This is the first demonstration of improvement in an r constraint through delensing.</t>
  </si>
  <si>
    <t>[Ade, P. A. R.; Sudiwala, R., V; Tucker, C.] Cardiff Univ, Cardiff CF10 3XQ, Wales; [Ahmed, Z.; Cukierman, A.; Henderson, S.; Irwin, K. D.; Kuo, C. L.; Li, D.; Ogburn, R. W.; Wu, W. L. K.; Yoon, K. W.; Young, E.] SLAC Natl Accelerator Lab, 2575 Sand Hill RoacL, Menlo Pk, CA 94025 USA; [Ahmed, Z.; Cukierman, A.; Henderson, S.; Kuo, C. L.; Ogburn, R. W.; Omori, Y.; Thompson, K. L.; Wu, W. L. K.; Yoon, K. W.; Young, E.] Stanford Univ, Kavli Inst Particle Astrophys &amp; Cosmol, 452 Lomita Mall, Stanford, CA 94305 USA; [Amiri, M.; Fatigoni, S.; Halpern, M.; Wiebe, D., V] Univ British Columbia, Dept Phys &amp; Astron, Vancouver, BC V6T 1Z1, Canada; [Anderson, A. J.; Benson, B. A.] Fermilab Natl Accelerator Lab, MS209,POB 500, Batavia, IL 60510 USA; [Austermann, J. E.; Beall, J. A.; Connors, J.; Hilton, G. C.; Hubmayr, J.; Li, D.; Nibarger, J. P.; Reintsema, C. D.] NIST Quantum Devices Grp, 325 Broadway Mailcode 817-03, Boulder, CO 80305 USA; [Austermann, J. E.; Halverson, N. W.] Univ Colorado, Dept Phys, Boulder, CO 80309 USA; [Avva, J. S.; George, E. M.; Holzapfel, W. L.; Huang, N.; Lee, A. T.; Millea, M.] Univ Calif Berkeley, Dept Phys, Berkeley, CA 94720 USA; [Barkats, D.; Buza, V; Connors, J.; Cornelison, J.; Dierickx, M.; St Germaine, T.; Goldfinger, D. C.; Harrison, S.; Karkare, K. S.; Kovac, J. M.; Racine, B.; Richter, S.; Schmitt, B. L.; Stark, A. A.; Wong, C. L.; Zeng, L.] Harvard Smithsonian Ctr Astrophys, 60 Garden St, Cambridge, MA 02138 USA; [Thakur, R. Basu; Bock, J. J.; Hildebrandt, S. R.; Hui, H.; Kefeli, S.; Moncelsi, L.; O'Brient, R.; Padin, S.; Schillaci, A.; Soliman, A.; Steinbach, B.; Teply, G. P.; Wandui, A.; Zhang, C.] CALTECH, MS 249-17,1216 E Calif Blvd, Pasadena, MS 24917 USA; [Bender, A. N.; Bleem, L. E.; Carlstrom, J. E.; Chang, C. L.; Henning, J. W.; Wang, G.; Yefremenko, V] Argonne Natl Lab, High Energy Phys Div, 9700 S Cass Ave, Argonne, IL 60439 USA; [Bender, A. N.; Benson, B. A.; Bleem, L. E.; Carlstrom, J. E.; Chang, C. L.; Chou, T-L; Crawford, T. M.; Crites, A. T.; Gallicchio, J.; Henning, J. W.; Karkare, K. S.; Leitch, E. M.; Manzotti, A.; McMahon, J. J.; Meyer, S. S.; Mocanu, L. M.; Natoli, T.; Padin, S.; Schaffer, K. K.; Vieregg, A. G.; Wu, W. L. K.] Univ Chicago, Kavli Inst Cosmol Phys, 5640 South Ellis Ave, Chicago, IL 60637 USA; [Benson, B. A.; Carlstrom, J. E.; Chang, C. L.; Crawford, T. M.; Crites, A. T.; Leitch, E. M.; Lowitz, A.; McMahon, J. J.; Meyer, S. S.; Mocanu, L. M.; Natoli, T.; Padin, S.] Univ Chicago, Dept Astron &amp; Astrophys, 5640 South Ellis Ave, Chicago, IL 60637 USA; [Bianchini, F.; Gupta, N.; Patil, S.; Reichardt, C. L.] Univ Melbourne, Sch Phys, Parkville, Vic 3010, Australia; [Bischoff, C. A.; Palladino, S.] Univ Cincinnati, Dept Phys, Cincinnati, OH 45221 USA; [Bock, J. J.; Moran, C. Corbett; Hildebrandt, S. R.; Megerian, K. G.; Nguyen, H. T.; O'Brient, R.; Turner, A. D.; Weber, A. C.] Jet Prop Lab, Pasadena, CA 91109 USA; [Boenish, H.; Buza, V; Kovac, J. M.; Wong, C. L.; Zeng, L.] Harvard Univ, Dept Phys, Cambridge, MA 02138 USA; [Bullock, E.; Cheshire, J. R.; Pryke, C.] Univ Minnesota, Minnesota Inst Astrophys, Minneapolis, MN 55455 USA; [Carlstrom, J. E.; Chou, T-L; McMahon, J. J.; Meyer, S. S.] Univ Chicago, Dept Phys, 5640 South Ellis Ave, Chicago, IL 60637 USA; [Carlstrom, J. E.; Meyer, S. S.; Schaffer, K. K.; Vieregg, A. G.] Univ Chicago, Enrico Fermi Inst, 5640 South Ellis Ave, Chicago, IL 60637 USA; [Chiang, H. C.; Dobbs, M. A.; Montgomery, J.; Noble, G.; Smecher, G.] McGill Univ, Dept Phys, 3600 Rue Univ, Montreal, PQ H3A 2T8, Canada; [Chiang, H. C.] Univ KwaZulu Natal, Sch Math Stat &amp; Comp Sci, Durban, South Africa; [Citron, R.; Hrubes, J. D.; Sievers, C.] Univ Chicago, 5640 South Ellis Ave, Chicago, IL 60637 USA; [Crites, A. T.; Natoli, T.] Univ Toronto, Dunlap Inst Astron &amp; Astrophys, 50 St George St, Toronto, ON M5S 3H4, Canada; [Crites, A. T.] Univ Toronto, Dept Astron &amp; Astrophys, 50 St George St, Toronto, ON M5S 3H4, Canada; [Crumrine, M.; Fliescher, S.; Hall, G.; Lau, K.; Pryke, C.; Schwarz, R.; Willmert, J.] Univ Minnesota, Sch Phys &amp; Astron, 116 Church St SE, Minneapolis, MN 55455 USA; [Cukierman, A.; Goeckner-Wald, N.; Goldfinger, D. C.; Grayson, J.; Irwin, K. D.; Kang, J.; Karpel, E.; Kernasovskiy, S. A.; Kuo, C. L.; Ogburn, R. W.; Omori, Y.; Thompson, K. L.; Tolan, J. E.; Yang, H.; Yoon, K. W.; Young, E.; Yu, C.] Stanford Univ, Dept Phys, 382 Via Pueblo Mall, Stanford, CA 94305 USA; [de Haan, T.] High Energy Accelerator Res Org KEK, Tsukuba, Ibaraki 3050801, Japan; [Dobbs, M. A.; Holder, G. P.; Netterfield, C. B.] CIFAR Program Grav &amp; Extreme Universe, Canadian Inst Adv Res, Toronto, ON M5G 1Z8, Canada; [Duband, L.; Prouve, T.] Commissariat Energie Atom, Serv Basses Temp, F-38054 Grenoble, France; [Everett, W.; Halverson, N. W.] Univ Colorado, Dept Astrophys &amp; Planetary Sci, Boulder, CO 80309 USA; [Filippini, J. P.; Holder, G. P.; Nadolski, A.; Umilta, C.; Vieira, J. D.] Univ Illinois, Dept Phys, 1110 W Green St, Urbana, IL 61801 USA; [Filippini, J. P.; Holder, G. P.; Nadolski, A.; Vieira, J. D.] Univ Illinois, Astron Dept, 1002 W Green St, Urbana, IL 61801 USA; [Gallicchio, J.] Harvey Mudd Coll, 301 Platt Blvd, Claremont, CA 91711 USA; [George, E. M.] European Southern Observ, Karl Schwarzschild Str 2, D-85748 Garching, Germany; [Knox, L.] Univ Calif Davis, Dept Phys, One Shields Ave, Davis, CA 95616 USA; [Lee, A. T.] Lawrence Berkeley Natl Lab, Phys Div, Berkeley, CA 94720 USA; [Manzotti, A.] Inst Astrophys Paris, 98 Bis Blvd Arago, F-75014 Paris, France; [Mocanu, L. M.] Univ Oslo, Inst Theoret Astrophys, POB 1029 Blindern, N-0315 Oslo, Norway; [Namikawa, T.] Univ Cambridge, Dept Appl Math &amp; Theoret Phys, Cambridge CB3 0WA, England; [Netterfield, C. B.] Univ Toronto, Dept Phys, Toronto, ON M5S 1A7, Canada; [Novosad, V] Argonne Natl Lab, Mat Sci Div, 97005 Cass Ave, Argonne, IL 60439 USA; [Ruhl, J. E.; Saliwanchik, B. R.] Case Western Reserve Univ, Phys Dept, Ctr Educ &amp; Res Cosmol &amp; Astrophys, Cleveland, OH 44106 USA; [Saliwanchik, B. R.] Yale Univ, Dept Phys, POB 208120, New Haven, CT 06520 USA; [Schaffer, K. K.] Sch Art Inst Chicago, Liberal Arts Dept, 112S Michigan Ave, Chicago, IL 60603 USA; [Sheehy, C. D.] Brookhaven Natl Lab, Phys Dept, Upton, NY 11973 USA; [Smecher, G.] Three Speed Log Inc, Victoria, BC V8S 3Z5, Canada; [Teply, G. P.] Univ Calif San Diego, Dept Phys, La Jolla, CA 92093 USA; [Veach, T.] Southwest Res Inst, Space Sci &amp; Engn Div, San Antonio, TX 78238 USA; [Whitehorn, N.] Michigan State Univ, Dept Phys &amp; Astron, 567 Wilson Rd, E Lansing, MI 48824 USA</t>
  </si>
  <si>
    <t>Cardiff University; Stanford University; United States Department of Energy (DOE); SLAC National Accelerator Laboratory; Stanford University; University of British Columbia; United States Department of Energy (DOE); University of Chicago; Fermi National Accelerator Laboratory; University of Colorado System; University of Colorado Boulder; University of California System; University of California Berkeley; Smithsonian Institution; Harvard University; Smithsonian Astrophysical Observatory; California Institute of Technology; United States Department of Energy (DOE); Argonne National Laboratory; University of Chicago; University of Chicago; University of Melbourne; University System of Ohio; University of Cincinnati; National Aeronautics &amp; Space Administration (NASA); NASA Jet Propulsion Laboratory (JPL); Harvard University; University of Minnesota System; University of Minnesota Twin Cities; University of Chicago; University of Chicago; McGill University; University of Kwazulu Natal; University of Chicago; University of Toronto; University of Toronto; University of Minnesota System; University of Minnesota Twin Cities; Stanford University; High Energy Accelerator Research Organization (KEK); Canadian Institute for Advanced Research (CIFAR); Communaute Universite Grenoble Alpes; Universite Grenoble Alpes (UGA); CEA; University of Colorado System; University of Colorado Boulder; University of Illinois System; University of Illinois Urbana-Champaign; University of Illinois System; University of Illinois Urbana-Champaign; Claremont Colleges; Harvey Mudd College; European Southern Observatory; University of California System; University of California Davis; United States Department of Energy (DOE); Lawrence Berkeley National Laboratory; Sorbonne Universite; University of Oslo; University of Cambridge; University of Toronto; United States Department of Energy (DOE); Argonne National Laboratory; University System of Ohio; Case Western Reserve University; Yale University; School of the Art Institute of Chicago; United States Department of Energy (DOE); Brookhaven National Laboratory; University of California System; University of California San Diego; Southwest Research Institute; Michigan State University</t>
  </si>
  <si>
    <t>Wu, WLK (corresponding author), SLAC Natl Accelerator Lab, 2575 Sand Hill RoacL, Menlo Pk, CA 94025 USA.;Wu, WLK (corresponding author), Stanford Univ, Kavli Inst Particle Astrophys &amp; Cosmol, 452 Lomita Mall, Stanford, CA 94305 USA.;Wu, WLK (corresponding author), Univ Chicago, Kavli Inst Cosmol Phys, 5640 South Ellis Ave, Chicago, IL 60637 USA.</t>
  </si>
  <si>
    <t>wlwu@slac.stanford.edu</t>
  </si>
  <si>
    <t>Zeng, Lingzhen/V-4602-2019; Holzapfel, William L/I-4836-2015; Moncelsi, Lorenzo/AAU-1009-2020; Reichardt, Christian/IST-5017-2023; Whitehorn, Nathan/HDM-8864-2022; George, Elizabeth/AAR-7371-2021; sun, huan/JEO-7152-2023; Chen, Shuo/JEO-6350-2023; Novosad, V/J-4843-2015; Nguyễn, Hương/JUV-6128-2023; Bianchini, Federico/ABA-3994-2020; Nguyen, H.T/AAG-1974-2021; Ruhl, John/HHS-2212-2022</t>
  </si>
  <si>
    <t>Zeng, Lingzhen/0000-0001-6924-9072; Moncelsi, Lorenzo/0000-0002-4242-3015; Whitehorn, Nathan/0000-0002-3157-0407; George, Elizabeth/0000-0001-7874-0445; Bianchini, Federico/0000-0003-4847-3483; Nguyen, H.T/0000-0001-5580-2877; Ruhl, John/0000-0001-5875-4751; Kang, Jae Hwan/0000-0002-3470-2954; Lowitz, Amy/0000-0002-4747-4276; Bischoff, Colin/0000-0001-9185-6514; Dierickx, Marion/0000-0002-3519-8593; Omori, Yuuki/0000-0002-0963-7310; Pryke, Clement/0000-0003-3983-6668; Wu, Kimmy/0000-0001-5411-6920; Gupta, Nikhel/0000-0001-7652-9451; Montgomery, Joshua/0000-0003-0345-8386; Tucker, Carole/0000-0002-1851-3918; Holzapfel, William/0000-0002-5744-6439; Ahmed, Zeeshan/0000-0002-9957-448X; Kovac, John/0009-0003-5432-7180; Cheshire, James/0000-0002-1630-7854; Zhang, Cheng/0000-0001-8288-5823; Novosad, Valentine/0000-0003-2127-2374; Chang, Clarence/0000-0002-6311-0448; Bleem, Lindsey/0000-0001-7665-5079; Saliwanchik, Benjamin/0000-0002-5089-7472; Meyer, Stephan/0000-0003-3315-4332; Dobbs, Matt/0000-0001-7166-6422; Irwin, Kent/0000-0002-2998-9743; Chou, Ti-Lin/0000-0002-3091-8790; Racine, Benjamin/0000-0001-8861-3052; Hildebrandt, Sergi/0000-0003-0220-0009; Lau, King/0000-0002-6445-2407; Schillaci, Alessandro/0000-0002-0512-1042; Stark, Antony/0000-0002-2718-9996; Hui, Howard/0000-0001-5812-1903; Namikawa, Toshiya/0000-0003-3070-9240</t>
  </si>
  <si>
    <t>National Science Foundation [PLR-1248097, OPP-1852617, 0742818, 0742592, 1044978, 1110087, 1145172, 1145143, 1145248, 1639040, 1638957, 1638978, 1638970]; Keck Foundation; JPL Research and Technology Development Fund; NASA [06-ARPA206-0040, 10-SAT10-0017, 12-SAT12-0031, 14-SAT14-0009, 16-SAT-16-0002]; Gordon and Betty Moore Foundation at Caltech; Canada Foundation for Innovation grant; UK STFC [ST/N000706/1]; FAS Science Division Research Computing Group at Harvard University; U.S. DOE Office of Science; NSF Physics Frontier Center Grant [PHY-1125897]; Kavli Foundation; Gordon and Betty Moore Foundation Grant [GBMF 947]; Office of Science of the U.S. Department of Energy [DE-AC02-05CH11231]; University of Melbourne; Australian Research Council's Future Fellowship [FT150100074]; UChicago Argonne LLC; Argonne, a U.S. Department of Energy Office of Science Laboratory [DE-AC02-06CH11357]; Argonne Center for Nanoscale Materials; Natural Science and Engineering Research Council of Canada; Canadian Institute for Advanced Research; Killam research fellowship; Kavli Institute for Cosmological Physics at the University of Chicago [NSF PHY-1125897]; Department of Energy, Laboratory Directed Research and Development program; Panofsky Fellowship program at SLAC National Accelerator Laboratory [DE-AC0276SF00515]; Fermi Research Alliance LLC; U.S. Department of Energy [De-AC02-07CH11359]; Canada Foundation for Innovation under Compute Canada; Government of Ontario; Ontario Research Fund-Research Excellence; University of Toronto; STFC [ST/N000706/1, ST/S00033X/1] Funding Source: UKRI</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</si>
  <si>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UK STFC(UK Research &amp; Innovation (UKRI)Science &amp; Technology Facilities Council (STFC)); FAS Science Division Research Computing Group at Harvard University; U.S. DOE Office of Science(United States Department of Energy (DOE)); NSF Physics Frontier Center Grant(National Science Foundation (NSF)); Kavli Foundation; Gordon and Betty Moore Foundation Grant; Office of Science of the U.S. Department of Energy(United States Department of Energy (DOE)); University of Melbourne(University of Melbourne); Australian Research Council's Future Fellowship(Australian Research Council); UChicago Argonne LLC; Argonne, a U.S. Department of Energy Office of Science Laboratory(United States Department of Energy (DOE)); Argonne Center for Nanoscale Materials; Natural Science and Engineering Research Council of Canada(Natural Sciences and Engineering Research Council of Canada (NSERC)); Canadian Institute for Advanced Research(Canadian Institute for Advanced Research (CIFAR)); Killam research fellowship; Kavli Institute for Cosmological Physics at the University of Chicago(University of Chicago); Department of Energy, Laboratory Directed Research and Development program(United States Department of Energy (DOE)); Panofsky Fellowship program at SLAC National Accelerator Laboratory; Fermi Research Alliance LLC; U.S. Department of Energy(United States Department of Energy (DOE)); Canada Foundation for Innovation under Compute Canada(Canada Foundation for Innovation); Government of Ontario; Ontario Research Fund-Research Excellence; University of Toronto(University of Toronto); STFC(UK Research &amp; Innovation (UKRI)Science &amp; Technology Facilities Council (STFC))</t>
  </si>
  <si>
    <t>The authors thank Dominic Beck and Chang Feng for useful comments on an early version of the draft. The BICEP2/Keck Array projects have been made possible through a series of grants from the National Science Foundation including Grants No. 0742818, No. 0742592, No. 1044978, No. 1110087, No. 1145172, No. 1145143, No. 1145248, No. 1639040, No. 1638957, No. 1638978, and No. 1638970, and by the Keck Foundation. The development of antenna-coupled detector technology was supported by the JPL Research and Technology Development Fund, and by NASA Grants No. 06-ARPA206-0040, No. 10-SAT10-0017, No. 12-SAT12-0031, No. 14-SAT14-0009, and No. 16-SAT-16-0002. The development and testing of focal planes were supported by the Gordon and Betty Moore Foundation at Caltech. Readout electronics were supported by a Canada Foundation for Innovation grant to UBC. Support for quasioptical filtering was provided by UK STFC Grant No. ST/N000706/1. Some of the computations in this paper were run on the Odyssey cluster supported by the FAS Science Division Research Computing Group at Harvard University. The analysis effort at Stanford and S. L. A. C. is partially supported by the U.S. DOE Office of Science.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Array series of experiments, including the BICEP1 team. S. P. T. is supported by the National Science Foundation through Grants No. PLR-1248097 and No. OPP-1852617. Partial support is also provided by the NSF Physics Frontier Center Grant No. PHY-1125897 to the Kavli Institute of Cosmological Physics at the University of Chicago, the Kavli Foundation and the Gordon and Betty Moore Foundation Grant No. GBMF 947. This research used resources of the National Energy Research Scientific Computing Center (NERSC), a DOE Office of Science User Facility supported by the Office of Science of the U.S. Department of Energy under Contract No. DE-AC02-05CH11231. The Melbourne group acknowledges support from the University of Melbourne and an Australian Research Council's Future Fellowship (FT150100074). Work at Argonne National Lab is supported by UChicago Argonne LLC, Operator of Argonne National Laboratory (Argonne). Argonne, a U.S. Department of Energy Office of Science Laboratory, is operated under Contract No. DE-AC02-06CH11357. We also acknowledge support from the Argonne Center for Nanoscale Materials. Work at McGill is supported by the Natural Science and Engineering Research Council of Canada, the Canadian Institute for Advanced Research, and M. D. acknowledges a Killam research fellowship W. L. K. W. is supported in part by the Kavli Institute for Cosmological Physics at the University of Chicago through Grant No. NSF PHY-1125897, an endowment from the Kavli Foundation and its founder Fred Kavli, and by the Department of Energy, Laboratory Directed Research and Development program and as part of the Panofsky Fellowship program at SLAC National Accelerator Laboratory, under Contract No. DE-AC0276SF00515. B. B. is supported by the Fermi Research Alliance LLC under Contract No. De-AC02-07CH11359 with the U.S. Department of Energy. We acknowledge the use of many Python packages: IPython [69], Matplotlib [70], SciPy [71], and HEALPY [72,73]. We also thank the Planck and WMAP teams for the use of their data.; Some of the sky simulations used in this paper were developed by the WebSky Extragalactic CMB Mocks team, with the continuous support of the Canadian Institute for Theoretical Astrophysics (CITA), the Canadian Institute for Advanced Research (CIFAR), and the Natural Sciences and Engineering Research Council of Canada (NSERC), and were generated on the Niagara supercomputer at the SciNet HPC Consortium. SciNet is funded by: the Canada Foundation for Innovation under the auspices of Compute Canada; the Government of Ontario; Ontario Research Fund-Research Excellence; and the University of Toronto.</t>
  </si>
  <si>
    <t>10.1103/PhysRevD.103.022004</t>
  </si>
  <si>
    <t>PY6FW</t>
  </si>
  <si>
    <t>Green Submitted, Green Published, Green Accepted</t>
  </si>
  <si>
    <t>WOS:000612139800001</t>
  </si>
  <si>
    <t>Sharma, JJ; Naik, A; Pant, N; Arora, D; Pandey, M; Singh, P</t>
  </si>
  <si>
    <t>Sharma, Jeev Jatan; Naik, Aditya; Pant, Naresh; Arora, Devsamridhi; Pandey, Mayuri; Singh, Preeti</t>
  </si>
  <si>
    <t>Estimation of effective bulk composition-critical appraisal and a scanning electron microscope based approach</t>
  </si>
  <si>
    <t>GEOLOGICAL JOURNAL</t>
  </si>
  <si>
    <t>effective bulk composition; pseudosections; SEM; THERMOCALC</t>
  </si>
  <si>
    <t>Pseudosections generated using the correctly estimated effective bulk composition (EBC), that is, the bulk of the closed metamorphic system that stays in chemical equilibrium are crucial in deciphering the PT history of a metamorphic terrain. A variety of tools are used by metamorphic petrologists to calculate the effective bulk of a sample, such as XRF bulk data, average bulk using point count analysis, and using X-ray maps areal analysis, each with its own limitations. In this work, we demonstrate a scanning electron microscopy (SEM) based method to generate EBC, by analysing multiple grids of a thin section using area spectrum analysis tool and energy dispersive spectrometry (EDS) acquisition function of electron microscopes. The pseudosections generated using EBC estimated by SEM based method are tested over two pelitic granulites of east Antarctic shield and a medium-grade metapelite from North Delhi Fold Belt of the Indian shield. The results are validated through thermobarometric estimations and are compared with pseudosections produced by using other bulk determination methods, such as XRF data and average bulk combining modal percentage with the mineral compositions. We propose that this method of calculating EBC is better compared to the other methods, as it allows the user to define the localized bulk of a particular domain, besides being a simpler and faster approach than other commonly used methods.</t>
  </si>
  <si>
    <t>[Sharma, Jeev Jatan; Naik, Aditya; Pant, Naresh; Arora, Devsamridhi; Singh, Preeti] Univ Delhi, Dept Geol, New Delhi 110007, India; [Pandey, Mayuri] Banaras Hindu Univ, Dept Geol, Varanasi, Uttar Pradesh, India</t>
  </si>
  <si>
    <t>University of Delhi; Banaras Hindu University (BHU)</t>
  </si>
  <si>
    <t>Pant, N (corresponding author), Univ Delhi, Dept Geol, New Delhi 110007, India.</t>
  </si>
  <si>
    <t>pantnc@gmail.com</t>
  </si>
  <si>
    <t>Singh, Preeti/HOF-3357-2023; Sharma, Jeev/ABC-1157-2021</t>
  </si>
  <si>
    <t>Singh, Preeti/0000-0002-4091-2536; Sharma, Jeev/0000-0003-4957-4913; PANDEY, MAYURI/0000-0001-8125-8051; Arora, Devsamridhi/0000-0003-1790-6960; Pant, Naresh Chandra/0000-0002-3204-0563</t>
  </si>
  <si>
    <t>MoES project [MoES/P.O. (Geol/101(b)/2017), MoES/PAMC/HC/51/2013-PC-II]</t>
  </si>
  <si>
    <t>MoES project</t>
  </si>
  <si>
    <t>MoES project, Grant/Award Numbers: MoES/P.O. (Geol/101(b)/2017, MoES/PAMC/H&amp;C/51/2013-PC-II</t>
  </si>
  <si>
    <t>0072-1050</t>
  </si>
  <si>
    <t>1099-1034</t>
  </si>
  <si>
    <t>GEOL J</t>
  </si>
  <si>
    <t>Geol. J.</t>
  </si>
  <si>
    <t>10.1002/gj.4077</t>
  </si>
  <si>
    <t>SL5LY</t>
  </si>
  <si>
    <t>WOS:000611803500001</t>
  </si>
  <si>
    <t>Newsham, KK; Davey, ML; Hopkins, DW; Dennis, PG</t>
  </si>
  <si>
    <t>Newsham, Kevin K.; Davey, Marie L.; Hopkins, David W.; Dennis, Paul G.</t>
  </si>
  <si>
    <t>Regional Diversity of Maritime Antarctic Soil Fungi and Predicted Responses of Guilds and Growth Forms to Climate Change</t>
  </si>
  <si>
    <t>Agaricales; ascomycetes; climate warming; phylogenetic marker (ITS2) sequencing; lichenised fungi; maritime Antarctica; saprotrophic fungi; yeasts</t>
  </si>
  <si>
    <t>VICTORIA LAND; COMMUNITIES; PATTERNS; DECOMPOSITION; BIODIVERSITY; BACTERIAL; VALLEY</t>
  </si>
  <si>
    <t>We report a metabarcoding study documenting the fungal taxa in 29 barren fellfield soils sampled from along a 1,650 km transect encompassing almost the entire maritime Antarctic (60-72 degrees S) and the environmental factors structuring the richness, relative abundance, and taxonomic composition of three guilds and growth forms. The richness of the lichenised fungal guild, which accounted for 19% of the total fungal community, was positively associated with mean annual surface air temperature (MASAT), with an increase of 1.7 operational taxonomic units (OTUs) of lichenised fungi per degree Celsius rise in air temperature. Soil Mn concentration, MASAT, C:N ratio, and pH value determined the taxonomic composition of the lichenised guild, and the relative abundance of the guild was best predicted by soil Mn concentration. There was a 3% decrease in the relative abundance of the saprotrophic fungal guild in the total community for each degree Celsius rise in air temperature, and the OTU richness of the guild, which accounted for 39% of the community, was negatively associated with Mn concentration. The taxonomic composition of the saprotrophic guild varied with MASAT, pH value, and Mn, NH4+-N, and SO42- concentrations. The richness of the yeast community, which comprised 3% of the total fungal community, was positively associated with soil K concentration, with its composition being determined by C:N ratio. In contrast with a similar study in the Arctic, the relative abundance and richness of lichenised fungi declined between 60 degrees S and 69 degrees S, with those of saprotrophic Agaricales also declining sharply in soils beyond 63 degrees S. Basidiomycota, which accounted for 4% of reads, were much less frequent than in vegetated soils at lower latitudes, with the Ascomycota (70% of reads) being the dominant phylum. We conclude that the richness, relative abundance, and taxonomic composition of guilds and growth forms of maritime Antarctic soil fungi are influenced by air temperature and edaphic factors, with implications for the soils of the region as its climate changes during the 21st century.</t>
  </si>
  <si>
    <t>[Newsham, Kevin K.] NERC, British Antarctic Survey, Cambridge, England; [Davey, Marie L.] Norwegian Inst Nat Res, Trondheim, Norway; [Hopkins, David W.] Scotlands Rural Coll, Edinburgh, Midlothian, Scotland; [Dennis, Paul G.] Univ Queensland, Sch Earth &amp; Environm Sci, Brisbane, Qld, Australia</t>
  </si>
  <si>
    <t>UK Research &amp; Innovation (UKRI); Natural Environment Research Council (NERC); NERC British Antarctic Survey; Norwegian Institute Nature Research; Scotland's Rural College; University of Queensland</t>
  </si>
  <si>
    <t>Newsham, KK (corresponding author), NERC, British Antarctic Survey, Cambridge, England.</t>
  </si>
  <si>
    <t>Davey, Marie Louise/AAC-8282-2020; Dennis, Paul G/H-2141-2017</t>
  </si>
  <si>
    <t>Davey, Marie Louise/0000-0003-3911-8770; Hopkins, David/0000-0003-0953-8643</t>
  </si>
  <si>
    <t>Natural Environment Research Council through its Antarctic Funding Initiative scheme [NE/D00893X/1, AFI 7/05]; University of Queensland through an Early Career Research Award; NERC [bas0100036] Funding Source: UKRI</t>
  </si>
  <si>
    <t>Natural Environment Research Council through its Antarctic Funding Initiative scheme; University of Queensland through an Early Career Research Award; NERC(UK Research &amp; Innovation (UKRI)Natural Environment Research Council (NERC))</t>
  </si>
  <si>
    <t>This work was funded by the Natural Environment Research Council through its Antarctic Funding Initiative scheme (NE/D00893X/1; AFI 7/05) and by the University of Queensland through an Early Career Research Award. The funders had no role in study design, data collection and analysis, decision to publish, or preparation of the manuscript.</t>
  </si>
  <si>
    <t>10.3389/fmicb.2020.615659</t>
  </si>
  <si>
    <t>QE3HZ</t>
  </si>
  <si>
    <t>WOS:000616101600001</t>
  </si>
  <si>
    <t>Huang, L; Mao, FY; Zang, L; Zhang, YQ; Zhang, Y; Zhang, TX</t>
  </si>
  <si>
    <t>Huang, Li; Mao, Feiyue; Zang, Lin; Zhang, Yunquan; Zhang, Yi; Zhang, Taixin</t>
  </si>
  <si>
    <t>Estimation of hourly PM1 concentration in China and its application in population exposure analysis</t>
  </si>
  <si>
    <t>Himawari-8; Hourly PM1; Random forest; Spatiotemporal autocorrelation</t>
  </si>
  <si>
    <t>BEIJING-TIANJIN-HEBEI; AIR-POLLUTION; PM2.5 CONCENTRATIONS; PARTICULATE MATTER; MODELS; MODIS</t>
  </si>
  <si>
    <t>Particulate pollution is closely related to public health. PM1 (particles with an aerodynamic size not larger than 1 mu m) is much more harmful than particles with larger sizes because it goes deeper into the body and hence arouses social concern. However, the sparse and unevenly distributed ground-based observations limit the understanding of spatio-temporal distributions of PM1 in China. In this study, hourly PM1 concentrations in central and eastern China were retrieved based on a random forest model using hourly aerosol optical depth (AOD) from Himawari-8, meteorological and geographic information as inputs. Here the spatiotemporal autocorrelation of PM1 was also considered in the model. Experimental results indicate that although the performance of the proposed model shows diurnal, seasonal and spatial variations, it is relatively better than others, with a determination coefficient (R-2) of 0.83 calculated based on the 10-fold cross validation method. Geographical map implies that PM1 pollution level in Beijing-Tianjin-Hebei is much higher than in other regions, with the mean value of similar to 55 mu g/m(3). Based on the exposure analysis, we found about 75% of the population lives in an environment with PM1 higher than 35 mu g/m(3) in the whole study area. The retrieval dataset in this study is of great significance for further exploring the impact of PM1 on public health. (C) 2020 Elsevier Ltd. All rights reserved.</t>
  </si>
  <si>
    <t>[Huang, Li; Mao, Feiyue; Zhang, Yi; Zhang, Taixin] Wuhan Univ, Sch Remote Sensing &amp; Informat Engn, Wuhan 430079, Peoples R China; [Zang, Lin] Wuhan Univ, Chinese Antarctic Ctr Surveying &amp; Mapping, Wuhan 430079, Peoples R China; [Zhang, Yunquan] Wuhan Univ Sci &amp; Technol, Med Coll, Sch Publ Hlth, Wuhan 430065, Peoples R China</t>
  </si>
  <si>
    <t>Wuhan University; Wuhan University; Wuhan University of Science &amp; Technology</t>
  </si>
  <si>
    <t>Zhang, Yunquan/M-9828-2017</t>
  </si>
  <si>
    <t>Zhang, Yunquan/0000-0002-2618-5088; Zhang, Yi/0000-0003-3929-3595</t>
  </si>
  <si>
    <t>National Natural Science Foundation of China [41701381, 41627804, 41971285]; Fundamental Research Funds for the Central Universities [2042019kf0192, 2042020kf0216]</t>
  </si>
  <si>
    <t>This study is supported by the National Natural Science Foundation of China (41701381, 41627804 and 41971285), and the Fundamental Research Funds for the Central Universities (2042019kf0192 and 2042020kf0216). The authors are also grateful to the JMA, ECMWF, CMA, NASA, and USGS for providing the datasets used in this study.</t>
  </si>
  <si>
    <t>10.1016/j.envpol.2020.115720</t>
  </si>
  <si>
    <t>QR7DX</t>
  </si>
  <si>
    <t>WOS:000625376600002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</si>
</sst>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74</v>
      </c>
      <c r="AC2" t="s">
        <v>87</v>
      </c>
      <c r="AD2" t="s">
        <v>88</v>
      </c>
      <c r="AE2" t="s">
        <v>89</v>
      </c>
      <c r="AF2" t="s">
        <v>74</v>
      </c>
      <c r="AG2">
        <v>67</v>
      </c>
      <c r="AH2">
        <v>1</v>
      </c>
      <c r="AI2">
        <v>1</v>
      </c>
      <c r="AJ2">
        <v>0</v>
      </c>
      <c r="AK2">
        <v>26</v>
      </c>
      <c r="AL2" t="s">
        <v>90</v>
      </c>
      <c r="AM2" t="s">
        <v>91</v>
      </c>
      <c r="AN2" t="s">
        <v>92</v>
      </c>
      <c r="AO2" t="s">
        <v>93</v>
      </c>
      <c r="AP2" t="s">
        <v>94</v>
      </c>
      <c r="AQ2" t="s">
        <v>74</v>
      </c>
      <c r="AR2" t="s">
        <v>95</v>
      </c>
      <c r="AS2" t="s">
        <v>96</v>
      </c>
      <c r="AT2" t="s">
        <v>97</v>
      </c>
      <c r="AU2">
        <v>2021</v>
      </c>
      <c r="AV2">
        <v>133</v>
      </c>
      <c r="AW2" t="s">
        <v>98</v>
      </c>
      <c r="AX2" t="s">
        <v>74</v>
      </c>
      <c r="AY2" t="s">
        <v>74</v>
      </c>
      <c r="AZ2" t="s">
        <v>74</v>
      </c>
      <c r="BA2" t="s">
        <v>74</v>
      </c>
      <c r="BB2">
        <v>1057</v>
      </c>
      <c r="BC2">
        <v>1070</v>
      </c>
      <c r="BD2" t="s">
        <v>74</v>
      </c>
      <c r="BE2" t="s">
        <v>99</v>
      </c>
      <c r="BF2" t="str">
        <f>HYPERLINK("http://dx.doi.org/10.1130/B35673.1","http://dx.doi.org/10.1130/B35673.1")</f>
        <v>http://dx.doi.org/10.1130/B35673.1</v>
      </c>
      <c r="BG2" t="s">
        <v>74</v>
      </c>
      <c r="BH2" t="s">
        <v>74</v>
      </c>
      <c r="BI2">
        <v>14</v>
      </c>
      <c r="BJ2" t="s">
        <v>100</v>
      </c>
      <c r="BK2" t="s">
        <v>101</v>
      </c>
      <c r="BL2" t="s">
        <v>102</v>
      </c>
      <c r="BM2" t="s">
        <v>103</v>
      </c>
      <c r="BN2" t="s">
        <v>74</v>
      </c>
      <c r="BO2" t="s">
        <v>74</v>
      </c>
      <c r="BP2" t="s">
        <v>74</v>
      </c>
      <c r="BQ2" t="s">
        <v>74</v>
      </c>
      <c r="BR2" t="s">
        <v>104</v>
      </c>
      <c r="BS2" t="s">
        <v>105</v>
      </c>
      <c r="BT2" t="str">
        <f>HYPERLINK("https%3A%2F%2Fwww.webofscience.com%2Fwos%2Fwoscc%2Ffull-record%2FWOS:000648979000010","View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78</v>
      </c>
      <c r="N3" t="s">
        <v>79</v>
      </c>
      <c r="O3" t="s">
        <v>74</v>
      </c>
      <c r="P3" t="s">
        <v>74</v>
      </c>
      <c r="Q3" t="s">
        <v>74</v>
      </c>
      <c r="R3" t="s">
        <v>74</v>
      </c>
      <c r="S3" t="s">
        <v>74</v>
      </c>
      <c r="T3" t="s">
        <v>110</v>
      </c>
      <c r="U3" t="s">
        <v>111</v>
      </c>
      <c r="V3" t="s">
        <v>112</v>
      </c>
      <c r="W3" t="s">
        <v>113</v>
      </c>
      <c r="X3" t="s">
        <v>114</v>
      </c>
      <c r="Y3" t="s">
        <v>115</v>
      </c>
      <c r="Z3" t="s">
        <v>116</v>
      </c>
      <c r="AA3" t="s">
        <v>74</v>
      </c>
      <c r="AB3" t="s">
        <v>117</v>
      </c>
      <c r="AC3" t="s">
        <v>118</v>
      </c>
      <c r="AD3" t="s">
        <v>74</v>
      </c>
      <c r="AE3" t="s">
        <v>119</v>
      </c>
      <c r="AF3" t="s">
        <v>74</v>
      </c>
      <c r="AG3">
        <v>94</v>
      </c>
      <c r="AH3">
        <v>15</v>
      </c>
      <c r="AI3">
        <v>15</v>
      </c>
      <c r="AJ3">
        <v>1</v>
      </c>
      <c r="AK3">
        <v>21</v>
      </c>
      <c r="AL3" t="s">
        <v>120</v>
      </c>
      <c r="AM3" t="s">
        <v>121</v>
      </c>
      <c r="AN3" t="s">
        <v>122</v>
      </c>
      <c r="AO3" t="s">
        <v>123</v>
      </c>
      <c r="AP3" t="s">
        <v>124</v>
      </c>
      <c r="AQ3" t="s">
        <v>74</v>
      </c>
      <c r="AR3" t="s">
        <v>125</v>
      </c>
      <c r="AS3" t="s">
        <v>126</v>
      </c>
      <c r="AT3" t="s">
        <v>127</v>
      </c>
      <c r="AU3">
        <v>2021</v>
      </c>
      <c r="AV3">
        <v>34</v>
      </c>
      <c r="AW3">
        <v>10</v>
      </c>
      <c r="AX3" t="s">
        <v>74</v>
      </c>
      <c r="AY3" t="s">
        <v>74</v>
      </c>
      <c r="AZ3" t="s">
        <v>74</v>
      </c>
      <c r="BA3" t="s">
        <v>74</v>
      </c>
      <c r="BB3">
        <v>3839</v>
      </c>
      <c r="BC3">
        <v>3852</v>
      </c>
      <c r="BD3" t="s">
        <v>74</v>
      </c>
      <c r="BE3" t="s">
        <v>128</v>
      </c>
      <c r="BF3" t="str">
        <f>HYPERLINK("http://dx.doi.org/10.1175/JCLI-D-20-0455.1","http://dx.doi.org/10.1175/JCLI-D-20-0455.1")</f>
        <v>http://dx.doi.org/10.1175/JCLI-D-20-0455.1</v>
      </c>
      <c r="BG3" t="s">
        <v>74</v>
      </c>
      <c r="BH3" t="s">
        <v>74</v>
      </c>
      <c r="BI3">
        <v>14</v>
      </c>
      <c r="BJ3" t="s">
        <v>129</v>
      </c>
      <c r="BK3" t="s">
        <v>101</v>
      </c>
      <c r="BL3" t="s">
        <v>129</v>
      </c>
      <c r="BM3" t="s">
        <v>130</v>
      </c>
      <c r="BN3" t="s">
        <v>74</v>
      </c>
      <c r="BO3" t="s">
        <v>74</v>
      </c>
      <c r="BP3" t="s">
        <v>74</v>
      </c>
      <c r="BQ3" t="s">
        <v>74</v>
      </c>
      <c r="BR3" t="s">
        <v>104</v>
      </c>
      <c r="BS3" t="s">
        <v>131</v>
      </c>
      <c r="BT3" t="str">
        <f>HYPERLINK("https%3A%2F%2Fwww.webofscience.com%2Fwos%2Fwoscc%2Ffull-record%2FWOS:000644153200007","View Full Record in Web of Science")</f>
        <v>View Full Record in Web of Science</v>
      </c>
    </row>
    <row r="4" spans="1:72" x14ac:dyDescent="0.15">
      <c r="A4" t="s">
        <v>72</v>
      </c>
      <c r="B4" t="s">
        <v>132</v>
      </c>
      <c r="C4" t="s">
        <v>74</v>
      </c>
      <c r="D4" t="s">
        <v>74</v>
      </c>
      <c r="E4" t="s">
        <v>74</v>
      </c>
      <c r="F4" t="s">
        <v>133</v>
      </c>
      <c r="G4" t="s">
        <v>74</v>
      </c>
      <c r="H4" t="s">
        <v>74</v>
      </c>
      <c r="I4" t="s">
        <v>134</v>
      </c>
      <c r="J4" t="s">
        <v>109</v>
      </c>
      <c r="K4" t="s">
        <v>74</v>
      </c>
      <c r="L4" t="s">
        <v>74</v>
      </c>
      <c r="M4" t="s">
        <v>78</v>
      </c>
      <c r="N4" t="s">
        <v>79</v>
      </c>
      <c r="O4" t="s">
        <v>74</v>
      </c>
      <c r="P4" t="s">
        <v>74</v>
      </c>
      <c r="Q4" t="s">
        <v>74</v>
      </c>
      <c r="R4" t="s">
        <v>74</v>
      </c>
      <c r="S4" t="s">
        <v>74</v>
      </c>
      <c r="T4" t="s">
        <v>135</v>
      </c>
      <c r="U4" t="s">
        <v>136</v>
      </c>
      <c r="V4" t="s">
        <v>137</v>
      </c>
      <c r="W4" t="s">
        <v>138</v>
      </c>
      <c r="X4" t="s">
        <v>139</v>
      </c>
      <c r="Y4" t="s">
        <v>140</v>
      </c>
      <c r="Z4" t="s">
        <v>141</v>
      </c>
      <c r="AA4" t="s">
        <v>142</v>
      </c>
      <c r="AB4" t="s">
        <v>143</v>
      </c>
      <c r="AC4" t="s">
        <v>144</v>
      </c>
      <c r="AD4" t="s">
        <v>145</v>
      </c>
      <c r="AE4" t="s">
        <v>146</v>
      </c>
      <c r="AF4" t="s">
        <v>74</v>
      </c>
      <c r="AG4">
        <v>66</v>
      </c>
      <c r="AH4">
        <v>3</v>
      </c>
      <c r="AI4">
        <v>3</v>
      </c>
      <c r="AJ4">
        <v>0</v>
      </c>
      <c r="AK4">
        <v>15</v>
      </c>
      <c r="AL4" t="s">
        <v>120</v>
      </c>
      <c r="AM4" t="s">
        <v>121</v>
      </c>
      <c r="AN4" t="s">
        <v>122</v>
      </c>
      <c r="AO4" t="s">
        <v>123</v>
      </c>
      <c r="AP4" t="s">
        <v>124</v>
      </c>
      <c r="AQ4" t="s">
        <v>74</v>
      </c>
      <c r="AR4" t="s">
        <v>125</v>
      </c>
      <c r="AS4" t="s">
        <v>126</v>
      </c>
      <c r="AT4" t="s">
        <v>127</v>
      </c>
      <c r="AU4">
        <v>2021</v>
      </c>
      <c r="AV4">
        <v>34</v>
      </c>
      <c r="AW4">
        <v>10</v>
      </c>
      <c r="AX4" t="s">
        <v>74</v>
      </c>
      <c r="AY4" t="s">
        <v>74</v>
      </c>
      <c r="AZ4" t="s">
        <v>74</v>
      </c>
      <c r="BA4" t="s">
        <v>74</v>
      </c>
      <c r="BB4">
        <v>4145</v>
      </c>
      <c r="BC4">
        <v>4158</v>
      </c>
      <c r="BD4" t="s">
        <v>74</v>
      </c>
      <c r="BE4" t="s">
        <v>147</v>
      </c>
      <c r="BF4" t="str">
        <f>HYPERLINK("http://dx.doi.org/10.1175/JCLI-D-20-0743.1","http://dx.doi.org/10.1175/JCLI-D-20-0743.1")</f>
        <v>http://dx.doi.org/10.1175/JCLI-D-20-0743.1</v>
      </c>
      <c r="BG4" t="s">
        <v>74</v>
      </c>
      <c r="BH4" t="s">
        <v>74</v>
      </c>
      <c r="BI4">
        <v>14</v>
      </c>
      <c r="BJ4" t="s">
        <v>129</v>
      </c>
      <c r="BK4" t="s">
        <v>101</v>
      </c>
      <c r="BL4" t="s">
        <v>129</v>
      </c>
      <c r="BM4" t="s">
        <v>130</v>
      </c>
      <c r="BN4" t="s">
        <v>74</v>
      </c>
      <c r="BO4" t="s">
        <v>148</v>
      </c>
      <c r="BP4" t="s">
        <v>74</v>
      </c>
      <c r="BQ4" t="s">
        <v>74</v>
      </c>
      <c r="BR4" t="s">
        <v>104</v>
      </c>
      <c r="BS4" t="s">
        <v>149</v>
      </c>
      <c r="BT4" t="str">
        <f>HYPERLINK("https%3A%2F%2Fwww.webofscience.com%2Fwos%2Fwoscc%2Ffull-record%2FWOS:000644153200024","View Full Record in Web of Science")</f>
        <v>View Full Record in Web of Science</v>
      </c>
    </row>
    <row r="5" spans="1:72" x14ac:dyDescent="0.15">
      <c r="A5" t="s">
        <v>72</v>
      </c>
      <c r="B5" t="s">
        <v>150</v>
      </c>
      <c r="C5" t="s">
        <v>74</v>
      </c>
      <c r="D5" t="s">
        <v>74</v>
      </c>
      <c r="E5" t="s">
        <v>74</v>
      </c>
      <c r="F5" t="s">
        <v>151</v>
      </c>
      <c r="G5" t="s">
        <v>74</v>
      </c>
      <c r="H5" t="s">
        <v>74</v>
      </c>
      <c r="I5" t="s">
        <v>152</v>
      </c>
      <c r="J5" t="s">
        <v>153</v>
      </c>
      <c r="K5" t="s">
        <v>74</v>
      </c>
      <c r="L5" t="s">
        <v>74</v>
      </c>
      <c r="M5" t="s">
        <v>78</v>
      </c>
      <c r="N5" t="s">
        <v>79</v>
      </c>
      <c r="O5" t="s">
        <v>74</v>
      </c>
      <c r="P5" t="s">
        <v>74</v>
      </c>
      <c r="Q5" t="s">
        <v>74</v>
      </c>
      <c r="R5" t="s">
        <v>74</v>
      </c>
      <c r="S5" t="s">
        <v>74</v>
      </c>
      <c r="T5" t="s">
        <v>154</v>
      </c>
      <c r="U5" t="s">
        <v>155</v>
      </c>
      <c r="V5" t="s">
        <v>156</v>
      </c>
      <c r="W5" t="s">
        <v>157</v>
      </c>
      <c r="X5" t="s">
        <v>158</v>
      </c>
      <c r="Y5" t="s">
        <v>159</v>
      </c>
      <c r="Z5" t="s">
        <v>160</v>
      </c>
      <c r="AA5" t="s">
        <v>161</v>
      </c>
      <c r="AB5" t="s">
        <v>162</v>
      </c>
      <c r="AC5" t="s">
        <v>163</v>
      </c>
      <c r="AD5" t="s">
        <v>164</v>
      </c>
      <c r="AE5" t="s">
        <v>165</v>
      </c>
      <c r="AF5" t="s">
        <v>74</v>
      </c>
      <c r="AG5">
        <v>71</v>
      </c>
      <c r="AH5">
        <v>4</v>
      </c>
      <c r="AI5">
        <v>4</v>
      </c>
      <c r="AJ5">
        <v>2</v>
      </c>
      <c r="AK5">
        <v>12</v>
      </c>
      <c r="AL5" t="s">
        <v>166</v>
      </c>
      <c r="AM5" t="s">
        <v>167</v>
      </c>
      <c r="AN5" t="s">
        <v>168</v>
      </c>
      <c r="AO5" t="s">
        <v>169</v>
      </c>
      <c r="AP5" t="s">
        <v>170</v>
      </c>
      <c r="AQ5" t="s">
        <v>74</v>
      </c>
      <c r="AR5" t="s">
        <v>171</v>
      </c>
      <c r="AS5" t="s">
        <v>172</v>
      </c>
      <c r="AT5" t="s">
        <v>127</v>
      </c>
      <c r="AU5">
        <v>2021</v>
      </c>
      <c r="AV5">
        <v>83</v>
      </c>
      <c r="AW5">
        <v>5</v>
      </c>
      <c r="AX5" t="s">
        <v>74</v>
      </c>
      <c r="AY5" t="s">
        <v>74</v>
      </c>
      <c r="AZ5" t="s">
        <v>74</v>
      </c>
      <c r="BA5" t="s">
        <v>74</v>
      </c>
      <c r="BB5" t="s">
        <v>74</v>
      </c>
      <c r="BC5" t="s">
        <v>74</v>
      </c>
      <c r="BD5">
        <v>37</v>
      </c>
      <c r="BE5" t="s">
        <v>173</v>
      </c>
      <c r="BF5" t="str">
        <f>HYPERLINK("http://dx.doi.org/10.1007/s00445-021-01452-5","http://dx.doi.org/10.1007/s00445-021-01452-5")</f>
        <v>http://dx.doi.org/10.1007/s00445-021-01452-5</v>
      </c>
      <c r="BG5" t="s">
        <v>74</v>
      </c>
      <c r="BH5" t="s">
        <v>74</v>
      </c>
      <c r="BI5">
        <v>21</v>
      </c>
      <c r="BJ5" t="s">
        <v>100</v>
      </c>
      <c r="BK5" t="s">
        <v>101</v>
      </c>
      <c r="BL5" t="s">
        <v>102</v>
      </c>
      <c r="BM5" t="s">
        <v>174</v>
      </c>
      <c r="BN5" t="s">
        <v>74</v>
      </c>
      <c r="BO5" t="s">
        <v>74</v>
      </c>
      <c r="BP5" t="s">
        <v>74</v>
      </c>
      <c r="BQ5" t="s">
        <v>74</v>
      </c>
      <c r="BR5" t="s">
        <v>104</v>
      </c>
      <c r="BS5" t="s">
        <v>175</v>
      </c>
      <c r="BT5" t="str">
        <f>HYPERLINK("https%3A%2F%2Fwww.webofscience.com%2Fwos%2Fwoscc%2Ffull-record%2FWOS:000644846800001","View Full Record in Web of Science")</f>
        <v>View Full Record in Web of Science</v>
      </c>
    </row>
    <row r="6" spans="1:72" x14ac:dyDescent="0.15">
      <c r="A6" t="s">
        <v>72</v>
      </c>
      <c r="B6" t="s">
        <v>176</v>
      </c>
      <c r="C6" t="s">
        <v>74</v>
      </c>
      <c r="D6" t="s">
        <v>74</v>
      </c>
      <c r="E6" t="s">
        <v>74</v>
      </c>
      <c r="F6" t="s">
        <v>177</v>
      </c>
      <c r="G6" t="s">
        <v>74</v>
      </c>
      <c r="H6" t="s">
        <v>74</v>
      </c>
      <c r="I6" t="s">
        <v>178</v>
      </c>
      <c r="J6" t="s">
        <v>179</v>
      </c>
      <c r="K6" t="s">
        <v>74</v>
      </c>
      <c r="L6" t="s">
        <v>74</v>
      </c>
      <c r="M6" t="s">
        <v>78</v>
      </c>
      <c r="N6" t="s">
        <v>79</v>
      </c>
      <c r="O6" t="s">
        <v>74</v>
      </c>
      <c r="P6" t="s">
        <v>74</v>
      </c>
      <c r="Q6" t="s">
        <v>74</v>
      </c>
      <c r="R6" t="s">
        <v>74</v>
      </c>
      <c r="S6" t="s">
        <v>74</v>
      </c>
      <c r="T6" t="s">
        <v>180</v>
      </c>
      <c r="U6" t="s">
        <v>181</v>
      </c>
      <c r="V6" t="s">
        <v>182</v>
      </c>
      <c r="W6" t="s">
        <v>183</v>
      </c>
      <c r="X6" t="s">
        <v>184</v>
      </c>
      <c r="Y6" t="s">
        <v>185</v>
      </c>
      <c r="Z6" t="s">
        <v>186</v>
      </c>
      <c r="AA6" t="s">
        <v>187</v>
      </c>
      <c r="AB6" t="s">
        <v>188</v>
      </c>
      <c r="AC6" t="s">
        <v>189</v>
      </c>
      <c r="AD6" t="s">
        <v>190</v>
      </c>
      <c r="AE6" t="s">
        <v>191</v>
      </c>
      <c r="AF6" t="s">
        <v>74</v>
      </c>
      <c r="AG6">
        <v>77</v>
      </c>
      <c r="AH6">
        <v>17</v>
      </c>
      <c r="AI6">
        <v>18</v>
      </c>
      <c r="AJ6">
        <v>10</v>
      </c>
      <c r="AK6">
        <v>48</v>
      </c>
      <c r="AL6" t="s">
        <v>166</v>
      </c>
      <c r="AM6" t="s">
        <v>192</v>
      </c>
      <c r="AN6" t="s">
        <v>193</v>
      </c>
      <c r="AO6" t="s">
        <v>194</v>
      </c>
      <c r="AP6" t="s">
        <v>195</v>
      </c>
      <c r="AQ6" t="s">
        <v>74</v>
      </c>
      <c r="AR6" t="s">
        <v>179</v>
      </c>
      <c r="AS6" t="s">
        <v>196</v>
      </c>
      <c r="AT6" t="s">
        <v>127</v>
      </c>
      <c r="AU6">
        <v>2021</v>
      </c>
      <c r="AV6">
        <v>166</v>
      </c>
      <c r="AW6" t="s">
        <v>197</v>
      </c>
      <c r="AX6" t="s">
        <v>74</v>
      </c>
      <c r="AY6" t="s">
        <v>74</v>
      </c>
      <c r="AZ6" t="s">
        <v>74</v>
      </c>
      <c r="BA6" t="s">
        <v>74</v>
      </c>
      <c r="BB6" t="s">
        <v>74</v>
      </c>
      <c r="BC6" t="s">
        <v>74</v>
      </c>
      <c r="BD6">
        <v>1</v>
      </c>
      <c r="BE6" t="s">
        <v>198</v>
      </c>
      <c r="BF6" t="str">
        <f>HYPERLINK("http://dx.doi.org/10.1007/s10584-021-03094-0","http://dx.doi.org/10.1007/s10584-021-03094-0")</f>
        <v>http://dx.doi.org/10.1007/s10584-021-03094-0</v>
      </c>
      <c r="BG6" t="s">
        <v>74</v>
      </c>
      <c r="BH6" t="s">
        <v>74</v>
      </c>
      <c r="BI6">
        <v>14</v>
      </c>
      <c r="BJ6" t="s">
        <v>199</v>
      </c>
      <c r="BK6" t="s">
        <v>101</v>
      </c>
      <c r="BL6" t="s">
        <v>200</v>
      </c>
      <c r="BM6" t="s">
        <v>201</v>
      </c>
      <c r="BN6" t="s">
        <v>74</v>
      </c>
      <c r="BO6" t="s">
        <v>74</v>
      </c>
      <c r="BP6" t="s">
        <v>74</v>
      </c>
      <c r="BQ6" t="s">
        <v>74</v>
      </c>
      <c r="BR6" t="s">
        <v>104</v>
      </c>
      <c r="BS6" t="s">
        <v>202</v>
      </c>
      <c r="BT6" t="str">
        <f>HYPERLINK("https%3A%2F%2Fwww.webofscience.com%2Fwos%2Fwoscc%2Ffull-record%2FWOS:000647395300001","View Full Record in Web of Science")</f>
        <v>View Full Record in Web of Science</v>
      </c>
    </row>
    <row r="7" spans="1:72" x14ac:dyDescent="0.15">
      <c r="A7" t="s">
        <v>72</v>
      </c>
      <c r="B7" t="s">
        <v>203</v>
      </c>
      <c r="C7" t="s">
        <v>74</v>
      </c>
      <c r="D7" t="s">
        <v>74</v>
      </c>
      <c r="E7" t="s">
        <v>74</v>
      </c>
      <c r="F7" t="s">
        <v>204</v>
      </c>
      <c r="G7" t="s">
        <v>74</v>
      </c>
      <c r="H7" t="s">
        <v>74</v>
      </c>
      <c r="I7" t="s">
        <v>205</v>
      </c>
      <c r="J7" t="s">
        <v>206</v>
      </c>
      <c r="K7" t="s">
        <v>74</v>
      </c>
      <c r="L7" t="s">
        <v>74</v>
      </c>
      <c r="M7" t="s">
        <v>78</v>
      </c>
      <c r="N7" t="s">
        <v>79</v>
      </c>
      <c r="O7" t="s">
        <v>74</v>
      </c>
      <c r="P7" t="s">
        <v>74</v>
      </c>
      <c r="Q7" t="s">
        <v>74</v>
      </c>
      <c r="R7" t="s">
        <v>74</v>
      </c>
      <c r="S7" t="s">
        <v>74</v>
      </c>
      <c r="T7" t="s">
        <v>207</v>
      </c>
      <c r="U7" t="s">
        <v>208</v>
      </c>
      <c r="V7" t="s">
        <v>209</v>
      </c>
      <c r="W7" t="s">
        <v>210</v>
      </c>
      <c r="X7" t="s">
        <v>211</v>
      </c>
      <c r="Y7" t="s">
        <v>212</v>
      </c>
      <c r="Z7" t="s">
        <v>213</v>
      </c>
      <c r="AA7" t="s">
        <v>214</v>
      </c>
      <c r="AB7" t="s">
        <v>215</v>
      </c>
      <c r="AC7" t="s">
        <v>216</v>
      </c>
      <c r="AD7" t="s">
        <v>217</v>
      </c>
      <c r="AE7" t="s">
        <v>218</v>
      </c>
      <c r="AF7" t="s">
        <v>74</v>
      </c>
      <c r="AG7">
        <v>42</v>
      </c>
      <c r="AH7">
        <v>4</v>
      </c>
      <c r="AI7">
        <v>4</v>
      </c>
      <c r="AJ7">
        <v>0</v>
      </c>
      <c r="AK7">
        <v>5</v>
      </c>
      <c r="AL7" t="s">
        <v>166</v>
      </c>
      <c r="AM7" t="s">
        <v>192</v>
      </c>
      <c r="AN7" t="s">
        <v>193</v>
      </c>
      <c r="AO7" t="s">
        <v>219</v>
      </c>
      <c r="AP7" t="s">
        <v>220</v>
      </c>
      <c r="AQ7" t="s">
        <v>74</v>
      </c>
      <c r="AR7" t="s">
        <v>221</v>
      </c>
      <c r="AS7" t="s">
        <v>222</v>
      </c>
      <c r="AT7" t="s">
        <v>127</v>
      </c>
      <c r="AU7">
        <v>2021</v>
      </c>
      <c r="AV7">
        <v>193</v>
      </c>
      <c r="AW7">
        <v>5</v>
      </c>
      <c r="AX7" t="s">
        <v>74</v>
      </c>
      <c r="AY7" t="s">
        <v>74</v>
      </c>
      <c r="AZ7" t="s">
        <v>74</v>
      </c>
      <c r="BA7" t="s">
        <v>74</v>
      </c>
      <c r="BB7" t="s">
        <v>74</v>
      </c>
      <c r="BC7" t="s">
        <v>74</v>
      </c>
      <c r="BD7">
        <v>290</v>
      </c>
      <c r="BE7" t="s">
        <v>223</v>
      </c>
      <c r="BF7" t="str">
        <f>HYPERLINK("http://dx.doi.org/10.1007/s10661-021-09090-2","http://dx.doi.org/10.1007/s10661-021-09090-2")</f>
        <v>http://dx.doi.org/10.1007/s10661-021-09090-2</v>
      </c>
      <c r="BG7" t="s">
        <v>74</v>
      </c>
      <c r="BH7" t="s">
        <v>74</v>
      </c>
      <c r="BI7">
        <v>8</v>
      </c>
      <c r="BJ7" t="s">
        <v>224</v>
      </c>
      <c r="BK7" t="s">
        <v>101</v>
      </c>
      <c r="BL7" t="s">
        <v>225</v>
      </c>
      <c r="BM7" t="s">
        <v>226</v>
      </c>
      <c r="BN7">
        <v>33890180</v>
      </c>
      <c r="BO7" t="s">
        <v>227</v>
      </c>
      <c r="BP7" t="s">
        <v>74</v>
      </c>
      <c r="BQ7" t="s">
        <v>74</v>
      </c>
      <c r="BR7" t="s">
        <v>104</v>
      </c>
      <c r="BS7" t="s">
        <v>228</v>
      </c>
      <c r="BT7" t="str">
        <f>HYPERLINK("https%3A%2F%2Fwww.webofscience.com%2Fwos%2Fwoscc%2Ffull-record%2FWOS:000644081300003","View Full Record in Web of Science")</f>
        <v>View Full Record in Web of Science</v>
      </c>
    </row>
    <row r="8" spans="1:72" x14ac:dyDescent="0.15">
      <c r="A8" t="s">
        <v>72</v>
      </c>
      <c r="B8" t="s">
        <v>229</v>
      </c>
      <c r="C8" t="s">
        <v>74</v>
      </c>
      <c r="D8" t="s">
        <v>74</v>
      </c>
      <c r="E8" t="s">
        <v>74</v>
      </c>
      <c r="F8" t="s">
        <v>230</v>
      </c>
      <c r="G8" t="s">
        <v>74</v>
      </c>
      <c r="H8" t="s">
        <v>74</v>
      </c>
      <c r="I8" t="s">
        <v>231</v>
      </c>
      <c r="J8" t="s">
        <v>232</v>
      </c>
      <c r="K8" t="s">
        <v>74</v>
      </c>
      <c r="L8" t="s">
        <v>74</v>
      </c>
      <c r="M8" t="s">
        <v>78</v>
      </c>
      <c r="N8" t="s">
        <v>79</v>
      </c>
      <c r="O8" t="s">
        <v>74</v>
      </c>
      <c r="P8" t="s">
        <v>74</v>
      </c>
      <c r="Q8" t="s">
        <v>74</v>
      </c>
      <c r="R8" t="s">
        <v>74</v>
      </c>
      <c r="S8" t="s">
        <v>74</v>
      </c>
      <c r="T8" t="s">
        <v>233</v>
      </c>
      <c r="U8" t="s">
        <v>234</v>
      </c>
      <c r="V8" t="s">
        <v>235</v>
      </c>
      <c r="W8" t="s">
        <v>236</v>
      </c>
      <c r="X8" t="s">
        <v>237</v>
      </c>
      <c r="Y8" t="s">
        <v>238</v>
      </c>
      <c r="Z8" t="s">
        <v>239</v>
      </c>
      <c r="AA8" t="s">
        <v>240</v>
      </c>
      <c r="AB8" t="s">
        <v>241</v>
      </c>
      <c r="AC8" t="s">
        <v>242</v>
      </c>
      <c r="AD8" t="s">
        <v>243</v>
      </c>
      <c r="AE8" t="s">
        <v>244</v>
      </c>
      <c r="AF8" t="s">
        <v>74</v>
      </c>
      <c r="AG8">
        <v>35</v>
      </c>
      <c r="AH8">
        <v>3</v>
      </c>
      <c r="AI8">
        <v>3</v>
      </c>
      <c r="AJ8">
        <v>5</v>
      </c>
      <c r="AK8">
        <v>35</v>
      </c>
      <c r="AL8" t="s">
        <v>245</v>
      </c>
      <c r="AM8" t="s">
        <v>246</v>
      </c>
      <c r="AN8" t="s">
        <v>247</v>
      </c>
      <c r="AO8" t="s">
        <v>248</v>
      </c>
      <c r="AP8" t="s">
        <v>249</v>
      </c>
      <c r="AQ8" t="s">
        <v>74</v>
      </c>
      <c r="AR8" t="s">
        <v>250</v>
      </c>
      <c r="AS8" t="s">
        <v>251</v>
      </c>
      <c r="AT8" t="s">
        <v>127</v>
      </c>
      <c r="AU8">
        <v>2021</v>
      </c>
      <c r="AV8">
        <v>59</v>
      </c>
      <c r="AW8">
        <v>5</v>
      </c>
      <c r="AX8" t="s">
        <v>74</v>
      </c>
      <c r="AY8" t="s">
        <v>74</v>
      </c>
      <c r="AZ8" t="s">
        <v>74</v>
      </c>
      <c r="BA8" t="s">
        <v>74</v>
      </c>
      <c r="BB8">
        <v>3725</v>
      </c>
      <c r="BC8">
        <v>3736</v>
      </c>
      <c r="BD8" t="s">
        <v>74</v>
      </c>
      <c r="BE8" t="s">
        <v>252</v>
      </c>
      <c r="BF8" t="str">
        <f>HYPERLINK("http://dx.doi.org/10.1109/TGRS.2020.3022949","http://dx.doi.org/10.1109/TGRS.2020.3022949")</f>
        <v>http://dx.doi.org/10.1109/TGRS.2020.3022949</v>
      </c>
      <c r="BG8" t="s">
        <v>74</v>
      </c>
      <c r="BH8" t="s">
        <v>74</v>
      </c>
      <c r="BI8">
        <v>12</v>
      </c>
      <c r="BJ8" t="s">
        <v>253</v>
      </c>
      <c r="BK8" t="s">
        <v>101</v>
      </c>
      <c r="BL8" t="s">
        <v>254</v>
      </c>
      <c r="BM8" t="s">
        <v>255</v>
      </c>
      <c r="BN8" t="s">
        <v>74</v>
      </c>
      <c r="BO8" t="s">
        <v>74</v>
      </c>
      <c r="BP8" t="s">
        <v>74</v>
      </c>
      <c r="BQ8" t="s">
        <v>74</v>
      </c>
      <c r="BR8" t="s">
        <v>104</v>
      </c>
      <c r="BS8" t="s">
        <v>256</v>
      </c>
      <c r="BT8" t="str">
        <f>HYPERLINK("https%3A%2F%2Fwww.webofscience.com%2Fwos%2Fwoscc%2Ffull-record%2FWOS:000642096400008","View Full Record in Web of Science")</f>
        <v>View Full Record in Web of Science</v>
      </c>
    </row>
    <row r="9" spans="1:72" x14ac:dyDescent="0.15">
      <c r="A9" t="s">
        <v>72</v>
      </c>
      <c r="B9" t="s">
        <v>257</v>
      </c>
      <c r="C9" t="s">
        <v>74</v>
      </c>
      <c r="D9" t="s">
        <v>74</v>
      </c>
      <c r="E9" t="s">
        <v>74</v>
      </c>
      <c r="F9" t="s">
        <v>258</v>
      </c>
      <c r="G9" t="s">
        <v>74</v>
      </c>
      <c r="H9" t="s">
        <v>74</v>
      </c>
      <c r="I9" t="s">
        <v>259</v>
      </c>
      <c r="J9" t="s">
        <v>232</v>
      </c>
      <c r="K9" t="s">
        <v>74</v>
      </c>
      <c r="L9" t="s">
        <v>74</v>
      </c>
      <c r="M9" t="s">
        <v>78</v>
      </c>
      <c r="N9" t="s">
        <v>79</v>
      </c>
      <c r="O9" t="s">
        <v>74</v>
      </c>
      <c r="P9" t="s">
        <v>74</v>
      </c>
      <c r="Q9" t="s">
        <v>74</v>
      </c>
      <c r="R9" t="s">
        <v>74</v>
      </c>
      <c r="S9" t="s">
        <v>74</v>
      </c>
      <c r="T9" t="s">
        <v>260</v>
      </c>
      <c r="U9" t="s">
        <v>261</v>
      </c>
      <c r="V9" t="s">
        <v>262</v>
      </c>
      <c r="W9" t="s">
        <v>263</v>
      </c>
      <c r="X9" t="s">
        <v>264</v>
      </c>
      <c r="Y9" t="s">
        <v>265</v>
      </c>
      <c r="Z9" t="s">
        <v>266</v>
      </c>
      <c r="AA9" t="s">
        <v>267</v>
      </c>
      <c r="AB9" t="s">
        <v>268</v>
      </c>
      <c r="AC9" t="s">
        <v>269</v>
      </c>
      <c r="AD9" t="s">
        <v>270</v>
      </c>
      <c r="AE9" t="s">
        <v>271</v>
      </c>
      <c r="AF9" t="s">
        <v>74</v>
      </c>
      <c r="AG9">
        <v>30</v>
      </c>
      <c r="AH9">
        <v>3</v>
      </c>
      <c r="AI9">
        <v>3</v>
      </c>
      <c r="AJ9">
        <v>0</v>
      </c>
      <c r="AK9">
        <v>1</v>
      </c>
      <c r="AL9" t="s">
        <v>245</v>
      </c>
      <c r="AM9" t="s">
        <v>246</v>
      </c>
      <c r="AN9" t="s">
        <v>247</v>
      </c>
      <c r="AO9" t="s">
        <v>248</v>
      </c>
      <c r="AP9" t="s">
        <v>249</v>
      </c>
      <c r="AQ9" t="s">
        <v>74</v>
      </c>
      <c r="AR9" t="s">
        <v>250</v>
      </c>
      <c r="AS9" t="s">
        <v>251</v>
      </c>
      <c r="AT9" t="s">
        <v>127</v>
      </c>
      <c r="AU9">
        <v>2021</v>
      </c>
      <c r="AV9">
        <v>59</v>
      </c>
      <c r="AW9">
        <v>5</v>
      </c>
      <c r="AX9" t="s">
        <v>74</v>
      </c>
      <c r="AY9" t="s">
        <v>74</v>
      </c>
      <c r="AZ9" t="s">
        <v>74</v>
      </c>
      <c r="BA9" t="s">
        <v>74</v>
      </c>
      <c r="BB9">
        <v>4044</v>
      </c>
      <c r="BC9">
        <v>4061</v>
      </c>
      <c r="BD9" t="s">
        <v>74</v>
      </c>
      <c r="BE9" t="s">
        <v>272</v>
      </c>
      <c r="BF9" t="str">
        <f>HYPERLINK("http://dx.doi.org/10.1109/TGRS.2020.3024677","http://dx.doi.org/10.1109/TGRS.2020.3024677")</f>
        <v>http://dx.doi.org/10.1109/TGRS.2020.3024677</v>
      </c>
      <c r="BG9" t="s">
        <v>74</v>
      </c>
      <c r="BH9" t="s">
        <v>74</v>
      </c>
      <c r="BI9">
        <v>18</v>
      </c>
      <c r="BJ9" t="s">
        <v>253</v>
      </c>
      <c r="BK9" t="s">
        <v>101</v>
      </c>
      <c r="BL9" t="s">
        <v>254</v>
      </c>
      <c r="BM9" t="s">
        <v>255</v>
      </c>
      <c r="BN9" t="s">
        <v>74</v>
      </c>
      <c r="BO9" t="s">
        <v>74</v>
      </c>
      <c r="BP9" t="s">
        <v>74</v>
      </c>
      <c r="BQ9" t="s">
        <v>74</v>
      </c>
      <c r="BR9" t="s">
        <v>104</v>
      </c>
      <c r="BS9" t="s">
        <v>273</v>
      </c>
      <c r="BT9" t="str">
        <f>HYPERLINK("https%3A%2F%2Fwww.webofscience.com%2Fwos%2Fwoscc%2Ffull-record%2FWOS:000642096400031","View Full Record in Web of Science")</f>
        <v>View Full Record in Web of Science</v>
      </c>
    </row>
    <row r="10" spans="1:72" x14ac:dyDescent="0.15">
      <c r="A10" t="s">
        <v>72</v>
      </c>
      <c r="B10" t="s">
        <v>274</v>
      </c>
      <c r="C10" t="s">
        <v>74</v>
      </c>
      <c r="D10" t="s">
        <v>74</v>
      </c>
      <c r="E10" t="s">
        <v>74</v>
      </c>
      <c r="F10" t="s">
        <v>275</v>
      </c>
      <c r="G10" t="s">
        <v>74</v>
      </c>
      <c r="H10" t="s">
        <v>74</v>
      </c>
      <c r="I10" t="s">
        <v>276</v>
      </c>
      <c r="J10" t="s">
        <v>277</v>
      </c>
      <c r="K10" t="s">
        <v>74</v>
      </c>
      <c r="L10" t="s">
        <v>74</v>
      </c>
      <c r="M10" t="s">
        <v>78</v>
      </c>
      <c r="N10" t="s">
        <v>79</v>
      </c>
      <c r="O10" t="s">
        <v>74</v>
      </c>
      <c r="P10" t="s">
        <v>74</v>
      </c>
      <c r="Q10" t="s">
        <v>74</v>
      </c>
      <c r="R10" t="s">
        <v>74</v>
      </c>
      <c r="S10" t="s">
        <v>74</v>
      </c>
      <c r="T10" t="s">
        <v>278</v>
      </c>
      <c r="U10" t="s">
        <v>279</v>
      </c>
      <c r="V10" t="s">
        <v>280</v>
      </c>
      <c r="W10" t="s">
        <v>281</v>
      </c>
      <c r="X10" t="s">
        <v>282</v>
      </c>
      <c r="Y10" t="s">
        <v>283</v>
      </c>
      <c r="Z10" t="s">
        <v>284</v>
      </c>
      <c r="AA10" t="s">
        <v>285</v>
      </c>
      <c r="AB10" t="s">
        <v>286</v>
      </c>
      <c r="AC10" t="s">
        <v>287</v>
      </c>
      <c r="AD10" t="s">
        <v>288</v>
      </c>
      <c r="AE10" t="s">
        <v>289</v>
      </c>
      <c r="AF10" t="s">
        <v>74</v>
      </c>
      <c r="AG10">
        <v>140</v>
      </c>
      <c r="AH10">
        <v>31</v>
      </c>
      <c r="AI10">
        <v>32</v>
      </c>
      <c r="AJ10">
        <v>7</v>
      </c>
      <c r="AK10">
        <v>77</v>
      </c>
      <c r="AL10" t="s">
        <v>290</v>
      </c>
      <c r="AM10" t="s">
        <v>291</v>
      </c>
      <c r="AN10" t="s">
        <v>292</v>
      </c>
      <c r="AO10" t="s">
        <v>293</v>
      </c>
      <c r="AP10" t="s">
        <v>74</v>
      </c>
      <c r="AQ10" t="s">
        <v>74</v>
      </c>
      <c r="AR10" t="s">
        <v>294</v>
      </c>
      <c r="AS10" t="s">
        <v>295</v>
      </c>
      <c r="AT10" t="s">
        <v>127</v>
      </c>
      <c r="AU10">
        <v>2021</v>
      </c>
      <c r="AV10">
        <v>16</v>
      </c>
      <c r="AW10">
        <v>5</v>
      </c>
      <c r="AX10" t="s">
        <v>74</v>
      </c>
      <c r="AY10" t="s">
        <v>74</v>
      </c>
      <c r="AZ10" t="s">
        <v>74</v>
      </c>
      <c r="BA10" t="s">
        <v>74</v>
      </c>
      <c r="BB10" t="s">
        <v>74</v>
      </c>
      <c r="BC10" t="s">
        <v>74</v>
      </c>
      <c r="BD10">
        <v>55006</v>
      </c>
      <c r="BE10" t="s">
        <v>296</v>
      </c>
      <c r="BF10" t="str">
        <f>HYPERLINK("http://dx.doi.org/10.1088/1748-9326/abf464","http://dx.doi.org/10.1088/1748-9326/abf464")</f>
        <v>http://dx.doi.org/10.1088/1748-9326/abf464</v>
      </c>
      <c r="BG10" t="s">
        <v>74</v>
      </c>
      <c r="BH10" t="s">
        <v>74</v>
      </c>
      <c r="BI10">
        <v>20</v>
      </c>
      <c r="BJ10" t="s">
        <v>199</v>
      </c>
      <c r="BK10" t="s">
        <v>101</v>
      </c>
      <c r="BL10" t="s">
        <v>200</v>
      </c>
      <c r="BM10" t="s">
        <v>297</v>
      </c>
      <c r="BN10" t="s">
        <v>74</v>
      </c>
      <c r="BO10" t="s">
        <v>298</v>
      </c>
      <c r="BP10" t="s">
        <v>74</v>
      </c>
      <c r="BQ10" t="s">
        <v>74</v>
      </c>
      <c r="BR10" t="s">
        <v>104</v>
      </c>
      <c r="BS10" t="s">
        <v>299</v>
      </c>
      <c r="BT10" t="str">
        <f>HYPERLINK("https%3A%2F%2Fwww.webofscience.com%2Fwos%2Fwoscc%2Ffull-record%2FWOS:000642202900001","View Full Record in Web of Science")</f>
        <v>View Full Record in Web of Science</v>
      </c>
    </row>
    <row r="11" spans="1:72" x14ac:dyDescent="0.15">
      <c r="A11" t="s">
        <v>72</v>
      </c>
      <c r="B11" t="s">
        <v>300</v>
      </c>
      <c r="C11" t="s">
        <v>74</v>
      </c>
      <c r="D11" t="s">
        <v>74</v>
      </c>
      <c r="E11" t="s">
        <v>74</v>
      </c>
      <c r="F11" t="s">
        <v>301</v>
      </c>
      <c r="G11" t="s">
        <v>74</v>
      </c>
      <c r="H11" t="s">
        <v>74</v>
      </c>
      <c r="I11" t="s">
        <v>302</v>
      </c>
      <c r="J11" t="s">
        <v>277</v>
      </c>
      <c r="K11" t="s">
        <v>74</v>
      </c>
      <c r="L11" t="s">
        <v>74</v>
      </c>
      <c r="M11" t="s">
        <v>78</v>
      </c>
      <c r="N11" t="s">
        <v>79</v>
      </c>
      <c r="O11" t="s">
        <v>74</v>
      </c>
      <c r="P11" t="s">
        <v>74</v>
      </c>
      <c r="Q11" t="s">
        <v>74</v>
      </c>
      <c r="R11" t="s">
        <v>74</v>
      </c>
      <c r="S11" t="s">
        <v>74</v>
      </c>
      <c r="T11" t="s">
        <v>303</v>
      </c>
      <c r="U11" t="s">
        <v>304</v>
      </c>
      <c r="V11" t="s">
        <v>305</v>
      </c>
      <c r="W11" t="s">
        <v>306</v>
      </c>
      <c r="X11" t="s">
        <v>307</v>
      </c>
      <c r="Y11" t="s">
        <v>308</v>
      </c>
      <c r="Z11" t="s">
        <v>309</v>
      </c>
      <c r="AA11" t="s">
        <v>310</v>
      </c>
      <c r="AB11" t="s">
        <v>311</v>
      </c>
      <c r="AC11" t="s">
        <v>312</v>
      </c>
      <c r="AD11" t="s">
        <v>313</v>
      </c>
      <c r="AE11" t="s">
        <v>314</v>
      </c>
      <c r="AF11" t="s">
        <v>74</v>
      </c>
      <c r="AG11">
        <v>57</v>
      </c>
      <c r="AH11">
        <v>17</v>
      </c>
      <c r="AI11">
        <v>19</v>
      </c>
      <c r="AJ11">
        <v>4</v>
      </c>
      <c r="AK11">
        <v>31</v>
      </c>
      <c r="AL11" t="s">
        <v>290</v>
      </c>
      <c r="AM11" t="s">
        <v>291</v>
      </c>
      <c r="AN11" t="s">
        <v>292</v>
      </c>
      <c r="AO11" t="s">
        <v>293</v>
      </c>
      <c r="AP11" t="s">
        <v>74</v>
      </c>
      <c r="AQ11" t="s">
        <v>74</v>
      </c>
      <c r="AR11" t="s">
        <v>294</v>
      </c>
      <c r="AS11" t="s">
        <v>295</v>
      </c>
      <c r="AT11" t="s">
        <v>127</v>
      </c>
      <c r="AU11">
        <v>2021</v>
      </c>
      <c r="AV11">
        <v>16</v>
      </c>
      <c r="AW11">
        <v>5</v>
      </c>
      <c r="AX11" t="s">
        <v>74</v>
      </c>
      <c r="AY11" t="s">
        <v>74</v>
      </c>
      <c r="AZ11" t="s">
        <v>74</v>
      </c>
      <c r="BA11" t="s">
        <v>74</v>
      </c>
      <c r="BB11" t="s">
        <v>74</v>
      </c>
      <c r="BC11" t="s">
        <v>74</v>
      </c>
      <c r="BD11">
        <v>54047</v>
      </c>
      <c r="BE11" t="s">
        <v>315</v>
      </c>
      <c r="BF11" t="str">
        <f>HYPERLINK("http://dx.doi.org/10.1088/1748-9326/abf58b","http://dx.doi.org/10.1088/1748-9326/abf58b")</f>
        <v>http://dx.doi.org/10.1088/1748-9326/abf58b</v>
      </c>
      <c r="BG11" t="s">
        <v>74</v>
      </c>
      <c r="BH11" t="s">
        <v>74</v>
      </c>
      <c r="BI11">
        <v>9</v>
      </c>
      <c r="BJ11" t="s">
        <v>199</v>
      </c>
      <c r="BK11" t="s">
        <v>101</v>
      </c>
      <c r="BL11" t="s">
        <v>200</v>
      </c>
      <c r="BM11" t="s">
        <v>316</v>
      </c>
      <c r="BN11" t="s">
        <v>74</v>
      </c>
      <c r="BO11" t="s">
        <v>317</v>
      </c>
      <c r="BP11" t="s">
        <v>74</v>
      </c>
      <c r="BQ11" t="s">
        <v>74</v>
      </c>
      <c r="BR11" t="s">
        <v>104</v>
      </c>
      <c r="BS11" t="s">
        <v>318</v>
      </c>
      <c r="BT11" t="str">
        <f>HYPERLINK("https%3A%2F%2Fwww.webofscience.com%2Fwos%2Fwoscc%2Ffull-record%2FWOS:000647275100001","View Full Record in Web of Science")</f>
        <v>View Full Record in Web of Science</v>
      </c>
    </row>
    <row r="12" spans="1:72" x14ac:dyDescent="0.15">
      <c r="A12" t="s">
        <v>72</v>
      </c>
      <c r="B12" t="s">
        <v>319</v>
      </c>
      <c r="C12" t="s">
        <v>74</v>
      </c>
      <c r="D12" t="s">
        <v>74</v>
      </c>
      <c r="E12" t="s">
        <v>74</v>
      </c>
      <c r="F12" t="s">
        <v>320</v>
      </c>
      <c r="G12" t="s">
        <v>74</v>
      </c>
      <c r="H12" t="s">
        <v>74</v>
      </c>
      <c r="I12" t="s">
        <v>321</v>
      </c>
      <c r="J12" t="s">
        <v>322</v>
      </c>
      <c r="K12" t="s">
        <v>74</v>
      </c>
      <c r="L12" t="s">
        <v>74</v>
      </c>
      <c r="M12" t="s">
        <v>78</v>
      </c>
      <c r="N12" t="s">
        <v>79</v>
      </c>
      <c r="O12" t="s">
        <v>74</v>
      </c>
      <c r="P12" t="s">
        <v>74</v>
      </c>
      <c r="Q12" t="s">
        <v>74</v>
      </c>
      <c r="R12" t="s">
        <v>74</v>
      </c>
      <c r="S12" t="s">
        <v>74</v>
      </c>
      <c r="T12" t="s">
        <v>323</v>
      </c>
      <c r="U12" t="s">
        <v>324</v>
      </c>
      <c r="V12" t="s">
        <v>325</v>
      </c>
      <c r="W12" t="s">
        <v>326</v>
      </c>
      <c r="X12" t="s">
        <v>327</v>
      </c>
      <c r="Y12" t="s">
        <v>328</v>
      </c>
      <c r="Z12" t="s">
        <v>329</v>
      </c>
      <c r="AA12" t="s">
        <v>330</v>
      </c>
      <c r="AB12" t="s">
        <v>331</v>
      </c>
      <c r="AC12" t="s">
        <v>332</v>
      </c>
      <c r="AD12" t="s">
        <v>333</v>
      </c>
      <c r="AE12" t="s">
        <v>334</v>
      </c>
      <c r="AF12" t="s">
        <v>74</v>
      </c>
      <c r="AG12">
        <v>54</v>
      </c>
      <c r="AH12">
        <v>9</v>
      </c>
      <c r="AI12">
        <v>9</v>
      </c>
      <c r="AJ12">
        <v>1</v>
      </c>
      <c r="AK12">
        <v>6</v>
      </c>
      <c r="AL12" t="s">
        <v>335</v>
      </c>
      <c r="AM12" t="s">
        <v>336</v>
      </c>
      <c r="AN12" t="s">
        <v>337</v>
      </c>
      <c r="AO12" t="s">
        <v>74</v>
      </c>
      <c r="AP12" t="s">
        <v>338</v>
      </c>
      <c r="AQ12" t="s">
        <v>74</v>
      </c>
      <c r="AR12" t="s">
        <v>322</v>
      </c>
      <c r="AS12" t="s">
        <v>339</v>
      </c>
      <c r="AT12" t="s">
        <v>127</v>
      </c>
      <c r="AU12">
        <v>2021</v>
      </c>
      <c r="AV12">
        <v>6</v>
      </c>
      <c r="AW12">
        <v>5</v>
      </c>
      <c r="AX12" t="s">
        <v>74</v>
      </c>
      <c r="AY12" t="s">
        <v>74</v>
      </c>
      <c r="AZ12" t="s">
        <v>74</v>
      </c>
      <c r="BA12" t="s">
        <v>74</v>
      </c>
      <c r="BB12" t="s">
        <v>74</v>
      </c>
      <c r="BC12" t="s">
        <v>74</v>
      </c>
      <c r="BD12">
        <v>176</v>
      </c>
      <c r="BE12" t="s">
        <v>340</v>
      </c>
      <c r="BF12" t="str">
        <f>HYPERLINK("http://dx.doi.org/10.3390/fluids6050176","http://dx.doi.org/10.3390/fluids6050176")</f>
        <v>http://dx.doi.org/10.3390/fluids6050176</v>
      </c>
      <c r="BG12" t="s">
        <v>74</v>
      </c>
      <c r="BH12" t="s">
        <v>74</v>
      </c>
      <c r="BI12">
        <v>15</v>
      </c>
      <c r="BJ12" t="s">
        <v>341</v>
      </c>
      <c r="BK12" t="s">
        <v>342</v>
      </c>
      <c r="BL12" t="s">
        <v>343</v>
      </c>
      <c r="BM12" t="s">
        <v>344</v>
      </c>
      <c r="BN12" t="s">
        <v>74</v>
      </c>
      <c r="BO12" t="s">
        <v>345</v>
      </c>
      <c r="BP12" t="s">
        <v>74</v>
      </c>
      <c r="BQ12" t="s">
        <v>74</v>
      </c>
      <c r="BR12" t="s">
        <v>104</v>
      </c>
      <c r="BS12" t="s">
        <v>346</v>
      </c>
      <c r="BT12" t="str">
        <f>HYPERLINK("https%3A%2F%2Fwww.webofscience.com%2Fwos%2Fwoscc%2Ffull-record%2FWOS:000653877700001","View Full Record in Web of Science")</f>
        <v>View Full Record in Web of Science</v>
      </c>
    </row>
    <row r="13" spans="1:72" x14ac:dyDescent="0.15">
      <c r="A13" t="s">
        <v>72</v>
      </c>
      <c r="B13" t="s">
        <v>347</v>
      </c>
      <c r="C13" t="s">
        <v>74</v>
      </c>
      <c r="D13" t="s">
        <v>74</v>
      </c>
      <c r="E13" t="s">
        <v>74</v>
      </c>
      <c r="F13" t="s">
        <v>348</v>
      </c>
      <c r="G13" t="s">
        <v>74</v>
      </c>
      <c r="H13" t="s">
        <v>74</v>
      </c>
      <c r="I13" t="s">
        <v>349</v>
      </c>
      <c r="J13" t="s">
        <v>350</v>
      </c>
      <c r="K13" t="s">
        <v>74</v>
      </c>
      <c r="L13" t="s">
        <v>74</v>
      </c>
      <c r="M13" t="s">
        <v>78</v>
      </c>
      <c r="N13" t="s">
        <v>79</v>
      </c>
      <c r="O13" t="s">
        <v>74</v>
      </c>
      <c r="P13" t="s">
        <v>74</v>
      </c>
      <c r="Q13" t="s">
        <v>74</v>
      </c>
      <c r="R13" t="s">
        <v>74</v>
      </c>
      <c r="S13" t="s">
        <v>74</v>
      </c>
      <c r="T13" t="s">
        <v>351</v>
      </c>
      <c r="U13" t="s">
        <v>352</v>
      </c>
      <c r="V13" t="s">
        <v>353</v>
      </c>
      <c r="W13" t="s">
        <v>354</v>
      </c>
      <c r="X13" t="s">
        <v>355</v>
      </c>
      <c r="Y13" t="s">
        <v>356</v>
      </c>
      <c r="Z13" t="s">
        <v>357</v>
      </c>
      <c r="AA13" t="s">
        <v>358</v>
      </c>
      <c r="AB13" t="s">
        <v>359</v>
      </c>
      <c r="AC13" t="s">
        <v>360</v>
      </c>
      <c r="AD13" t="s">
        <v>361</v>
      </c>
      <c r="AE13" t="s">
        <v>362</v>
      </c>
      <c r="AF13" t="s">
        <v>74</v>
      </c>
      <c r="AG13">
        <v>83</v>
      </c>
      <c r="AH13">
        <v>9</v>
      </c>
      <c r="AI13">
        <v>9</v>
      </c>
      <c r="AJ13">
        <v>0</v>
      </c>
      <c r="AK13">
        <v>5</v>
      </c>
      <c r="AL13" t="s">
        <v>120</v>
      </c>
      <c r="AM13" t="s">
        <v>121</v>
      </c>
      <c r="AN13" t="s">
        <v>363</v>
      </c>
      <c r="AO13" t="s">
        <v>364</v>
      </c>
      <c r="AP13" t="s">
        <v>365</v>
      </c>
      <c r="AQ13" t="s">
        <v>74</v>
      </c>
      <c r="AR13" t="s">
        <v>366</v>
      </c>
      <c r="AS13" t="s">
        <v>367</v>
      </c>
      <c r="AT13" t="s">
        <v>127</v>
      </c>
      <c r="AU13">
        <v>2021</v>
      </c>
      <c r="AV13">
        <v>51</v>
      </c>
      <c r="AW13">
        <v>5</v>
      </c>
      <c r="AX13" t="s">
        <v>74</v>
      </c>
      <c r="AY13" t="s">
        <v>74</v>
      </c>
      <c r="AZ13" t="s">
        <v>74</v>
      </c>
      <c r="BA13" t="s">
        <v>74</v>
      </c>
      <c r="BB13">
        <v>1539</v>
      </c>
      <c r="BC13">
        <v>1557</v>
      </c>
      <c r="BD13" t="s">
        <v>74</v>
      </c>
      <c r="BE13" t="s">
        <v>368</v>
      </c>
      <c r="BF13" t="str">
        <f>HYPERLINK("http://dx.doi.org/10.1175/JPO-D-20-0186.1","http://dx.doi.org/10.1175/JPO-D-20-0186.1")</f>
        <v>http://dx.doi.org/10.1175/JPO-D-20-0186.1</v>
      </c>
      <c r="BG13" t="s">
        <v>74</v>
      </c>
      <c r="BH13" t="s">
        <v>74</v>
      </c>
      <c r="BI13">
        <v>19</v>
      </c>
      <c r="BJ13" t="s">
        <v>369</v>
      </c>
      <c r="BK13" t="s">
        <v>101</v>
      </c>
      <c r="BL13" t="s">
        <v>369</v>
      </c>
      <c r="BM13" t="s">
        <v>370</v>
      </c>
      <c r="BN13" t="s">
        <v>74</v>
      </c>
      <c r="BO13" t="s">
        <v>371</v>
      </c>
      <c r="BP13" t="s">
        <v>74</v>
      </c>
      <c r="BQ13" t="s">
        <v>74</v>
      </c>
      <c r="BR13" t="s">
        <v>104</v>
      </c>
      <c r="BS13" t="s">
        <v>372</v>
      </c>
      <c r="BT13" t="str">
        <f>HYPERLINK("https%3A%2F%2Fwww.webofscience.com%2Fwos%2Fwoscc%2Ffull-record%2FWOS:000655510400011","View Full Record in Web of Science")</f>
        <v>View Full Record in Web of Science</v>
      </c>
    </row>
    <row r="14" spans="1:72" x14ac:dyDescent="0.15">
      <c r="A14" t="s">
        <v>72</v>
      </c>
      <c r="B14" t="s">
        <v>373</v>
      </c>
      <c r="C14" t="s">
        <v>74</v>
      </c>
      <c r="D14" t="s">
        <v>74</v>
      </c>
      <c r="E14" t="s">
        <v>74</v>
      </c>
      <c r="F14" t="s">
        <v>374</v>
      </c>
      <c r="G14" t="s">
        <v>74</v>
      </c>
      <c r="H14" t="s">
        <v>74</v>
      </c>
      <c r="I14" t="s">
        <v>375</v>
      </c>
      <c r="J14" t="s">
        <v>376</v>
      </c>
      <c r="K14" t="s">
        <v>74</v>
      </c>
      <c r="L14" t="s">
        <v>74</v>
      </c>
      <c r="M14" t="s">
        <v>78</v>
      </c>
      <c r="N14" t="s">
        <v>79</v>
      </c>
      <c r="O14" t="s">
        <v>74</v>
      </c>
      <c r="P14" t="s">
        <v>74</v>
      </c>
      <c r="Q14" t="s">
        <v>74</v>
      </c>
      <c r="R14" t="s">
        <v>74</v>
      </c>
      <c r="S14" t="s">
        <v>74</v>
      </c>
      <c r="T14" t="s">
        <v>377</v>
      </c>
      <c r="U14" t="s">
        <v>378</v>
      </c>
      <c r="V14" t="s">
        <v>379</v>
      </c>
      <c r="W14" t="s">
        <v>380</v>
      </c>
      <c r="X14" t="s">
        <v>381</v>
      </c>
      <c r="Y14" t="s">
        <v>382</v>
      </c>
      <c r="Z14" t="s">
        <v>383</v>
      </c>
      <c r="AA14" t="s">
        <v>384</v>
      </c>
      <c r="AB14" t="s">
        <v>385</v>
      </c>
      <c r="AC14" t="s">
        <v>386</v>
      </c>
      <c r="AD14" t="s">
        <v>387</v>
      </c>
      <c r="AE14" t="s">
        <v>388</v>
      </c>
      <c r="AF14" t="s">
        <v>74</v>
      </c>
      <c r="AG14">
        <v>79</v>
      </c>
      <c r="AH14">
        <v>29</v>
      </c>
      <c r="AI14">
        <v>34</v>
      </c>
      <c r="AJ14">
        <v>2</v>
      </c>
      <c r="AK14">
        <v>26</v>
      </c>
      <c r="AL14" t="s">
        <v>389</v>
      </c>
      <c r="AM14" t="s">
        <v>390</v>
      </c>
      <c r="AN14" t="s">
        <v>391</v>
      </c>
      <c r="AO14" t="s">
        <v>392</v>
      </c>
      <c r="AP14" t="s">
        <v>74</v>
      </c>
      <c r="AQ14" t="s">
        <v>74</v>
      </c>
      <c r="AR14" t="s">
        <v>376</v>
      </c>
      <c r="AS14" t="s">
        <v>393</v>
      </c>
      <c r="AT14" t="s">
        <v>97</v>
      </c>
      <c r="AU14">
        <v>2021</v>
      </c>
      <c r="AV14">
        <v>12</v>
      </c>
      <c r="AW14">
        <v>3</v>
      </c>
      <c r="AX14" t="s">
        <v>74</v>
      </c>
      <c r="AY14" t="s">
        <v>74</v>
      </c>
      <c r="AZ14" t="s">
        <v>74</v>
      </c>
      <c r="BA14" t="s">
        <v>74</v>
      </c>
      <c r="BB14" t="s">
        <v>74</v>
      </c>
      <c r="BC14" t="s">
        <v>74</v>
      </c>
      <c r="BD14" t="s">
        <v>394</v>
      </c>
      <c r="BE14" t="s">
        <v>395</v>
      </c>
      <c r="BF14" t="str">
        <f>HYPERLINK("http://dx.doi.org/10.1128/mBio.01111-21","http://dx.doi.org/10.1128/mBio.01111-21")</f>
        <v>http://dx.doi.org/10.1128/mBio.01111-21</v>
      </c>
      <c r="BG14" t="s">
        <v>74</v>
      </c>
      <c r="BH14" t="s">
        <v>74</v>
      </c>
      <c r="BI14">
        <v>14</v>
      </c>
      <c r="BJ14" t="s">
        <v>396</v>
      </c>
      <c r="BK14" t="s">
        <v>101</v>
      </c>
      <c r="BL14" t="s">
        <v>396</v>
      </c>
      <c r="BM14" t="s">
        <v>397</v>
      </c>
      <c r="BN14">
        <v>34154413</v>
      </c>
      <c r="BO14" t="s">
        <v>398</v>
      </c>
      <c r="BP14" t="s">
        <v>74</v>
      </c>
      <c r="BQ14" t="s">
        <v>74</v>
      </c>
      <c r="BR14" t="s">
        <v>104</v>
      </c>
      <c r="BS14" t="s">
        <v>399</v>
      </c>
      <c r="BT14" t="str">
        <f>HYPERLINK("https%3A%2F%2Fwww.webofscience.com%2Fwos%2Fwoscc%2Ffull-record%2FWOS:000693460300009","View Full Record in Web of Science")</f>
        <v>View Full Record in Web of Science</v>
      </c>
    </row>
    <row r="15" spans="1:72" x14ac:dyDescent="0.15">
      <c r="A15" t="s">
        <v>72</v>
      </c>
      <c r="B15" t="s">
        <v>400</v>
      </c>
      <c r="C15" t="s">
        <v>74</v>
      </c>
      <c r="D15" t="s">
        <v>74</v>
      </c>
      <c r="E15" t="s">
        <v>74</v>
      </c>
      <c r="F15" t="s">
        <v>401</v>
      </c>
      <c r="G15" t="s">
        <v>74</v>
      </c>
      <c r="H15" t="s">
        <v>74</v>
      </c>
      <c r="I15" t="s">
        <v>402</v>
      </c>
      <c r="J15" t="s">
        <v>403</v>
      </c>
      <c r="K15" t="s">
        <v>74</v>
      </c>
      <c r="L15" t="s">
        <v>74</v>
      </c>
      <c r="M15" t="s">
        <v>78</v>
      </c>
      <c r="N15" t="s">
        <v>79</v>
      </c>
      <c r="O15" t="s">
        <v>74</v>
      </c>
      <c r="P15" t="s">
        <v>74</v>
      </c>
      <c r="Q15" t="s">
        <v>74</v>
      </c>
      <c r="R15" t="s">
        <v>74</v>
      </c>
      <c r="S15" t="s">
        <v>74</v>
      </c>
      <c r="T15" t="s">
        <v>404</v>
      </c>
      <c r="U15" t="s">
        <v>405</v>
      </c>
      <c r="V15" t="s">
        <v>406</v>
      </c>
      <c r="W15" t="s">
        <v>407</v>
      </c>
      <c r="X15" t="s">
        <v>408</v>
      </c>
      <c r="Y15" t="s">
        <v>409</v>
      </c>
      <c r="Z15" t="s">
        <v>410</v>
      </c>
      <c r="AA15" t="s">
        <v>411</v>
      </c>
      <c r="AB15" t="s">
        <v>412</v>
      </c>
      <c r="AC15" t="s">
        <v>74</v>
      </c>
      <c r="AD15" t="s">
        <v>74</v>
      </c>
      <c r="AE15" t="s">
        <v>74</v>
      </c>
      <c r="AF15" t="s">
        <v>74</v>
      </c>
      <c r="AG15">
        <v>26</v>
      </c>
      <c r="AH15">
        <v>1</v>
      </c>
      <c r="AI15">
        <v>1</v>
      </c>
      <c r="AJ15">
        <v>0</v>
      </c>
      <c r="AK15">
        <v>8</v>
      </c>
      <c r="AL15" t="s">
        <v>413</v>
      </c>
      <c r="AM15" t="s">
        <v>167</v>
      </c>
      <c r="AN15" t="s">
        <v>414</v>
      </c>
      <c r="AO15" t="s">
        <v>415</v>
      </c>
      <c r="AP15" t="s">
        <v>416</v>
      </c>
      <c r="AQ15" t="s">
        <v>74</v>
      </c>
      <c r="AR15" t="s">
        <v>417</v>
      </c>
      <c r="AS15" t="s">
        <v>418</v>
      </c>
      <c r="AT15" t="s">
        <v>127</v>
      </c>
      <c r="AU15">
        <v>2021</v>
      </c>
      <c r="AV15">
        <v>61</v>
      </c>
      <c r="AW15">
        <v>3</v>
      </c>
      <c r="AX15" t="s">
        <v>74</v>
      </c>
      <c r="AY15" t="s">
        <v>74</v>
      </c>
      <c r="AZ15" t="s">
        <v>74</v>
      </c>
      <c r="BA15" t="s">
        <v>74</v>
      </c>
      <c r="BB15">
        <v>297</v>
      </c>
      <c r="BC15">
        <v>304</v>
      </c>
      <c r="BD15" t="s">
        <v>74</v>
      </c>
      <c r="BE15" t="s">
        <v>419</v>
      </c>
      <c r="BF15" t="str">
        <f>HYPERLINK("http://dx.doi.org/10.1134/S0001437021030073","http://dx.doi.org/10.1134/S0001437021030073")</f>
        <v>http://dx.doi.org/10.1134/S0001437021030073</v>
      </c>
      <c r="BG15" t="s">
        <v>74</v>
      </c>
      <c r="BH15" t="s">
        <v>74</v>
      </c>
      <c r="BI15">
        <v>8</v>
      </c>
      <c r="BJ15" t="s">
        <v>369</v>
      </c>
      <c r="BK15" t="s">
        <v>101</v>
      </c>
      <c r="BL15" t="s">
        <v>369</v>
      </c>
      <c r="BM15" t="s">
        <v>420</v>
      </c>
      <c r="BN15" t="s">
        <v>74</v>
      </c>
      <c r="BO15" t="s">
        <v>74</v>
      </c>
      <c r="BP15" t="s">
        <v>74</v>
      </c>
      <c r="BQ15" t="s">
        <v>74</v>
      </c>
      <c r="BR15" t="s">
        <v>104</v>
      </c>
      <c r="BS15" t="s">
        <v>421</v>
      </c>
      <c r="BT15" t="str">
        <f>HYPERLINK("https%3A%2F%2Fwww.webofscience.com%2Fwos%2Fwoscc%2Ffull-record%2FWOS:000674170200001","View Full Record in Web of Science")</f>
        <v>View Full Record in Web of Science</v>
      </c>
    </row>
    <row r="16" spans="1:72" x14ac:dyDescent="0.15">
      <c r="A16" t="s">
        <v>72</v>
      </c>
      <c r="B16" t="s">
        <v>422</v>
      </c>
      <c r="C16" t="s">
        <v>74</v>
      </c>
      <c r="D16" t="s">
        <v>74</v>
      </c>
      <c r="E16" t="s">
        <v>74</v>
      </c>
      <c r="F16" t="s">
        <v>423</v>
      </c>
      <c r="G16" t="s">
        <v>74</v>
      </c>
      <c r="H16" t="s">
        <v>74</v>
      </c>
      <c r="I16" t="s">
        <v>424</v>
      </c>
      <c r="J16" t="s">
        <v>425</v>
      </c>
      <c r="K16" t="s">
        <v>74</v>
      </c>
      <c r="L16" t="s">
        <v>74</v>
      </c>
      <c r="M16" t="s">
        <v>78</v>
      </c>
      <c r="N16" t="s">
        <v>79</v>
      </c>
      <c r="O16" t="s">
        <v>74</v>
      </c>
      <c r="P16" t="s">
        <v>74</v>
      </c>
      <c r="Q16" t="s">
        <v>74</v>
      </c>
      <c r="R16" t="s">
        <v>74</v>
      </c>
      <c r="S16" t="s">
        <v>74</v>
      </c>
      <c r="T16" t="s">
        <v>426</v>
      </c>
      <c r="U16" t="s">
        <v>427</v>
      </c>
      <c r="V16" t="s">
        <v>428</v>
      </c>
      <c r="W16" t="s">
        <v>429</v>
      </c>
      <c r="X16" t="s">
        <v>430</v>
      </c>
      <c r="Y16" t="s">
        <v>431</v>
      </c>
      <c r="Z16" t="s">
        <v>432</v>
      </c>
      <c r="AA16" t="s">
        <v>433</v>
      </c>
      <c r="AB16" t="s">
        <v>434</v>
      </c>
      <c r="AC16" t="s">
        <v>435</v>
      </c>
      <c r="AD16" t="s">
        <v>436</v>
      </c>
      <c r="AE16" t="s">
        <v>437</v>
      </c>
      <c r="AF16" t="s">
        <v>74</v>
      </c>
      <c r="AG16">
        <v>57</v>
      </c>
      <c r="AH16">
        <v>9</v>
      </c>
      <c r="AI16">
        <v>10</v>
      </c>
      <c r="AJ16">
        <v>1</v>
      </c>
      <c r="AK16">
        <v>35</v>
      </c>
      <c r="AL16" t="s">
        <v>335</v>
      </c>
      <c r="AM16" t="s">
        <v>336</v>
      </c>
      <c r="AN16" t="s">
        <v>337</v>
      </c>
      <c r="AO16" t="s">
        <v>74</v>
      </c>
      <c r="AP16" t="s">
        <v>438</v>
      </c>
      <c r="AQ16" t="s">
        <v>74</v>
      </c>
      <c r="AR16" t="s">
        <v>439</v>
      </c>
      <c r="AS16" t="s">
        <v>440</v>
      </c>
      <c r="AT16" t="s">
        <v>127</v>
      </c>
      <c r="AU16">
        <v>2021</v>
      </c>
      <c r="AV16">
        <v>13</v>
      </c>
      <c r="AW16">
        <v>9</v>
      </c>
      <c r="AX16" t="s">
        <v>74</v>
      </c>
      <c r="AY16" t="s">
        <v>74</v>
      </c>
      <c r="AZ16" t="s">
        <v>74</v>
      </c>
      <c r="BA16" t="s">
        <v>74</v>
      </c>
      <c r="BB16" t="s">
        <v>74</v>
      </c>
      <c r="BC16" t="s">
        <v>74</v>
      </c>
      <c r="BD16">
        <v>1714</v>
      </c>
      <c r="BE16" t="s">
        <v>441</v>
      </c>
      <c r="BF16" t="str">
        <f>HYPERLINK("http://dx.doi.org/10.3390/rs13091714","http://dx.doi.org/10.3390/rs13091714")</f>
        <v>http://dx.doi.org/10.3390/rs13091714</v>
      </c>
      <c r="BG16" t="s">
        <v>74</v>
      </c>
      <c r="BH16" t="s">
        <v>74</v>
      </c>
      <c r="BI16">
        <v>28</v>
      </c>
      <c r="BJ16" t="s">
        <v>442</v>
      </c>
      <c r="BK16" t="s">
        <v>101</v>
      </c>
      <c r="BL16" t="s">
        <v>443</v>
      </c>
      <c r="BM16" t="s">
        <v>444</v>
      </c>
      <c r="BN16" t="s">
        <v>74</v>
      </c>
      <c r="BO16" t="s">
        <v>445</v>
      </c>
      <c r="BP16" t="s">
        <v>74</v>
      </c>
      <c r="BQ16" t="s">
        <v>74</v>
      </c>
      <c r="BR16" t="s">
        <v>104</v>
      </c>
      <c r="BS16" t="s">
        <v>446</v>
      </c>
      <c r="BT16" t="str">
        <f>HYPERLINK("https%3A%2F%2Fwww.webofscience.com%2Fwos%2Fwoscc%2Ffull-record%2FWOS:000650742600001","View Full Record in Web of Science")</f>
        <v>View Full Record in Web of Science</v>
      </c>
    </row>
    <row r="17" spans="1:72" x14ac:dyDescent="0.15">
      <c r="A17" t="s">
        <v>72</v>
      </c>
      <c r="B17" t="s">
        <v>447</v>
      </c>
      <c r="C17" t="s">
        <v>74</v>
      </c>
      <c r="D17" t="s">
        <v>74</v>
      </c>
      <c r="E17" t="s">
        <v>74</v>
      </c>
      <c r="F17" t="s">
        <v>448</v>
      </c>
      <c r="G17" t="s">
        <v>74</v>
      </c>
      <c r="H17" t="s">
        <v>74</v>
      </c>
      <c r="I17" t="s">
        <v>449</v>
      </c>
      <c r="J17" t="s">
        <v>450</v>
      </c>
      <c r="K17" t="s">
        <v>74</v>
      </c>
      <c r="L17" t="s">
        <v>74</v>
      </c>
      <c r="M17" t="s">
        <v>78</v>
      </c>
      <c r="N17" t="s">
        <v>79</v>
      </c>
      <c r="O17" t="s">
        <v>74</v>
      </c>
      <c r="P17" t="s">
        <v>74</v>
      </c>
      <c r="Q17" t="s">
        <v>74</v>
      </c>
      <c r="R17" t="s">
        <v>74</v>
      </c>
      <c r="S17" t="s">
        <v>74</v>
      </c>
      <c r="T17" t="s">
        <v>451</v>
      </c>
      <c r="U17" t="s">
        <v>452</v>
      </c>
      <c r="V17" t="s">
        <v>453</v>
      </c>
      <c r="W17" t="s">
        <v>454</v>
      </c>
      <c r="X17" t="s">
        <v>455</v>
      </c>
      <c r="Y17" t="s">
        <v>456</v>
      </c>
      <c r="Z17" t="s">
        <v>457</v>
      </c>
      <c r="AA17" t="s">
        <v>74</v>
      </c>
      <c r="AB17" t="s">
        <v>74</v>
      </c>
      <c r="AC17" t="s">
        <v>458</v>
      </c>
      <c r="AD17" t="s">
        <v>459</v>
      </c>
      <c r="AE17" t="s">
        <v>460</v>
      </c>
      <c r="AF17" t="s">
        <v>74</v>
      </c>
      <c r="AG17">
        <v>55</v>
      </c>
      <c r="AH17">
        <v>1</v>
      </c>
      <c r="AI17">
        <v>1</v>
      </c>
      <c r="AJ17">
        <v>0</v>
      </c>
      <c r="AK17">
        <v>0</v>
      </c>
      <c r="AL17" t="s">
        <v>461</v>
      </c>
      <c r="AM17" t="s">
        <v>462</v>
      </c>
      <c r="AN17" t="s">
        <v>463</v>
      </c>
      <c r="AO17" t="s">
        <v>464</v>
      </c>
      <c r="AP17" t="s">
        <v>465</v>
      </c>
      <c r="AQ17" t="s">
        <v>74</v>
      </c>
      <c r="AR17" t="s">
        <v>466</v>
      </c>
      <c r="AS17" t="s">
        <v>467</v>
      </c>
      <c r="AT17" t="s">
        <v>127</v>
      </c>
      <c r="AU17">
        <v>2021</v>
      </c>
      <c r="AV17">
        <v>62</v>
      </c>
      <c r="AW17">
        <v>5</v>
      </c>
      <c r="AX17" t="s">
        <v>74</v>
      </c>
      <c r="AY17" t="s">
        <v>74</v>
      </c>
      <c r="AZ17" t="s">
        <v>74</v>
      </c>
      <c r="BA17" t="s">
        <v>74</v>
      </c>
      <c r="BB17">
        <v>557</v>
      </c>
      <c r="BC17">
        <v>575</v>
      </c>
      <c r="BD17" t="s">
        <v>74</v>
      </c>
      <c r="BE17" t="s">
        <v>468</v>
      </c>
      <c r="BF17" t="str">
        <f>HYPERLINK("http://dx.doi.org/10.2113/RGG20194068","http://dx.doi.org/10.2113/RGG20194068")</f>
        <v>http://dx.doi.org/10.2113/RGG20194068</v>
      </c>
      <c r="BG17" t="s">
        <v>74</v>
      </c>
      <c r="BH17" t="s">
        <v>74</v>
      </c>
      <c r="BI17">
        <v>19</v>
      </c>
      <c r="BJ17" t="s">
        <v>100</v>
      </c>
      <c r="BK17" t="s">
        <v>101</v>
      </c>
      <c r="BL17" t="s">
        <v>102</v>
      </c>
      <c r="BM17" t="s">
        <v>469</v>
      </c>
      <c r="BN17" t="s">
        <v>74</v>
      </c>
      <c r="BO17" t="s">
        <v>74</v>
      </c>
      <c r="BP17" t="s">
        <v>74</v>
      </c>
      <c r="BQ17" t="s">
        <v>74</v>
      </c>
      <c r="BR17" t="s">
        <v>104</v>
      </c>
      <c r="BS17" t="s">
        <v>470</v>
      </c>
      <c r="BT17" t="str">
        <f>HYPERLINK("https%3A%2F%2Fwww.webofscience.com%2Fwos%2Fwoscc%2Ffull-record%2FWOS:000672643000004","View Full Record in Web of Science")</f>
        <v>View Full Record in Web of Science</v>
      </c>
    </row>
    <row r="18" spans="1:72" x14ac:dyDescent="0.15">
      <c r="A18" t="s">
        <v>72</v>
      </c>
      <c r="B18" t="s">
        <v>471</v>
      </c>
      <c r="C18" t="s">
        <v>74</v>
      </c>
      <c r="D18" t="s">
        <v>74</v>
      </c>
      <c r="E18" t="s">
        <v>74</v>
      </c>
      <c r="F18" t="s">
        <v>472</v>
      </c>
      <c r="G18" t="s">
        <v>74</v>
      </c>
      <c r="H18" t="s">
        <v>74</v>
      </c>
      <c r="I18" t="s">
        <v>473</v>
      </c>
      <c r="J18" t="s">
        <v>474</v>
      </c>
      <c r="K18" t="s">
        <v>74</v>
      </c>
      <c r="L18" t="s">
        <v>74</v>
      </c>
      <c r="M18" t="s">
        <v>78</v>
      </c>
      <c r="N18" t="s">
        <v>79</v>
      </c>
      <c r="O18" t="s">
        <v>74</v>
      </c>
      <c r="P18" t="s">
        <v>74</v>
      </c>
      <c r="Q18" t="s">
        <v>74</v>
      </c>
      <c r="R18" t="s">
        <v>74</v>
      </c>
      <c r="S18" t="s">
        <v>74</v>
      </c>
      <c r="T18" t="s">
        <v>74</v>
      </c>
      <c r="U18" t="s">
        <v>475</v>
      </c>
      <c r="V18" t="s">
        <v>476</v>
      </c>
      <c r="W18" t="s">
        <v>477</v>
      </c>
      <c r="X18" t="s">
        <v>478</v>
      </c>
      <c r="Y18" t="s">
        <v>479</v>
      </c>
      <c r="Z18" t="s">
        <v>480</v>
      </c>
      <c r="AA18" t="s">
        <v>481</v>
      </c>
      <c r="AB18" t="s">
        <v>482</v>
      </c>
      <c r="AC18" t="s">
        <v>483</v>
      </c>
      <c r="AD18" t="s">
        <v>484</v>
      </c>
      <c r="AE18" t="s">
        <v>485</v>
      </c>
      <c r="AF18" t="s">
        <v>74</v>
      </c>
      <c r="AG18">
        <v>80</v>
      </c>
      <c r="AH18">
        <v>2</v>
      </c>
      <c r="AI18">
        <v>2</v>
      </c>
      <c r="AJ18">
        <v>0</v>
      </c>
      <c r="AK18">
        <v>8</v>
      </c>
      <c r="AL18" t="s">
        <v>486</v>
      </c>
      <c r="AM18" t="s">
        <v>487</v>
      </c>
      <c r="AN18" t="s">
        <v>488</v>
      </c>
      <c r="AO18" t="s">
        <v>489</v>
      </c>
      <c r="AP18" t="s">
        <v>490</v>
      </c>
      <c r="AQ18" t="s">
        <v>74</v>
      </c>
      <c r="AR18" t="s">
        <v>491</v>
      </c>
      <c r="AS18" t="s">
        <v>492</v>
      </c>
      <c r="AT18" t="s">
        <v>127</v>
      </c>
      <c r="AU18">
        <v>2021</v>
      </c>
      <c r="AV18">
        <v>168</v>
      </c>
      <c r="AW18">
        <v>5</v>
      </c>
      <c r="AX18" t="s">
        <v>74</v>
      </c>
      <c r="AY18" t="s">
        <v>74</v>
      </c>
      <c r="AZ18" t="s">
        <v>74</v>
      </c>
      <c r="BA18" t="s">
        <v>74</v>
      </c>
      <c r="BB18" t="s">
        <v>74</v>
      </c>
      <c r="BC18" t="s">
        <v>74</v>
      </c>
      <c r="BD18">
        <v>62</v>
      </c>
      <c r="BE18" t="s">
        <v>493</v>
      </c>
      <c r="BF18" t="str">
        <f>HYPERLINK("http://dx.doi.org/10.1007/s00227-021-03867-2","http://dx.doi.org/10.1007/s00227-021-03867-2")</f>
        <v>http://dx.doi.org/10.1007/s00227-021-03867-2</v>
      </c>
      <c r="BG18" t="s">
        <v>74</v>
      </c>
      <c r="BH18" t="s">
        <v>74</v>
      </c>
      <c r="BI18">
        <v>18</v>
      </c>
      <c r="BJ18" t="s">
        <v>494</v>
      </c>
      <c r="BK18" t="s">
        <v>101</v>
      </c>
      <c r="BL18" t="s">
        <v>494</v>
      </c>
      <c r="BM18" t="s">
        <v>495</v>
      </c>
      <c r="BN18" t="s">
        <v>74</v>
      </c>
      <c r="BO18" t="s">
        <v>496</v>
      </c>
      <c r="BP18" t="s">
        <v>74</v>
      </c>
      <c r="BQ18" t="s">
        <v>74</v>
      </c>
      <c r="BR18" t="s">
        <v>104</v>
      </c>
      <c r="BS18" t="s">
        <v>497</v>
      </c>
      <c r="BT18" t="str">
        <f>HYPERLINK("https%3A%2F%2Fwww.webofscience.com%2Fwos%2Fwoscc%2Ffull-record%2FWOS:000637406400009","View Full Record in Web of Science")</f>
        <v>View Full Record in Web of Science</v>
      </c>
    </row>
    <row r="19" spans="1:72" x14ac:dyDescent="0.15">
      <c r="A19" t="s">
        <v>72</v>
      </c>
      <c r="B19" t="s">
        <v>498</v>
      </c>
      <c r="C19" t="s">
        <v>74</v>
      </c>
      <c r="D19" t="s">
        <v>74</v>
      </c>
      <c r="E19" t="s">
        <v>74</v>
      </c>
      <c r="F19" t="s">
        <v>499</v>
      </c>
      <c r="G19" t="s">
        <v>74</v>
      </c>
      <c r="H19" t="s">
        <v>74</v>
      </c>
      <c r="I19" t="s">
        <v>500</v>
      </c>
      <c r="J19" t="s">
        <v>232</v>
      </c>
      <c r="K19" t="s">
        <v>74</v>
      </c>
      <c r="L19" t="s">
        <v>74</v>
      </c>
      <c r="M19" t="s">
        <v>78</v>
      </c>
      <c r="N19" t="s">
        <v>79</v>
      </c>
      <c r="O19" t="s">
        <v>74</v>
      </c>
      <c r="P19" t="s">
        <v>74</v>
      </c>
      <c r="Q19" t="s">
        <v>74</v>
      </c>
      <c r="R19" t="s">
        <v>74</v>
      </c>
      <c r="S19" t="s">
        <v>74</v>
      </c>
      <c r="T19" t="s">
        <v>501</v>
      </c>
      <c r="U19" t="s">
        <v>502</v>
      </c>
      <c r="V19" t="s">
        <v>503</v>
      </c>
      <c r="W19" t="s">
        <v>504</v>
      </c>
      <c r="X19" t="s">
        <v>505</v>
      </c>
      <c r="Y19" t="s">
        <v>506</v>
      </c>
      <c r="Z19" t="s">
        <v>507</v>
      </c>
      <c r="AA19" t="s">
        <v>508</v>
      </c>
      <c r="AB19" t="s">
        <v>509</v>
      </c>
      <c r="AC19" t="s">
        <v>510</v>
      </c>
      <c r="AD19" t="s">
        <v>511</v>
      </c>
      <c r="AE19" t="s">
        <v>512</v>
      </c>
      <c r="AF19" t="s">
        <v>74</v>
      </c>
      <c r="AG19">
        <v>21</v>
      </c>
      <c r="AH19">
        <v>5</v>
      </c>
      <c r="AI19">
        <v>5</v>
      </c>
      <c r="AJ19">
        <v>3</v>
      </c>
      <c r="AK19">
        <v>11</v>
      </c>
      <c r="AL19" t="s">
        <v>245</v>
      </c>
      <c r="AM19" t="s">
        <v>246</v>
      </c>
      <c r="AN19" t="s">
        <v>247</v>
      </c>
      <c r="AO19" t="s">
        <v>248</v>
      </c>
      <c r="AP19" t="s">
        <v>249</v>
      </c>
      <c r="AQ19" t="s">
        <v>74</v>
      </c>
      <c r="AR19" t="s">
        <v>250</v>
      </c>
      <c r="AS19" t="s">
        <v>251</v>
      </c>
      <c r="AT19" t="s">
        <v>74</v>
      </c>
      <c r="AU19">
        <v>2022</v>
      </c>
      <c r="AV19">
        <v>60</v>
      </c>
      <c r="AW19" t="s">
        <v>74</v>
      </c>
      <c r="AX19" t="s">
        <v>74</v>
      </c>
      <c r="AY19" t="s">
        <v>74</v>
      </c>
      <c r="AZ19" t="s">
        <v>74</v>
      </c>
      <c r="BA19" t="s">
        <v>74</v>
      </c>
      <c r="BB19" t="s">
        <v>74</v>
      </c>
      <c r="BC19" t="s">
        <v>74</v>
      </c>
      <c r="BD19" t="s">
        <v>74</v>
      </c>
      <c r="BE19" t="s">
        <v>513</v>
      </c>
      <c r="BF19" t="str">
        <f>HYPERLINK("http://dx.doi.org/10.1109/TGRS.2021.3074186","http://dx.doi.org/10.1109/TGRS.2021.3074186")</f>
        <v>http://dx.doi.org/10.1109/TGRS.2021.3074186</v>
      </c>
      <c r="BG19" t="s">
        <v>74</v>
      </c>
      <c r="BH19" t="s">
        <v>514</v>
      </c>
      <c r="BI19">
        <v>10</v>
      </c>
      <c r="BJ19" t="s">
        <v>253</v>
      </c>
      <c r="BK19" t="s">
        <v>101</v>
      </c>
      <c r="BL19" t="s">
        <v>254</v>
      </c>
      <c r="BM19" t="s">
        <v>515</v>
      </c>
      <c r="BN19" t="s">
        <v>74</v>
      </c>
      <c r="BO19" t="s">
        <v>74</v>
      </c>
      <c r="BP19" t="s">
        <v>74</v>
      </c>
      <c r="BQ19" t="s">
        <v>74</v>
      </c>
      <c r="BR19" t="s">
        <v>104</v>
      </c>
      <c r="BS19" t="s">
        <v>516</v>
      </c>
      <c r="BT19" t="str">
        <f>HYPERLINK("https%3A%2F%2Fwww.webofscience.com%2Fwos%2Fwoscc%2Ffull-record%2FWOS:000732753900001","View Full Record in Web of Science")</f>
        <v>View Full Record in Web of Science</v>
      </c>
    </row>
    <row r="20" spans="1:72" x14ac:dyDescent="0.15">
      <c r="A20" t="s">
        <v>72</v>
      </c>
      <c r="B20" t="s">
        <v>517</v>
      </c>
      <c r="C20" t="s">
        <v>74</v>
      </c>
      <c r="D20" t="s">
        <v>74</v>
      </c>
      <c r="E20" t="s">
        <v>74</v>
      </c>
      <c r="F20" t="s">
        <v>518</v>
      </c>
      <c r="G20" t="s">
        <v>74</v>
      </c>
      <c r="H20" t="s">
        <v>74</v>
      </c>
      <c r="I20" t="s">
        <v>519</v>
      </c>
      <c r="J20" t="s">
        <v>232</v>
      </c>
      <c r="K20" t="s">
        <v>74</v>
      </c>
      <c r="L20" t="s">
        <v>74</v>
      </c>
      <c r="M20" t="s">
        <v>78</v>
      </c>
      <c r="N20" t="s">
        <v>79</v>
      </c>
      <c r="O20" t="s">
        <v>74</v>
      </c>
      <c r="P20" t="s">
        <v>74</v>
      </c>
      <c r="Q20" t="s">
        <v>74</v>
      </c>
      <c r="R20" t="s">
        <v>74</v>
      </c>
      <c r="S20" t="s">
        <v>74</v>
      </c>
      <c r="T20" t="s">
        <v>520</v>
      </c>
      <c r="U20" t="s">
        <v>521</v>
      </c>
      <c r="V20" t="s">
        <v>522</v>
      </c>
      <c r="W20" t="s">
        <v>523</v>
      </c>
      <c r="X20" t="s">
        <v>524</v>
      </c>
      <c r="Y20" t="s">
        <v>525</v>
      </c>
      <c r="Z20" t="s">
        <v>526</v>
      </c>
      <c r="AA20" t="s">
        <v>74</v>
      </c>
      <c r="AB20" t="s">
        <v>74</v>
      </c>
      <c r="AC20" t="s">
        <v>527</v>
      </c>
      <c r="AD20" t="s">
        <v>528</v>
      </c>
      <c r="AE20" t="s">
        <v>529</v>
      </c>
      <c r="AF20" t="s">
        <v>74</v>
      </c>
      <c r="AG20">
        <v>57</v>
      </c>
      <c r="AH20">
        <v>15</v>
      </c>
      <c r="AI20">
        <v>15</v>
      </c>
      <c r="AJ20">
        <v>6</v>
      </c>
      <c r="AK20">
        <v>34</v>
      </c>
      <c r="AL20" t="s">
        <v>245</v>
      </c>
      <c r="AM20" t="s">
        <v>246</v>
      </c>
      <c r="AN20" t="s">
        <v>247</v>
      </c>
      <c r="AO20" t="s">
        <v>248</v>
      </c>
      <c r="AP20" t="s">
        <v>249</v>
      </c>
      <c r="AQ20" t="s">
        <v>74</v>
      </c>
      <c r="AR20" t="s">
        <v>250</v>
      </c>
      <c r="AS20" t="s">
        <v>251</v>
      </c>
      <c r="AT20" t="s">
        <v>74</v>
      </c>
      <c r="AU20">
        <v>2022</v>
      </c>
      <c r="AV20">
        <v>60</v>
      </c>
      <c r="AW20" t="s">
        <v>74</v>
      </c>
      <c r="AX20" t="s">
        <v>74</v>
      </c>
      <c r="AY20" t="s">
        <v>74</v>
      </c>
      <c r="AZ20" t="s">
        <v>74</v>
      </c>
      <c r="BA20" t="s">
        <v>74</v>
      </c>
      <c r="BB20" t="s">
        <v>74</v>
      </c>
      <c r="BC20" t="s">
        <v>74</v>
      </c>
      <c r="BD20" t="s">
        <v>74</v>
      </c>
      <c r="BE20" t="s">
        <v>530</v>
      </c>
      <c r="BF20" t="str">
        <f>HYPERLINK("http://dx.doi.org/10.1109/TGRS.2021.3074029","http://dx.doi.org/10.1109/TGRS.2021.3074029")</f>
        <v>http://dx.doi.org/10.1109/TGRS.2021.3074029</v>
      </c>
      <c r="BG20" t="s">
        <v>74</v>
      </c>
      <c r="BH20" t="s">
        <v>514</v>
      </c>
      <c r="BI20">
        <v>12</v>
      </c>
      <c r="BJ20" t="s">
        <v>253</v>
      </c>
      <c r="BK20" t="s">
        <v>101</v>
      </c>
      <c r="BL20" t="s">
        <v>254</v>
      </c>
      <c r="BM20" t="s">
        <v>515</v>
      </c>
      <c r="BN20" t="s">
        <v>74</v>
      </c>
      <c r="BO20" t="s">
        <v>74</v>
      </c>
      <c r="BP20" t="s">
        <v>74</v>
      </c>
      <c r="BQ20" t="s">
        <v>74</v>
      </c>
      <c r="BR20" t="s">
        <v>104</v>
      </c>
      <c r="BS20" t="s">
        <v>531</v>
      </c>
      <c r="BT20" t="str">
        <f>HYPERLINK("https%3A%2F%2Fwww.webofscience.com%2Fwos%2Fwoscc%2Ffull-record%2FWOS:000732794900001","View Full Record in Web of Science")</f>
        <v>View Full Record in Web of Science</v>
      </c>
    </row>
    <row r="21" spans="1:72" x14ac:dyDescent="0.15">
      <c r="A21" t="s">
        <v>72</v>
      </c>
      <c r="B21" t="s">
        <v>532</v>
      </c>
      <c r="C21" t="s">
        <v>74</v>
      </c>
      <c r="D21" t="s">
        <v>74</v>
      </c>
      <c r="E21" t="s">
        <v>74</v>
      </c>
      <c r="F21" t="s">
        <v>533</v>
      </c>
      <c r="G21" t="s">
        <v>74</v>
      </c>
      <c r="H21" t="s">
        <v>74</v>
      </c>
      <c r="I21" t="s">
        <v>534</v>
      </c>
      <c r="J21" t="s">
        <v>535</v>
      </c>
      <c r="K21" t="s">
        <v>74</v>
      </c>
      <c r="L21" t="s">
        <v>74</v>
      </c>
      <c r="M21" t="s">
        <v>78</v>
      </c>
      <c r="N21" t="s">
        <v>79</v>
      </c>
      <c r="O21" t="s">
        <v>74</v>
      </c>
      <c r="P21" t="s">
        <v>74</v>
      </c>
      <c r="Q21" t="s">
        <v>74</v>
      </c>
      <c r="R21" t="s">
        <v>74</v>
      </c>
      <c r="S21" t="s">
        <v>74</v>
      </c>
      <c r="T21" t="s">
        <v>74</v>
      </c>
      <c r="U21" t="s">
        <v>536</v>
      </c>
      <c r="V21" t="s">
        <v>537</v>
      </c>
      <c r="W21" t="s">
        <v>538</v>
      </c>
      <c r="X21" t="s">
        <v>539</v>
      </c>
      <c r="Y21" t="s">
        <v>540</v>
      </c>
      <c r="Z21" t="s">
        <v>541</v>
      </c>
      <c r="AA21" t="s">
        <v>542</v>
      </c>
      <c r="AB21" t="s">
        <v>543</v>
      </c>
      <c r="AC21" t="s">
        <v>544</v>
      </c>
      <c r="AD21" t="s">
        <v>545</v>
      </c>
      <c r="AE21" t="s">
        <v>546</v>
      </c>
      <c r="AF21" t="s">
        <v>74</v>
      </c>
      <c r="AG21">
        <v>68</v>
      </c>
      <c r="AH21">
        <v>7</v>
      </c>
      <c r="AI21">
        <v>7</v>
      </c>
      <c r="AJ21">
        <v>0</v>
      </c>
      <c r="AK21">
        <v>5</v>
      </c>
      <c r="AL21" t="s">
        <v>547</v>
      </c>
      <c r="AM21" t="s">
        <v>548</v>
      </c>
      <c r="AN21" t="s">
        <v>549</v>
      </c>
      <c r="AO21" t="s">
        <v>550</v>
      </c>
      <c r="AP21" t="s">
        <v>74</v>
      </c>
      <c r="AQ21" t="s">
        <v>74</v>
      </c>
      <c r="AR21" t="s">
        <v>535</v>
      </c>
      <c r="AS21" t="s">
        <v>551</v>
      </c>
      <c r="AT21" t="s">
        <v>552</v>
      </c>
      <c r="AU21">
        <v>2021</v>
      </c>
      <c r="AV21">
        <v>16</v>
      </c>
      <c r="AW21">
        <v>4</v>
      </c>
      <c r="AX21" t="s">
        <v>74</v>
      </c>
      <c r="AY21" t="s">
        <v>74</v>
      </c>
      <c r="AZ21" t="s">
        <v>74</v>
      </c>
      <c r="BA21" t="s">
        <v>74</v>
      </c>
      <c r="BB21" t="s">
        <v>74</v>
      </c>
      <c r="BC21" t="s">
        <v>74</v>
      </c>
      <c r="BD21" t="s">
        <v>553</v>
      </c>
      <c r="BE21" t="s">
        <v>554</v>
      </c>
      <c r="BF21" t="str">
        <f>HYPERLINK("http://dx.doi.org/10.1371/journal.pone.0250629","http://dx.doi.org/10.1371/journal.pone.0250629")</f>
        <v>http://dx.doi.org/10.1371/journal.pone.0250629</v>
      </c>
      <c r="BG21" t="s">
        <v>74</v>
      </c>
      <c r="BH21" t="s">
        <v>74</v>
      </c>
      <c r="BI21">
        <v>21</v>
      </c>
      <c r="BJ21" t="s">
        <v>555</v>
      </c>
      <c r="BK21" t="s">
        <v>101</v>
      </c>
      <c r="BL21" t="s">
        <v>556</v>
      </c>
      <c r="BM21" t="s">
        <v>557</v>
      </c>
      <c r="BN21">
        <v>33930042</v>
      </c>
      <c r="BO21" t="s">
        <v>558</v>
      </c>
      <c r="BP21" t="s">
        <v>74</v>
      </c>
      <c r="BQ21" t="s">
        <v>74</v>
      </c>
      <c r="BR21" t="s">
        <v>104</v>
      </c>
      <c r="BS21" t="s">
        <v>559</v>
      </c>
      <c r="BT21" t="str">
        <f>HYPERLINK("https%3A%2F%2Fwww.webofscience.com%2Fwos%2Fwoscc%2Ffull-record%2FWOS:000664607000020","View Full Record in Web of Science")</f>
        <v>View Full Record in Web of Science</v>
      </c>
    </row>
    <row r="22" spans="1:72" x14ac:dyDescent="0.15">
      <c r="A22" t="s">
        <v>72</v>
      </c>
      <c r="B22" t="s">
        <v>560</v>
      </c>
      <c r="C22" t="s">
        <v>74</v>
      </c>
      <c r="D22" t="s">
        <v>74</v>
      </c>
      <c r="E22" t="s">
        <v>74</v>
      </c>
      <c r="F22" t="s">
        <v>561</v>
      </c>
      <c r="G22" t="s">
        <v>74</v>
      </c>
      <c r="H22" t="s">
        <v>74</v>
      </c>
      <c r="I22" t="s">
        <v>562</v>
      </c>
      <c r="J22" t="s">
        <v>563</v>
      </c>
      <c r="K22" t="s">
        <v>74</v>
      </c>
      <c r="L22" t="s">
        <v>74</v>
      </c>
      <c r="M22" t="s">
        <v>78</v>
      </c>
      <c r="N22" t="s">
        <v>79</v>
      </c>
      <c r="O22" t="s">
        <v>74</v>
      </c>
      <c r="P22" t="s">
        <v>74</v>
      </c>
      <c r="Q22" t="s">
        <v>74</v>
      </c>
      <c r="R22" t="s">
        <v>74</v>
      </c>
      <c r="S22" t="s">
        <v>74</v>
      </c>
      <c r="T22" t="s">
        <v>564</v>
      </c>
      <c r="U22" t="s">
        <v>565</v>
      </c>
      <c r="V22" t="s">
        <v>566</v>
      </c>
      <c r="W22" t="s">
        <v>567</v>
      </c>
      <c r="X22" t="s">
        <v>568</v>
      </c>
      <c r="Y22" t="s">
        <v>569</v>
      </c>
      <c r="Z22" t="s">
        <v>570</v>
      </c>
      <c r="AA22" t="s">
        <v>571</v>
      </c>
      <c r="AB22" t="s">
        <v>572</v>
      </c>
      <c r="AC22" t="s">
        <v>573</v>
      </c>
      <c r="AD22" t="s">
        <v>574</v>
      </c>
      <c r="AE22" t="s">
        <v>575</v>
      </c>
      <c r="AF22" t="s">
        <v>74</v>
      </c>
      <c r="AG22">
        <v>94</v>
      </c>
      <c r="AH22">
        <v>13</v>
      </c>
      <c r="AI22">
        <v>13</v>
      </c>
      <c r="AJ22">
        <v>6</v>
      </c>
      <c r="AK22">
        <v>51</v>
      </c>
      <c r="AL22" t="s">
        <v>576</v>
      </c>
      <c r="AM22" t="s">
        <v>577</v>
      </c>
      <c r="AN22" t="s">
        <v>578</v>
      </c>
      <c r="AO22" t="s">
        <v>579</v>
      </c>
      <c r="AP22" t="s">
        <v>580</v>
      </c>
      <c r="AQ22" t="s">
        <v>74</v>
      </c>
      <c r="AR22" t="s">
        <v>581</v>
      </c>
      <c r="AS22" t="s">
        <v>582</v>
      </c>
      <c r="AT22" t="s">
        <v>583</v>
      </c>
      <c r="AU22">
        <v>2021</v>
      </c>
      <c r="AV22">
        <v>785</v>
      </c>
      <c r="AW22" t="s">
        <v>74</v>
      </c>
      <c r="AX22" t="s">
        <v>74</v>
      </c>
      <c r="AY22" t="s">
        <v>74</v>
      </c>
      <c r="AZ22" t="s">
        <v>74</v>
      </c>
      <c r="BA22" t="s">
        <v>74</v>
      </c>
      <c r="BB22" t="s">
        <v>74</v>
      </c>
      <c r="BC22" t="s">
        <v>74</v>
      </c>
      <c r="BD22">
        <v>147271</v>
      </c>
      <c r="BE22" t="s">
        <v>584</v>
      </c>
      <c r="BF22" t="str">
        <f>HYPERLINK("http://dx.doi.org/10.1016/j.scitotenv.2021.147271","http://dx.doi.org/10.1016/j.scitotenv.2021.147271")</f>
        <v>http://dx.doi.org/10.1016/j.scitotenv.2021.147271</v>
      </c>
      <c r="BG22" t="s">
        <v>74</v>
      </c>
      <c r="BH22" t="s">
        <v>514</v>
      </c>
      <c r="BI22">
        <v>12</v>
      </c>
      <c r="BJ22" t="s">
        <v>224</v>
      </c>
      <c r="BK22" t="s">
        <v>101</v>
      </c>
      <c r="BL22" t="s">
        <v>225</v>
      </c>
      <c r="BM22" t="s">
        <v>585</v>
      </c>
      <c r="BN22">
        <v>33940409</v>
      </c>
      <c r="BO22" t="s">
        <v>74</v>
      </c>
      <c r="BP22" t="s">
        <v>74</v>
      </c>
      <c r="BQ22" t="s">
        <v>74</v>
      </c>
      <c r="BR22" t="s">
        <v>104</v>
      </c>
      <c r="BS22" t="s">
        <v>586</v>
      </c>
      <c r="BT22" t="str">
        <f>HYPERLINK("https%3A%2F%2Fwww.webofscience.com%2Fwos%2Fwoscc%2Ffull-record%2FWOS:000663799000004","View Full Record in Web of Science")</f>
        <v>View Full Record in Web of Science</v>
      </c>
    </row>
    <row r="23" spans="1:72" x14ac:dyDescent="0.15">
      <c r="A23" t="s">
        <v>72</v>
      </c>
      <c r="B23" t="s">
        <v>587</v>
      </c>
      <c r="C23" t="s">
        <v>74</v>
      </c>
      <c r="D23" t="s">
        <v>74</v>
      </c>
      <c r="E23" t="s">
        <v>74</v>
      </c>
      <c r="F23" t="s">
        <v>588</v>
      </c>
      <c r="G23" t="s">
        <v>74</v>
      </c>
      <c r="H23" t="s">
        <v>74</v>
      </c>
      <c r="I23" t="s">
        <v>589</v>
      </c>
      <c r="J23" t="s">
        <v>590</v>
      </c>
      <c r="K23" t="s">
        <v>74</v>
      </c>
      <c r="L23" t="s">
        <v>74</v>
      </c>
      <c r="M23" t="s">
        <v>78</v>
      </c>
      <c r="N23" t="s">
        <v>79</v>
      </c>
      <c r="O23" t="s">
        <v>74</v>
      </c>
      <c r="P23" t="s">
        <v>74</v>
      </c>
      <c r="Q23" t="s">
        <v>74</v>
      </c>
      <c r="R23" t="s">
        <v>74</v>
      </c>
      <c r="S23" t="s">
        <v>74</v>
      </c>
      <c r="T23" t="s">
        <v>591</v>
      </c>
      <c r="U23" t="s">
        <v>592</v>
      </c>
      <c r="V23" t="s">
        <v>593</v>
      </c>
      <c r="W23" t="s">
        <v>594</v>
      </c>
      <c r="X23" t="s">
        <v>595</v>
      </c>
      <c r="Y23" t="s">
        <v>596</v>
      </c>
      <c r="Z23" t="s">
        <v>597</v>
      </c>
      <c r="AA23" t="s">
        <v>598</v>
      </c>
      <c r="AB23" t="s">
        <v>599</v>
      </c>
      <c r="AC23" t="s">
        <v>600</v>
      </c>
      <c r="AD23" t="s">
        <v>601</v>
      </c>
      <c r="AE23" t="s">
        <v>602</v>
      </c>
      <c r="AF23" t="s">
        <v>74</v>
      </c>
      <c r="AG23">
        <v>83</v>
      </c>
      <c r="AH23">
        <v>39</v>
      </c>
      <c r="AI23">
        <v>39</v>
      </c>
      <c r="AJ23">
        <v>6</v>
      </c>
      <c r="AK23">
        <v>54</v>
      </c>
      <c r="AL23" t="s">
        <v>603</v>
      </c>
      <c r="AM23" t="s">
        <v>604</v>
      </c>
      <c r="AN23" t="s">
        <v>605</v>
      </c>
      <c r="AO23" t="s">
        <v>74</v>
      </c>
      <c r="AP23" t="s">
        <v>606</v>
      </c>
      <c r="AQ23" t="s">
        <v>74</v>
      </c>
      <c r="AR23" t="s">
        <v>607</v>
      </c>
      <c r="AS23" t="s">
        <v>608</v>
      </c>
      <c r="AT23" t="s">
        <v>552</v>
      </c>
      <c r="AU23">
        <v>2021</v>
      </c>
      <c r="AV23">
        <v>9</v>
      </c>
      <c r="AW23" t="s">
        <v>74</v>
      </c>
      <c r="AX23" t="s">
        <v>74</v>
      </c>
      <c r="AY23" t="s">
        <v>74</v>
      </c>
      <c r="AZ23" t="s">
        <v>74</v>
      </c>
      <c r="BA23" t="s">
        <v>74</v>
      </c>
      <c r="BB23" t="s">
        <v>74</v>
      </c>
      <c r="BC23" t="s">
        <v>74</v>
      </c>
      <c r="BD23">
        <v>596860</v>
      </c>
      <c r="BE23" t="s">
        <v>609</v>
      </c>
      <c r="BF23" t="str">
        <f>HYPERLINK("http://dx.doi.org/10.3389/feart.2021.596860","http://dx.doi.org/10.3389/feart.2021.596860")</f>
        <v>http://dx.doi.org/10.3389/feart.2021.596860</v>
      </c>
      <c r="BG23" t="s">
        <v>74</v>
      </c>
      <c r="BH23" t="s">
        <v>74</v>
      </c>
      <c r="BI23">
        <v>17</v>
      </c>
      <c r="BJ23" t="s">
        <v>100</v>
      </c>
      <c r="BK23" t="s">
        <v>101</v>
      </c>
      <c r="BL23" t="s">
        <v>102</v>
      </c>
      <c r="BM23" t="s">
        <v>610</v>
      </c>
      <c r="BN23" t="s">
        <v>74</v>
      </c>
      <c r="BO23" t="s">
        <v>317</v>
      </c>
      <c r="BP23" t="s">
        <v>74</v>
      </c>
      <c r="BQ23" t="s">
        <v>74</v>
      </c>
      <c r="BR23" t="s">
        <v>104</v>
      </c>
      <c r="BS23" t="s">
        <v>611</v>
      </c>
      <c r="BT23" t="str">
        <f>HYPERLINK("https%3A%2F%2Fwww.webofscience.com%2Fwos%2Fwoscc%2Ffull-record%2FWOS:000650222000001","View Full Record in Web of Science")</f>
        <v>View Full Record in Web of Science</v>
      </c>
    </row>
    <row r="24" spans="1:72" x14ac:dyDescent="0.15">
      <c r="A24" t="s">
        <v>72</v>
      </c>
      <c r="B24" t="s">
        <v>612</v>
      </c>
      <c r="C24" t="s">
        <v>74</v>
      </c>
      <c r="D24" t="s">
        <v>74</v>
      </c>
      <c r="E24" t="s">
        <v>74</v>
      </c>
      <c r="F24" t="s">
        <v>613</v>
      </c>
      <c r="G24" t="s">
        <v>74</v>
      </c>
      <c r="H24" t="s">
        <v>74</v>
      </c>
      <c r="I24" t="s">
        <v>614</v>
      </c>
      <c r="J24" t="s">
        <v>615</v>
      </c>
      <c r="K24" t="s">
        <v>74</v>
      </c>
      <c r="L24" t="s">
        <v>74</v>
      </c>
      <c r="M24" t="s">
        <v>78</v>
      </c>
      <c r="N24" t="s">
        <v>79</v>
      </c>
      <c r="O24" t="s">
        <v>74</v>
      </c>
      <c r="P24" t="s">
        <v>74</v>
      </c>
      <c r="Q24" t="s">
        <v>74</v>
      </c>
      <c r="R24" t="s">
        <v>74</v>
      </c>
      <c r="S24" t="s">
        <v>74</v>
      </c>
      <c r="T24" t="s">
        <v>616</v>
      </c>
      <c r="U24" t="s">
        <v>74</v>
      </c>
      <c r="V24" t="s">
        <v>617</v>
      </c>
      <c r="W24" t="s">
        <v>618</v>
      </c>
      <c r="X24" t="s">
        <v>619</v>
      </c>
      <c r="Y24" t="s">
        <v>620</v>
      </c>
      <c r="Z24" t="s">
        <v>621</v>
      </c>
      <c r="AA24" t="s">
        <v>74</v>
      </c>
      <c r="AB24" t="s">
        <v>74</v>
      </c>
      <c r="AC24" t="s">
        <v>622</v>
      </c>
      <c r="AD24" t="s">
        <v>623</v>
      </c>
      <c r="AE24" t="s">
        <v>624</v>
      </c>
      <c r="AF24" t="s">
        <v>74</v>
      </c>
      <c r="AG24">
        <v>29</v>
      </c>
      <c r="AH24">
        <v>0</v>
      </c>
      <c r="AI24">
        <v>0</v>
      </c>
      <c r="AJ24">
        <v>1</v>
      </c>
      <c r="AK24">
        <v>4</v>
      </c>
      <c r="AL24" t="s">
        <v>625</v>
      </c>
      <c r="AM24" t="s">
        <v>167</v>
      </c>
      <c r="AN24" t="s">
        <v>626</v>
      </c>
      <c r="AO24" t="s">
        <v>627</v>
      </c>
      <c r="AP24" t="s">
        <v>628</v>
      </c>
      <c r="AQ24" t="s">
        <v>74</v>
      </c>
      <c r="AR24" t="s">
        <v>629</v>
      </c>
      <c r="AS24" t="s">
        <v>630</v>
      </c>
      <c r="AT24" t="s">
        <v>552</v>
      </c>
      <c r="AU24">
        <v>2021</v>
      </c>
      <c r="AV24">
        <v>57</v>
      </c>
      <c r="AW24" t="s">
        <v>74</v>
      </c>
      <c r="AX24" t="s">
        <v>74</v>
      </c>
      <c r="AY24" t="s">
        <v>74</v>
      </c>
      <c r="AZ24" t="s">
        <v>74</v>
      </c>
      <c r="BA24" t="s">
        <v>74</v>
      </c>
      <c r="BB24" t="s">
        <v>74</v>
      </c>
      <c r="BC24" t="s">
        <v>74</v>
      </c>
      <c r="BD24" t="s">
        <v>631</v>
      </c>
      <c r="BE24" t="s">
        <v>632</v>
      </c>
      <c r="BF24" t="str">
        <f>HYPERLINK("http://dx.doi.org/10.1017/S0032247421000115","http://dx.doi.org/10.1017/S0032247421000115")</f>
        <v>http://dx.doi.org/10.1017/S0032247421000115</v>
      </c>
      <c r="BG24" t="s">
        <v>74</v>
      </c>
      <c r="BH24" t="s">
        <v>74</v>
      </c>
      <c r="BI24">
        <v>8</v>
      </c>
      <c r="BJ24" t="s">
        <v>633</v>
      </c>
      <c r="BK24" t="s">
        <v>101</v>
      </c>
      <c r="BL24" t="s">
        <v>225</v>
      </c>
      <c r="BM24" t="s">
        <v>634</v>
      </c>
      <c r="BN24" t="s">
        <v>74</v>
      </c>
      <c r="BO24" t="s">
        <v>74</v>
      </c>
      <c r="BP24" t="s">
        <v>74</v>
      </c>
      <c r="BQ24" t="s">
        <v>74</v>
      </c>
      <c r="BR24" t="s">
        <v>104</v>
      </c>
      <c r="BS24" t="s">
        <v>635</v>
      </c>
      <c r="BT24" t="str">
        <f>HYPERLINK("https%3A%2F%2Fwww.webofscience.com%2Fwos%2Fwoscc%2Ffull-record%2FWOS:000645445900001","View Full Record in Web of Science")</f>
        <v>View Full Record in Web of Science</v>
      </c>
    </row>
    <row r="25" spans="1:72" x14ac:dyDescent="0.15">
      <c r="A25" t="s">
        <v>72</v>
      </c>
      <c r="B25" t="s">
        <v>636</v>
      </c>
      <c r="C25" t="s">
        <v>74</v>
      </c>
      <c r="D25" t="s">
        <v>74</v>
      </c>
      <c r="E25" t="s">
        <v>74</v>
      </c>
      <c r="F25" t="s">
        <v>637</v>
      </c>
      <c r="G25" t="s">
        <v>74</v>
      </c>
      <c r="H25" t="s">
        <v>74</v>
      </c>
      <c r="I25" t="s">
        <v>638</v>
      </c>
      <c r="J25" t="s">
        <v>639</v>
      </c>
      <c r="K25" t="s">
        <v>74</v>
      </c>
      <c r="L25" t="s">
        <v>74</v>
      </c>
      <c r="M25" t="s">
        <v>78</v>
      </c>
      <c r="N25" t="s">
        <v>79</v>
      </c>
      <c r="O25" t="s">
        <v>74</v>
      </c>
      <c r="P25" t="s">
        <v>74</v>
      </c>
      <c r="Q25" t="s">
        <v>74</v>
      </c>
      <c r="R25" t="s">
        <v>74</v>
      </c>
      <c r="S25" t="s">
        <v>74</v>
      </c>
      <c r="T25" t="s">
        <v>640</v>
      </c>
      <c r="U25" t="s">
        <v>641</v>
      </c>
      <c r="V25" t="s">
        <v>642</v>
      </c>
      <c r="W25" t="s">
        <v>643</v>
      </c>
      <c r="X25" t="s">
        <v>644</v>
      </c>
      <c r="Y25" t="s">
        <v>645</v>
      </c>
      <c r="Z25" t="s">
        <v>646</v>
      </c>
      <c r="AA25" t="s">
        <v>647</v>
      </c>
      <c r="AB25" t="s">
        <v>648</v>
      </c>
      <c r="AC25" t="s">
        <v>649</v>
      </c>
      <c r="AD25" t="s">
        <v>650</v>
      </c>
      <c r="AE25" t="s">
        <v>651</v>
      </c>
      <c r="AF25" t="s">
        <v>74</v>
      </c>
      <c r="AG25">
        <v>58</v>
      </c>
      <c r="AH25">
        <v>3</v>
      </c>
      <c r="AI25">
        <v>4</v>
      </c>
      <c r="AJ25">
        <v>4</v>
      </c>
      <c r="AK25">
        <v>66</v>
      </c>
      <c r="AL25" t="s">
        <v>652</v>
      </c>
      <c r="AM25" t="s">
        <v>653</v>
      </c>
      <c r="AN25" t="s">
        <v>654</v>
      </c>
      <c r="AO25" t="s">
        <v>655</v>
      </c>
      <c r="AP25" t="s">
        <v>656</v>
      </c>
      <c r="AQ25" t="s">
        <v>74</v>
      </c>
      <c r="AR25" t="s">
        <v>657</v>
      </c>
      <c r="AS25" t="s">
        <v>658</v>
      </c>
      <c r="AT25" t="s">
        <v>74</v>
      </c>
      <c r="AU25">
        <v>2021</v>
      </c>
      <c r="AV25">
        <v>18</v>
      </c>
      <c r="AW25" t="s">
        <v>98</v>
      </c>
      <c r="AX25" t="s">
        <v>74</v>
      </c>
      <c r="AY25" t="s">
        <v>74</v>
      </c>
      <c r="AZ25" t="s">
        <v>74</v>
      </c>
      <c r="BA25" t="s">
        <v>74</v>
      </c>
      <c r="BB25">
        <v>193</v>
      </c>
      <c r="BC25">
        <v>201</v>
      </c>
      <c r="BD25" t="s">
        <v>74</v>
      </c>
      <c r="BE25" t="s">
        <v>659</v>
      </c>
      <c r="BF25" t="str">
        <f>HYPERLINK("http://dx.doi.org/10.1071/EN21003","http://dx.doi.org/10.1071/EN21003")</f>
        <v>http://dx.doi.org/10.1071/EN21003</v>
      </c>
      <c r="BG25" t="s">
        <v>74</v>
      </c>
      <c r="BH25" t="s">
        <v>514</v>
      </c>
      <c r="BI25">
        <v>9</v>
      </c>
      <c r="BJ25" t="s">
        <v>660</v>
      </c>
      <c r="BK25" t="s">
        <v>101</v>
      </c>
      <c r="BL25" t="s">
        <v>661</v>
      </c>
      <c r="BM25" t="s">
        <v>662</v>
      </c>
      <c r="BN25" t="s">
        <v>74</v>
      </c>
      <c r="BO25" t="s">
        <v>663</v>
      </c>
      <c r="BP25" t="s">
        <v>74</v>
      </c>
      <c r="BQ25" t="s">
        <v>74</v>
      </c>
      <c r="BR25" t="s">
        <v>104</v>
      </c>
      <c r="BS25" t="s">
        <v>664</v>
      </c>
      <c r="BT25" t="str">
        <f>HYPERLINK("https%3A%2F%2Fwww.webofscience.com%2Fwos%2Fwoscc%2Ffull-record%2FWOS:000645604700001","View Full Record in Web of Science")</f>
        <v>View Full Record in Web of Science</v>
      </c>
    </row>
    <row r="26" spans="1:72" x14ac:dyDescent="0.15">
      <c r="A26" t="s">
        <v>72</v>
      </c>
      <c r="B26" t="s">
        <v>665</v>
      </c>
      <c r="C26" t="s">
        <v>74</v>
      </c>
      <c r="D26" t="s">
        <v>74</v>
      </c>
      <c r="E26" t="s">
        <v>74</v>
      </c>
      <c r="F26" t="s">
        <v>666</v>
      </c>
      <c r="G26" t="s">
        <v>74</v>
      </c>
      <c r="H26" t="s">
        <v>74</v>
      </c>
      <c r="I26" t="s">
        <v>667</v>
      </c>
      <c r="J26" t="s">
        <v>668</v>
      </c>
      <c r="K26" t="s">
        <v>74</v>
      </c>
      <c r="L26" t="s">
        <v>74</v>
      </c>
      <c r="M26" t="s">
        <v>78</v>
      </c>
      <c r="N26" t="s">
        <v>79</v>
      </c>
      <c r="O26" t="s">
        <v>74</v>
      </c>
      <c r="P26" t="s">
        <v>74</v>
      </c>
      <c r="Q26" t="s">
        <v>74</v>
      </c>
      <c r="R26" t="s">
        <v>74</v>
      </c>
      <c r="S26" t="s">
        <v>74</v>
      </c>
      <c r="T26" t="s">
        <v>669</v>
      </c>
      <c r="U26" t="s">
        <v>670</v>
      </c>
      <c r="V26" t="s">
        <v>671</v>
      </c>
      <c r="W26" t="s">
        <v>672</v>
      </c>
      <c r="X26" t="s">
        <v>673</v>
      </c>
      <c r="Y26" t="s">
        <v>674</v>
      </c>
      <c r="Z26" t="s">
        <v>675</v>
      </c>
      <c r="AA26" t="s">
        <v>676</v>
      </c>
      <c r="AB26" t="s">
        <v>677</v>
      </c>
      <c r="AC26" t="s">
        <v>678</v>
      </c>
      <c r="AD26" t="s">
        <v>679</v>
      </c>
      <c r="AE26" t="s">
        <v>680</v>
      </c>
      <c r="AF26" t="s">
        <v>74</v>
      </c>
      <c r="AG26">
        <v>21</v>
      </c>
      <c r="AH26">
        <v>5</v>
      </c>
      <c r="AI26">
        <v>5</v>
      </c>
      <c r="AJ26">
        <v>1</v>
      </c>
      <c r="AK26">
        <v>5</v>
      </c>
      <c r="AL26" t="s">
        <v>576</v>
      </c>
      <c r="AM26" t="s">
        <v>577</v>
      </c>
      <c r="AN26" t="s">
        <v>578</v>
      </c>
      <c r="AO26" t="s">
        <v>681</v>
      </c>
      <c r="AP26" t="s">
        <v>682</v>
      </c>
      <c r="AQ26" t="s">
        <v>74</v>
      </c>
      <c r="AR26" t="s">
        <v>683</v>
      </c>
      <c r="AS26" t="s">
        <v>684</v>
      </c>
      <c r="AT26" t="s">
        <v>685</v>
      </c>
      <c r="AU26">
        <v>2021</v>
      </c>
      <c r="AV26">
        <v>183</v>
      </c>
      <c r="AW26" t="s">
        <v>74</v>
      </c>
      <c r="AX26" t="s">
        <v>74</v>
      </c>
      <c r="AY26" t="s">
        <v>74</v>
      </c>
      <c r="AZ26" t="s">
        <v>74</v>
      </c>
      <c r="BA26" t="s">
        <v>74</v>
      </c>
      <c r="BB26">
        <v>213</v>
      </c>
      <c r="BC26">
        <v>221</v>
      </c>
      <c r="BD26" t="s">
        <v>74</v>
      </c>
      <c r="BE26" t="s">
        <v>686</v>
      </c>
      <c r="BF26" t="str">
        <f>HYPERLINK("http://dx.doi.org/10.1016/j.ijbiomac.2021.04.141","http://dx.doi.org/10.1016/j.ijbiomac.2021.04.141")</f>
        <v>http://dx.doi.org/10.1016/j.ijbiomac.2021.04.141</v>
      </c>
      <c r="BG26" t="s">
        <v>74</v>
      </c>
      <c r="BH26" t="s">
        <v>514</v>
      </c>
      <c r="BI26">
        <v>9</v>
      </c>
      <c r="BJ26" t="s">
        <v>687</v>
      </c>
      <c r="BK26" t="s">
        <v>101</v>
      </c>
      <c r="BL26" t="s">
        <v>688</v>
      </c>
      <c r="BM26" t="s">
        <v>689</v>
      </c>
      <c r="BN26">
        <v>33910038</v>
      </c>
      <c r="BO26" t="s">
        <v>74</v>
      </c>
      <c r="BP26" t="s">
        <v>74</v>
      </c>
      <c r="BQ26" t="s">
        <v>74</v>
      </c>
      <c r="BR26" t="s">
        <v>104</v>
      </c>
      <c r="BS26" t="s">
        <v>690</v>
      </c>
      <c r="BT26" t="str">
        <f>HYPERLINK("https%3A%2F%2Fwww.webofscience.com%2Fwos%2Fwoscc%2Ffull-record%2FWOS:000675832400007","View Full Record in Web of Science")</f>
        <v>View Full Record in Web of Science</v>
      </c>
    </row>
    <row r="27" spans="1:72" x14ac:dyDescent="0.15">
      <c r="A27" t="s">
        <v>72</v>
      </c>
      <c r="B27" t="s">
        <v>691</v>
      </c>
      <c r="C27" t="s">
        <v>74</v>
      </c>
      <c r="D27" t="s">
        <v>74</v>
      </c>
      <c r="E27" t="s">
        <v>74</v>
      </c>
      <c r="F27" t="s">
        <v>692</v>
      </c>
      <c r="G27" t="s">
        <v>74</v>
      </c>
      <c r="H27" t="s">
        <v>74</v>
      </c>
      <c r="I27" t="s">
        <v>693</v>
      </c>
      <c r="J27" t="s">
        <v>694</v>
      </c>
      <c r="K27" t="s">
        <v>74</v>
      </c>
      <c r="L27" t="s">
        <v>74</v>
      </c>
      <c r="M27" t="s">
        <v>78</v>
      </c>
      <c r="N27" t="s">
        <v>79</v>
      </c>
      <c r="O27" t="s">
        <v>74</v>
      </c>
      <c r="P27" t="s">
        <v>74</v>
      </c>
      <c r="Q27" t="s">
        <v>74</v>
      </c>
      <c r="R27" t="s">
        <v>74</v>
      </c>
      <c r="S27" t="s">
        <v>74</v>
      </c>
      <c r="T27" t="s">
        <v>695</v>
      </c>
      <c r="U27" t="s">
        <v>696</v>
      </c>
      <c r="V27" t="s">
        <v>697</v>
      </c>
      <c r="W27" t="s">
        <v>698</v>
      </c>
      <c r="X27" t="s">
        <v>699</v>
      </c>
      <c r="Y27" t="s">
        <v>700</v>
      </c>
      <c r="Z27" t="s">
        <v>701</v>
      </c>
      <c r="AA27" t="s">
        <v>702</v>
      </c>
      <c r="AB27" t="s">
        <v>703</v>
      </c>
      <c r="AC27" t="s">
        <v>74</v>
      </c>
      <c r="AD27" t="s">
        <v>74</v>
      </c>
      <c r="AE27" t="s">
        <v>74</v>
      </c>
      <c r="AF27" t="s">
        <v>74</v>
      </c>
      <c r="AG27">
        <v>84</v>
      </c>
      <c r="AH27">
        <v>3</v>
      </c>
      <c r="AI27">
        <v>3</v>
      </c>
      <c r="AJ27">
        <v>1</v>
      </c>
      <c r="AK27">
        <v>1</v>
      </c>
      <c r="AL27" t="s">
        <v>576</v>
      </c>
      <c r="AM27" t="s">
        <v>577</v>
      </c>
      <c r="AN27" t="s">
        <v>578</v>
      </c>
      <c r="AO27" t="s">
        <v>704</v>
      </c>
      <c r="AP27" t="s">
        <v>74</v>
      </c>
      <c r="AQ27" t="s">
        <v>74</v>
      </c>
      <c r="AR27" t="s">
        <v>705</v>
      </c>
      <c r="AS27" t="s">
        <v>706</v>
      </c>
      <c r="AT27" t="s">
        <v>707</v>
      </c>
      <c r="AU27">
        <v>2021</v>
      </c>
      <c r="AV27">
        <v>45</v>
      </c>
      <c r="AW27" t="s">
        <v>74</v>
      </c>
      <c r="AX27" t="s">
        <v>74</v>
      </c>
      <c r="AY27" t="s">
        <v>74</v>
      </c>
      <c r="AZ27" t="s">
        <v>74</v>
      </c>
      <c r="BA27" t="s">
        <v>74</v>
      </c>
      <c r="BB27" t="s">
        <v>74</v>
      </c>
      <c r="BC27" t="s">
        <v>74</v>
      </c>
      <c r="BD27">
        <v>101806</v>
      </c>
      <c r="BE27" t="s">
        <v>708</v>
      </c>
      <c r="BF27" t="str">
        <f>HYPERLINK("http://dx.doi.org/10.1016/j.rsma.2021.101806","http://dx.doi.org/10.1016/j.rsma.2021.101806")</f>
        <v>http://dx.doi.org/10.1016/j.rsma.2021.101806</v>
      </c>
      <c r="BG27" t="s">
        <v>74</v>
      </c>
      <c r="BH27" t="s">
        <v>514</v>
      </c>
      <c r="BI27">
        <v>17</v>
      </c>
      <c r="BJ27" t="s">
        <v>709</v>
      </c>
      <c r="BK27" t="s">
        <v>101</v>
      </c>
      <c r="BL27" t="s">
        <v>710</v>
      </c>
      <c r="BM27" t="s">
        <v>711</v>
      </c>
      <c r="BN27" t="s">
        <v>74</v>
      </c>
      <c r="BO27" t="s">
        <v>712</v>
      </c>
      <c r="BP27" t="s">
        <v>74</v>
      </c>
      <c r="BQ27" t="s">
        <v>74</v>
      </c>
      <c r="BR27" t="s">
        <v>104</v>
      </c>
      <c r="BS27" t="s">
        <v>713</v>
      </c>
      <c r="BT27" t="str">
        <f>HYPERLINK("https%3A%2F%2Fwww.webofscience.com%2Fwos%2Fwoscc%2Ffull-record%2FWOS:000670142200006","View Full Record in Web of Science")</f>
        <v>View Full Record in Web of Science</v>
      </c>
    </row>
    <row r="28" spans="1:72" x14ac:dyDescent="0.15">
      <c r="A28" t="s">
        <v>72</v>
      </c>
      <c r="B28" t="s">
        <v>714</v>
      </c>
      <c r="C28" t="s">
        <v>74</v>
      </c>
      <c r="D28" t="s">
        <v>74</v>
      </c>
      <c r="E28" t="s">
        <v>74</v>
      </c>
      <c r="F28" t="s">
        <v>715</v>
      </c>
      <c r="G28" t="s">
        <v>74</v>
      </c>
      <c r="H28" t="s">
        <v>74</v>
      </c>
      <c r="I28" t="s">
        <v>716</v>
      </c>
      <c r="J28" t="s">
        <v>717</v>
      </c>
      <c r="K28" t="s">
        <v>74</v>
      </c>
      <c r="L28" t="s">
        <v>74</v>
      </c>
      <c r="M28" t="s">
        <v>78</v>
      </c>
      <c r="N28" t="s">
        <v>79</v>
      </c>
      <c r="O28" t="s">
        <v>74</v>
      </c>
      <c r="P28" t="s">
        <v>74</v>
      </c>
      <c r="Q28" t="s">
        <v>74</v>
      </c>
      <c r="R28" t="s">
        <v>74</v>
      </c>
      <c r="S28" t="s">
        <v>74</v>
      </c>
      <c r="T28" t="s">
        <v>718</v>
      </c>
      <c r="U28" t="s">
        <v>719</v>
      </c>
      <c r="V28" t="s">
        <v>720</v>
      </c>
      <c r="W28" t="s">
        <v>721</v>
      </c>
      <c r="X28" t="s">
        <v>722</v>
      </c>
      <c r="Y28" t="s">
        <v>723</v>
      </c>
      <c r="Z28" t="s">
        <v>724</v>
      </c>
      <c r="AA28" t="s">
        <v>725</v>
      </c>
      <c r="AB28" t="s">
        <v>726</v>
      </c>
      <c r="AC28" t="s">
        <v>727</v>
      </c>
      <c r="AD28" t="s">
        <v>459</v>
      </c>
      <c r="AE28" t="s">
        <v>728</v>
      </c>
      <c r="AF28" t="s">
        <v>74</v>
      </c>
      <c r="AG28">
        <v>89</v>
      </c>
      <c r="AH28">
        <v>9</v>
      </c>
      <c r="AI28">
        <v>9</v>
      </c>
      <c r="AJ28">
        <v>2</v>
      </c>
      <c r="AK28">
        <v>22</v>
      </c>
      <c r="AL28" t="s">
        <v>603</v>
      </c>
      <c r="AM28" t="s">
        <v>604</v>
      </c>
      <c r="AN28" t="s">
        <v>605</v>
      </c>
      <c r="AO28" t="s">
        <v>74</v>
      </c>
      <c r="AP28" t="s">
        <v>729</v>
      </c>
      <c r="AQ28" t="s">
        <v>74</v>
      </c>
      <c r="AR28" t="s">
        <v>730</v>
      </c>
      <c r="AS28" t="s">
        <v>731</v>
      </c>
      <c r="AT28" t="s">
        <v>732</v>
      </c>
      <c r="AU28">
        <v>2021</v>
      </c>
      <c r="AV28">
        <v>9</v>
      </c>
      <c r="AW28" t="s">
        <v>74</v>
      </c>
      <c r="AX28" t="s">
        <v>74</v>
      </c>
      <c r="AY28" t="s">
        <v>74</v>
      </c>
      <c r="AZ28" t="s">
        <v>74</v>
      </c>
      <c r="BA28" t="s">
        <v>74</v>
      </c>
      <c r="BB28" t="s">
        <v>74</v>
      </c>
      <c r="BC28" t="s">
        <v>74</v>
      </c>
      <c r="BD28">
        <v>656271</v>
      </c>
      <c r="BE28" t="s">
        <v>733</v>
      </c>
      <c r="BF28" t="str">
        <f>HYPERLINK("http://dx.doi.org/10.3389/fenvs.2021.656271","http://dx.doi.org/10.3389/fenvs.2021.656271")</f>
        <v>http://dx.doi.org/10.3389/fenvs.2021.656271</v>
      </c>
      <c r="BG28" t="s">
        <v>74</v>
      </c>
      <c r="BH28" t="s">
        <v>74</v>
      </c>
      <c r="BI28">
        <v>13</v>
      </c>
      <c r="BJ28" t="s">
        <v>224</v>
      </c>
      <c r="BK28" t="s">
        <v>101</v>
      </c>
      <c r="BL28" t="s">
        <v>225</v>
      </c>
      <c r="BM28" t="s">
        <v>734</v>
      </c>
      <c r="BN28" t="s">
        <v>74</v>
      </c>
      <c r="BO28" t="s">
        <v>298</v>
      </c>
      <c r="BP28" t="s">
        <v>74</v>
      </c>
      <c r="BQ28" t="s">
        <v>74</v>
      </c>
      <c r="BR28" t="s">
        <v>104</v>
      </c>
      <c r="BS28" t="s">
        <v>735</v>
      </c>
      <c r="BT28" t="str">
        <f>HYPERLINK("https%3A%2F%2Fwww.webofscience.com%2Fwos%2Fwoscc%2Ffull-record%2FWOS:000649783600001","View Full Record in Web of Science")</f>
        <v>View Full Record in Web of Science</v>
      </c>
    </row>
    <row r="29" spans="1:72" x14ac:dyDescent="0.15">
      <c r="A29" t="s">
        <v>72</v>
      </c>
      <c r="B29" t="s">
        <v>736</v>
      </c>
      <c r="C29" t="s">
        <v>74</v>
      </c>
      <c r="D29" t="s">
        <v>74</v>
      </c>
      <c r="E29" t="s">
        <v>74</v>
      </c>
      <c r="F29" t="s">
        <v>737</v>
      </c>
      <c r="G29" t="s">
        <v>74</v>
      </c>
      <c r="H29" t="s">
        <v>74</v>
      </c>
      <c r="I29" t="s">
        <v>738</v>
      </c>
      <c r="J29" t="s">
        <v>739</v>
      </c>
      <c r="K29" t="s">
        <v>74</v>
      </c>
      <c r="L29" t="s">
        <v>74</v>
      </c>
      <c r="M29" t="s">
        <v>78</v>
      </c>
      <c r="N29" t="s">
        <v>79</v>
      </c>
      <c r="O29" t="s">
        <v>74</v>
      </c>
      <c r="P29" t="s">
        <v>74</v>
      </c>
      <c r="Q29" t="s">
        <v>74</v>
      </c>
      <c r="R29" t="s">
        <v>74</v>
      </c>
      <c r="S29" t="s">
        <v>74</v>
      </c>
      <c r="T29" t="s">
        <v>740</v>
      </c>
      <c r="U29" t="s">
        <v>741</v>
      </c>
      <c r="V29" t="s">
        <v>742</v>
      </c>
      <c r="W29" t="s">
        <v>743</v>
      </c>
      <c r="X29" t="s">
        <v>744</v>
      </c>
      <c r="Y29" t="s">
        <v>745</v>
      </c>
      <c r="Z29" t="s">
        <v>746</v>
      </c>
      <c r="AA29" t="s">
        <v>74</v>
      </c>
      <c r="AB29" t="s">
        <v>74</v>
      </c>
      <c r="AC29" t="s">
        <v>747</v>
      </c>
      <c r="AD29" t="s">
        <v>748</v>
      </c>
      <c r="AE29" t="s">
        <v>749</v>
      </c>
      <c r="AF29" t="s">
        <v>74</v>
      </c>
      <c r="AG29">
        <v>86</v>
      </c>
      <c r="AH29">
        <v>5</v>
      </c>
      <c r="AI29">
        <v>5</v>
      </c>
      <c r="AJ29">
        <v>8</v>
      </c>
      <c r="AK29">
        <v>40</v>
      </c>
      <c r="AL29" t="s">
        <v>750</v>
      </c>
      <c r="AM29" t="s">
        <v>751</v>
      </c>
      <c r="AN29" t="s">
        <v>752</v>
      </c>
      <c r="AO29" t="s">
        <v>753</v>
      </c>
      <c r="AP29" t="s">
        <v>754</v>
      </c>
      <c r="AQ29" t="s">
        <v>74</v>
      </c>
      <c r="AR29" t="s">
        <v>755</v>
      </c>
      <c r="AS29" t="s">
        <v>756</v>
      </c>
      <c r="AT29" t="s">
        <v>732</v>
      </c>
      <c r="AU29">
        <v>2021</v>
      </c>
      <c r="AV29">
        <v>665</v>
      </c>
      <c r="AW29" t="s">
        <v>74</v>
      </c>
      <c r="AX29" t="s">
        <v>74</v>
      </c>
      <c r="AY29" t="s">
        <v>74</v>
      </c>
      <c r="AZ29" t="s">
        <v>74</v>
      </c>
      <c r="BA29" t="s">
        <v>74</v>
      </c>
      <c r="BB29">
        <v>1</v>
      </c>
      <c r="BC29">
        <v>18</v>
      </c>
      <c r="BD29" t="s">
        <v>74</v>
      </c>
      <c r="BE29" t="s">
        <v>757</v>
      </c>
      <c r="BF29" t="str">
        <f>HYPERLINK("http://dx.doi.org/10.3354/meps13715","http://dx.doi.org/10.3354/meps13715")</f>
        <v>http://dx.doi.org/10.3354/meps13715</v>
      </c>
      <c r="BG29" t="s">
        <v>74</v>
      </c>
      <c r="BH29" t="s">
        <v>74</v>
      </c>
      <c r="BI29">
        <v>18</v>
      </c>
      <c r="BJ29" t="s">
        <v>758</v>
      </c>
      <c r="BK29" t="s">
        <v>101</v>
      </c>
      <c r="BL29" t="s">
        <v>759</v>
      </c>
      <c r="BM29" t="s">
        <v>760</v>
      </c>
      <c r="BN29" t="s">
        <v>74</v>
      </c>
      <c r="BO29" t="s">
        <v>712</v>
      </c>
      <c r="BP29" t="s">
        <v>74</v>
      </c>
      <c r="BQ29" t="s">
        <v>74</v>
      </c>
      <c r="BR29" t="s">
        <v>104</v>
      </c>
      <c r="BS29" t="s">
        <v>761</v>
      </c>
      <c r="BT29" t="str">
        <f>HYPERLINK("https%3A%2F%2Fwww.webofscience.com%2Fwos%2Fwoscc%2Ffull-record%2FWOS:000649299900001","View Full Record in Web of Science")</f>
        <v>View Full Record in Web of Science</v>
      </c>
    </row>
    <row r="30" spans="1:72" x14ac:dyDescent="0.15">
      <c r="A30" t="s">
        <v>72</v>
      </c>
      <c r="B30" t="s">
        <v>762</v>
      </c>
      <c r="C30" t="s">
        <v>74</v>
      </c>
      <c r="D30" t="s">
        <v>74</v>
      </c>
      <c r="E30" t="s">
        <v>74</v>
      </c>
      <c r="F30" t="s">
        <v>763</v>
      </c>
      <c r="G30" t="s">
        <v>74</v>
      </c>
      <c r="H30" t="s">
        <v>74</v>
      </c>
      <c r="I30" t="s">
        <v>764</v>
      </c>
      <c r="J30" t="s">
        <v>739</v>
      </c>
      <c r="K30" t="s">
        <v>74</v>
      </c>
      <c r="L30" t="s">
        <v>74</v>
      </c>
      <c r="M30" t="s">
        <v>78</v>
      </c>
      <c r="N30" t="s">
        <v>79</v>
      </c>
      <c r="O30" t="s">
        <v>74</v>
      </c>
      <c r="P30" t="s">
        <v>74</v>
      </c>
      <c r="Q30" t="s">
        <v>74</v>
      </c>
      <c r="R30" t="s">
        <v>74</v>
      </c>
      <c r="S30" t="s">
        <v>74</v>
      </c>
      <c r="T30" t="s">
        <v>765</v>
      </c>
      <c r="U30" t="s">
        <v>766</v>
      </c>
      <c r="V30" t="s">
        <v>767</v>
      </c>
      <c r="W30" t="s">
        <v>768</v>
      </c>
      <c r="X30" t="s">
        <v>769</v>
      </c>
      <c r="Y30" t="s">
        <v>770</v>
      </c>
      <c r="Z30" t="s">
        <v>771</v>
      </c>
      <c r="AA30" t="s">
        <v>772</v>
      </c>
      <c r="AB30" t="s">
        <v>773</v>
      </c>
      <c r="AC30" t="s">
        <v>774</v>
      </c>
      <c r="AD30" t="s">
        <v>775</v>
      </c>
      <c r="AE30" t="s">
        <v>776</v>
      </c>
      <c r="AF30" t="s">
        <v>74</v>
      </c>
      <c r="AG30">
        <v>93</v>
      </c>
      <c r="AH30">
        <v>8</v>
      </c>
      <c r="AI30">
        <v>8</v>
      </c>
      <c r="AJ30">
        <v>1</v>
      </c>
      <c r="AK30">
        <v>9</v>
      </c>
      <c r="AL30" t="s">
        <v>750</v>
      </c>
      <c r="AM30" t="s">
        <v>751</v>
      </c>
      <c r="AN30" t="s">
        <v>752</v>
      </c>
      <c r="AO30" t="s">
        <v>753</v>
      </c>
      <c r="AP30" t="s">
        <v>754</v>
      </c>
      <c r="AQ30" t="s">
        <v>74</v>
      </c>
      <c r="AR30" t="s">
        <v>755</v>
      </c>
      <c r="AS30" t="s">
        <v>756</v>
      </c>
      <c r="AT30" t="s">
        <v>732</v>
      </c>
      <c r="AU30">
        <v>2021</v>
      </c>
      <c r="AV30">
        <v>665</v>
      </c>
      <c r="AW30" t="s">
        <v>74</v>
      </c>
      <c r="AX30" t="s">
        <v>74</v>
      </c>
      <c r="AY30" t="s">
        <v>74</v>
      </c>
      <c r="AZ30" t="s">
        <v>74</v>
      </c>
      <c r="BA30" t="s">
        <v>74</v>
      </c>
      <c r="BB30">
        <v>201</v>
      </c>
      <c r="BC30">
        <v>216</v>
      </c>
      <c r="BD30" t="s">
        <v>74</v>
      </c>
      <c r="BE30" t="s">
        <v>777</v>
      </c>
      <c r="BF30" t="str">
        <f>HYPERLINK("http://dx.doi.org/10.3354/meps13651","http://dx.doi.org/10.3354/meps13651")</f>
        <v>http://dx.doi.org/10.3354/meps13651</v>
      </c>
      <c r="BG30" t="s">
        <v>74</v>
      </c>
      <c r="BH30" t="s">
        <v>74</v>
      </c>
      <c r="BI30">
        <v>16</v>
      </c>
      <c r="BJ30" t="s">
        <v>758</v>
      </c>
      <c r="BK30" t="s">
        <v>101</v>
      </c>
      <c r="BL30" t="s">
        <v>759</v>
      </c>
      <c r="BM30" t="s">
        <v>760</v>
      </c>
      <c r="BN30" t="s">
        <v>74</v>
      </c>
      <c r="BO30" t="s">
        <v>74</v>
      </c>
      <c r="BP30" t="s">
        <v>74</v>
      </c>
      <c r="BQ30" t="s">
        <v>74</v>
      </c>
      <c r="BR30" t="s">
        <v>104</v>
      </c>
      <c r="BS30" t="s">
        <v>778</v>
      </c>
      <c r="BT30" t="str">
        <f>HYPERLINK("https%3A%2F%2Fwww.webofscience.com%2Fwos%2Fwoscc%2Ffull-record%2FWOS:000649299900015","View Full Record in Web of Science")</f>
        <v>View Full Record in Web of Science</v>
      </c>
    </row>
    <row r="31" spans="1:72" x14ac:dyDescent="0.15">
      <c r="A31" t="s">
        <v>72</v>
      </c>
      <c r="B31" t="s">
        <v>779</v>
      </c>
      <c r="C31" t="s">
        <v>74</v>
      </c>
      <c r="D31" t="s">
        <v>74</v>
      </c>
      <c r="E31" t="s">
        <v>74</v>
      </c>
      <c r="F31" t="s">
        <v>780</v>
      </c>
      <c r="G31" t="s">
        <v>74</v>
      </c>
      <c r="H31" t="s">
        <v>74</v>
      </c>
      <c r="I31" t="s">
        <v>781</v>
      </c>
      <c r="J31" t="s">
        <v>782</v>
      </c>
      <c r="K31" t="s">
        <v>74</v>
      </c>
      <c r="L31" t="s">
        <v>74</v>
      </c>
      <c r="M31" t="s">
        <v>78</v>
      </c>
      <c r="N31" t="s">
        <v>79</v>
      </c>
      <c r="O31" t="s">
        <v>74</v>
      </c>
      <c r="P31" t="s">
        <v>74</v>
      </c>
      <c r="Q31" t="s">
        <v>74</v>
      </c>
      <c r="R31" t="s">
        <v>74</v>
      </c>
      <c r="S31" t="s">
        <v>74</v>
      </c>
      <c r="T31" t="s">
        <v>783</v>
      </c>
      <c r="U31" t="s">
        <v>784</v>
      </c>
      <c r="V31" t="s">
        <v>785</v>
      </c>
      <c r="W31" t="s">
        <v>786</v>
      </c>
      <c r="X31" t="s">
        <v>787</v>
      </c>
      <c r="Y31" t="s">
        <v>788</v>
      </c>
      <c r="Z31" t="s">
        <v>789</v>
      </c>
      <c r="AA31" t="s">
        <v>790</v>
      </c>
      <c r="AB31" t="s">
        <v>791</v>
      </c>
      <c r="AC31" t="s">
        <v>792</v>
      </c>
      <c r="AD31" t="s">
        <v>793</v>
      </c>
      <c r="AE31" t="s">
        <v>794</v>
      </c>
      <c r="AF31" t="s">
        <v>74</v>
      </c>
      <c r="AG31">
        <v>260</v>
      </c>
      <c r="AH31">
        <v>36</v>
      </c>
      <c r="AI31">
        <v>36</v>
      </c>
      <c r="AJ31">
        <v>7</v>
      </c>
      <c r="AK31">
        <v>87</v>
      </c>
      <c r="AL31" t="s">
        <v>795</v>
      </c>
      <c r="AM31" t="s">
        <v>796</v>
      </c>
      <c r="AN31" t="s">
        <v>797</v>
      </c>
      <c r="AO31" t="s">
        <v>798</v>
      </c>
      <c r="AP31" t="s">
        <v>799</v>
      </c>
      <c r="AQ31" t="s">
        <v>74</v>
      </c>
      <c r="AR31" t="s">
        <v>800</v>
      </c>
      <c r="AS31" t="s">
        <v>801</v>
      </c>
      <c r="AT31" t="s">
        <v>802</v>
      </c>
      <c r="AU31">
        <v>2021</v>
      </c>
      <c r="AV31">
        <v>1504</v>
      </c>
      <c r="AW31">
        <v>1</v>
      </c>
      <c r="AX31" t="s">
        <v>74</v>
      </c>
      <c r="AY31" t="s">
        <v>74</v>
      </c>
      <c r="AZ31" t="s">
        <v>803</v>
      </c>
      <c r="BA31" t="s">
        <v>74</v>
      </c>
      <c r="BB31">
        <v>116</v>
      </c>
      <c r="BC31">
        <v>153</v>
      </c>
      <c r="BD31" t="s">
        <v>74</v>
      </c>
      <c r="BE31" t="s">
        <v>804</v>
      </c>
      <c r="BF31" t="str">
        <f>HYPERLINK("http://dx.doi.org/10.1111/nyas.14592","http://dx.doi.org/10.1111/nyas.14592")</f>
        <v>http://dx.doi.org/10.1111/nyas.14592</v>
      </c>
      <c r="BG31" t="s">
        <v>74</v>
      </c>
      <c r="BH31" t="s">
        <v>514</v>
      </c>
      <c r="BI31">
        <v>38</v>
      </c>
      <c r="BJ31" t="s">
        <v>555</v>
      </c>
      <c r="BK31" t="s">
        <v>101</v>
      </c>
      <c r="BL31" t="s">
        <v>556</v>
      </c>
      <c r="BM31" t="s">
        <v>805</v>
      </c>
      <c r="BN31">
        <v>33914367</v>
      </c>
      <c r="BO31" t="s">
        <v>74</v>
      </c>
      <c r="BP31" t="s">
        <v>74</v>
      </c>
      <c r="BQ31" t="s">
        <v>74</v>
      </c>
      <c r="BR31" t="s">
        <v>104</v>
      </c>
      <c r="BS31" t="s">
        <v>806</v>
      </c>
      <c r="BT31" t="str">
        <f>HYPERLINK("https%3A%2F%2Fwww.webofscience.com%2Fwos%2Fwoscc%2Ffull-record%2FWOS:000645223800001","View Full Record in Web of Science")</f>
        <v>View Full Record in Web of Science</v>
      </c>
    </row>
    <row r="32" spans="1:72" x14ac:dyDescent="0.15">
      <c r="A32" t="s">
        <v>72</v>
      </c>
      <c r="B32" t="s">
        <v>807</v>
      </c>
      <c r="C32" t="s">
        <v>74</v>
      </c>
      <c r="D32" t="s">
        <v>74</v>
      </c>
      <c r="E32" t="s">
        <v>74</v>
      </c>
      <c r="F32" t="s">
        <v>808</v>
      </c>
      <c r="G32" t="s">
        <v>74</v>
      </c>
      <c r="H32" t="s">
        <v>74</v>
      </c>
      <c r="I32" t="s">
        <v>809</v>
      </c>
      <c r="J32" t="s">
        <v>590</v>
      </c>
      <c r="K32" t="s">
        <v>74</v>
      </c>
      <c r="L32" t="s">
        <v>74</v>
      </c>
      <c r="M32" t="s">
        <v>78</v>
      </c>
      <c r="N32" t="s">
        <v>79</v>
      </c>
      <c r="O32" t="s">
        <v>74</v>
      </c>
      <c r="P32" t="s">
        <v>74</v>
      </c>
      <c r="Q32" t="s">
        <v>74</v>
      </c>
      <c r="R32" t="s">
        <v>74</v>
      </c>
      <c r="S32" t="s">
        <v>74</v>
      </c>
      <c r="T32" t="s">
        <v>810</v>
      </c>
      <c r="U32" t="s">
        <v>811</v>
      </c>
      <c r="V32" t="s">
        <v>812</v>
      </c>
      <c r="W32" t="s">
        <v>813</v>
      </c>
      <c r="X32" t="s">
        <v>814</v>
      </c>
      <c r="Y32" t="s">
        <v>815</v>
      </c>
      <c r="Z32" t="s">
        <v>816</v>
      </c>
      <c r="AA32" t="s">
        <v>817</v>
      </c>
      <c r="AB32" t="s">
        <v>818</v>
      </c>
      <c r="AC32" t="s">
        <v>819</v>
      </c>
      <c r="AD32" t="s">
        <v>820</v>
      </c>
      <c r="AE32" t="s">
        <v>821</v>
      </c>
      <c r="AF32" t="s">
        <v>74</v>
      </c>
      <c r="AG32">
        <v>44</v>
      </c>
      <c r="AH32">
        <v>7</v>
      </c>
      <c r="AI32">
        <v>7</v>
      </c>
      <c r="AJ32">
        <v>1</v>
      </c>
      <c r="AK32">
        <v>7</v>
      </c>
      <c r="AL32" t="s">
        <v>603</v>
      </c>
      <c r="AM32" t="s">
        <v>604</v>
      </c>
      <c r="AN32" t="s">
        <v>605</v>
      </c>
      <c r="AO32" t="s">
        <v>74</v>
      </c>
      <c r="AP32" t="s">
        <v>606</v>
      </c>
      <c r="AQ32" t="s">
        <v>74</v>
      </c>
      <c r="AR32" t="s">
        <v>607</v>
      </c>
      <c r="AS32" t="s">
        <v>608</v>
      </c>
      <c r="AT32" t="s">
        <v>732</v>
      </c>
      <c r="AU32">
        <v>2021</v>
      </c>
      <c r="AV32">
        <v>9</v>
      </c>
      <c r="AW32" t="s">
        <v>74</v>
      </c>
      <c r="AX32" t="s">
        <v>74</v>
      </c>
      <c r="AY32" t="s">
        <v>74</v>
      </c>
      <c r="AZ32" t="s">
        <v>74</v>
      </c>
      <c r="BA32" t="s">
        <v>74</v>
      </c>
      <c r="BB32" t="s">
        <v>74</v>
      </c>
      <c r="BC32" t="s">
        <v>74</v>
      </c>
      <c r="BD32">
        <v>671985</v>
      </c>
      <c r="BE32" t="s">
        <v>822</v>
      </c>
      <c r="BF32" t="str">
        <f>HYPERLINK("http://dx.doi.org/10.3389/feart.2021.671985","http://dx.doi.org/10.3389/feart.2021.671985")</f>
        <v>http://dx.doi.org/10.3389/feart.2021.671985</v>
      </c>
      <c r="BG32" t="s">
        <v>74</v>
      </c>
      <c r="BH32" t="s">
        <v>74</v>
      </c>
      <c r="BI32">
        <v>9</v>
      </c>
      <c r="BJ32" t="s">
        <v>100</v>
      </c>
      <c r="BK32" t="s">
        <v>101</v>
      </c>
      <c r="BL32" t="s">
        <v>102</v>
      </c>
      <c r="BM32" t="s">
        <v>823</v>
      </c>
      <c r="BN32" t="s">
        <v>74</v>
      </c>
      <c r="BO32" t="s">
        <v>317</v>
      </c>
      <c r="BP32" t="s">
        <v>74</v>
      </c>
      <c r="BQ32" t="s">
        <v>74</v>
      </c>
      <c r="BR32" t="s">
        <v>104</v>
      </c>
      <c r="BS32" t="s">
        <v>824</v>
      </c>
      <c r="BT32" t="str">
        <f>HYPERLINK("https%3A%2F%2Fwww.webofscience.com%2Fwos%2Fwoscc%2Ffull-record%2FWOS:000649769700001","View Full Record in Web of Science")</f>
        <v>View Full Record in Web of Science</v>
      </c>
    </row>
    <row r="33" spans="1:72" x14ac:dyDescent="0.15">
      <c r="A33" t="s">
        <v>72</v>
      </c>
      <c r="B33" t="s">
        <v>825</v>
      </c>
      <c r="C33" t="s">
        <v>74</v>
      </c>
      <c r="D33" t="s">
        <v>74</v>
      </c>
      <c r="E33" t="s">
        <v>74</v>
      </c>
      <c r="F33" t="s">
        <v>826</v>
      </c>
      <c r="G33" t="s">
        <v>74</v>
      </c>
      <c r="H33" t="s">
        <v>74</v>
      </c>
      <c r="I33" t="s">
        <v>827</v>
      </c>
      <c r="J33" t="s">
        <v>828</v>
      </c>
      <c r="K33" t="s">
        <v>74</v>
      </c>
      <c r="L33" t="s">
        <v>74</v>
      </c>
      <c r="M33" t="s">
        <v>78</v>
      </c>
      <c r="N33" t="s">
        <v>79</v>
      </c>
      <c r="O33" t="s">
        <v>74</v>
      </c>
      <c r="P33" t="s">
        <v>74</v>
      </c>
      <c r="Q33" t="s">
        <v>74</v>
      </c>
      <c r="R33" t="s">
        <v>74</v>
      </c>
      <c r="S33" t="s">
        <v>74</v>
      </c>
      <c r="T33" t="s">
        <v>829</v>
      </c>
      <c r="U33" t="s">
        <v>830</v>
      </c>
      <c r="V33" t="s">
        <v>831</v>
      </c>
      <c r="W33" t="s">
        <v>832</v>
      </c>
      <c r="X33" t="s">
        <v>833</v>
      </c>
      <c r="Y33" t="s">
        <v>834</v>
      </c>
      <c r="Z33" t="s">
        <v>835</v>
      </c>
      <c r="AA33" t="s">
        <v>836</v>
      </c>
      <c r="AB33" t="s">
        <v>837</v>
      </c>
      <c r="AC33" t="s">
        <v>838</v>
      </c>
      <c r="AD33" t="s">
        <v>839</v>
      </c>
      <c r="AE33" t="s">
        <v>840</v>
      </c>
      <c r="AF33" t="s">
        <v>74</v>
      </c>
      <c r="AG33">
        <v>71</v>
      </c>
      <c r="AH33">
        <v>8</v>
      </c>
      <c r="AI33">
        <v>8</v>
      </c>
      <c r="AJ33">
        <v>4</v>
      </c>
      <c r="AK33">
        <v>12</v>
      </c>
      <c r="AL33" t="s">
        <v>795</v>
      </c>
      <c r="AM33" t="s">
        <v>796</v>
      </c>
      <c r="AN33" t="s">
        <v>797</v>
      </c>
      <c r="AO33" t="s">
        <v>841</v>
      </c>
      <c r="AP33" t="s">
        <v>842</v>
      </c>
      <c r="AQ33" t="s">
        <v>74</v>
      </c>
      <c r="AR33" t="s">
        <v>843</v>
      </c>
      <c r="AS33" t="s">
        <v>844</v>
      </c>
      <c r="AT33" t="s">
        <v>845</v>
      </c>
      <c r="AU33">
        <v>2021</v>
      </c>
      <c r="AV33">
        <v>41</v>
      </c>
      <c r="AW33">
        <v>12</v>
      </c>
      <c r="AX33" t="s">
        <v>74</v>
      </c>
      <c r="AY33" t="s">
        <v>74</v>
      </c>
      <c r="AZ33" t="s">
        <v>74</v>
      </c>
      <c r="BA33" t="s">
        <v>74</v>
      </c>
      <c r="BB33">
        <v>5676</v>
      </c>
      <c r="BC33">
        <v>5697</v>
      </c>
      <c r="BD33" t="s">
        <v>74</v>
      </c>
      <c r="BE33" t="s">
        <v>846</v>
      </c>
      <c r="BF33" t="str">
        <f>HYPERLINK("http://dx.doi.org/10.1002/joc.7147","http://dx.doi.org/10.1002/joc.7147")</f>
        <v>http://dx.doi.org/10.1002/joc.7147</v>
      </c>
      <c r="BG33" t="s">
        <v>74</v>
      </c>
      <c r="BH33" t="s">
        <v>514</v>
      </c>
      <c r="BI33">
        <v>22</v>
      </c>
      <c r="BJ33" t="s">
        <v>129</v>
      </c>
      <c r="BK33" t="s">
        <v>101</v>
      </c>
      <c r="BL33" t="s">
        <v>129</v>
      </c>
      <c r="BM33" t="s">
        <v>847</v>
      </c>
      <c r="BN33" t="s">
        <v>74</v>
      </c>
      <c r="BO33" t="s">
        <v>496</v>
      </c>
      <c r="BP33" t="s">
        <v>74</v>
      </c>
      <c r="BQ33" t="s">
        <v>74</v>
      </c>
      <c r="BR33" t="s">
        <v>104</v>
      </c>
      <c r="BS33" t="s">
        <v>848</v>
      </c>
      <c r="BT33" t="str">
        <f>HYPERLINK("https%3A%2F%2Fwww.webofscience.com%2Fwos%2Fwoscc%2Ffull-record%2FWOS:000645458600001","View Full Record in Web of Science")</f>
        <v>View Full Record in Web of Science</v>
      </c>
    </row>
    <row r="34" spans="1:72" x14ac:dyDescent="0.15">
      <c r="A34" t="s">
        <v>72</v>
      </c>
      <c r="B34" t="s">
        <v>849</v>
      </c>
      <c r="C34" t="s">
        <v>74</v>
      </c>
      <c r="D34" t="s">
        <v>74</v>
      </c>
      <c r="E34" t="s">
        <v>74</v>
      </c>
      <c r="F34" t="s">
        <v>850</v>
      </c>
      <c r="G34" t="s">
        <v>74</v>
      </c>
      <c r="H34" t="s">
        <v>74</v>
      </c>
      <c r="I34" t="s">
        <v>851</v>
      </c>
      <c r="J34" t="s">
        <v>852</v>
      </c>
      <c r="K34" t="s">
        <v>74</v>
      </c>
      <c r="L34" t="s">
        <v>74</v>
      </c>
      <c r="M34" t="s">
        <v>78</v>
      </c>
      <c r="N34" t="s">
        <v>79</v>
      </c>
      <c r="O34" t="s">
        <v>74</v>
      </c>
      <c r="P34" t="s">
        <v>74</v>
      </c>
      <c r="Q34" t="s">
        <v>74</v>
      </c>
      <c r="R34" t="s">
        <v>74</v>
      </c>
      <c r="S34" t="s">
        <v>74</v>
      </c>
      <c r="T34" t="s">
        <v>74</v>
      </c>
      <c r="U34" t="s">
        <v>853</v>
      </c>
      <c r="V34" t="s">
        <v>854</v>
      </c>
      <c r="W34" t="s">
        <v>855</v>
      </c>
      <c r="X34" t="s">
        <v>856</v>
      </c>
      <c r="Y34" t="s">
        <v>857</v>
      </c>
      <c r="Z34" t="s">
        <v>858</v>
      </c>
      <c r="AA34" t="s">
        <v>859</v>
      </c>
      <c r="AB34" t="s">
        <v>860</v>
      </c>
      <c r="AC34" t="s">
        <v>74</v>
      </c>
      <c r="AD34" t="s">
        <v>74</v>
      </c>
      <c r="AE34" t="s">
        <v>74</v>
      </c>
      <c r="AF34" t="s">
        <v>74</v>
      </c>
      <c r="AG34">
        <v>100</v>
      </c>
      <c r="AH34">
        <v>548</v>
      </c>
      <c r="AI34">
        <v>585</v>
      </c>
      <c r="AJ34">
        <v>114</v>
      </c>
      <c r="AK34">
        <v>485</v>
      </c>
      <c r="AL34" t="s">
        <v>861</v>
      </c>
      <c r="AM34" t="s">
        <v>862</v>
      </c>
      <c r="AN34" t="s">
        <v>863</v>
      </c>
      <c r="AO34" t="s">
        <v>864</v>
      </c>
      <c r="AP34" t="s">
        <v>865</v>
      </c>
      <c r="AQ34" t="s">
        <v>74</v>
      </c>
      <c r="AR34" t="s">
        <v>852</v>
      </c>
      <c r="AS34" t="s">
        <v>866</v>
      </c>
      <c r="AT34" t="s">
        <v>732</v>
      </c>
      <c r="AU34">
        <v>2021</v>
      </c>
      <c r="AV34">
        <v>592</v>
      </c>
      <c r="AW34">
        <v>7856</v>
      </c>
      <c r="AX34" t="s">
        <v>74</v>
      </c>
      <c r="AY34" t="s">
        <v>74</v>
      </c>
      <c r="AZ34" t="s">
        <v>74</v>
      </c>
      <c r="BA34" t="s">
        <v>74</v>
      </c>
      <c r="BB34">
        <v>726</v>
      </c>
      <c r="BC34" t="s">
        <v>867</v>
      </c>
      <c r="BD34" t="s">
        <v>74</v>
      </c>
      <c r="BE34" t="s">
        <v>868</v>
      </c>
      <c r="BF34" t="str">
        <f>HYPERLINK("http://dx.doi.org/10.1038/s41586-021-03436-z","http://dx.doi.org/10.1038/s41586-021-03436-z")</f>
        <v>http://dx.doi.org/10.1038/s41586-021-03436-z</v>
      </c>
      <c r="BG34" t="s">
        <v>74</v>
      </c>
      <c r="BH34" t="s">
        <v>74</v>
      </c>
      <c r="BI34">
        <v>22</v>
      </c>
      <c r="BJ34" t="s">
        <v>555</v>
      </c>
      <c r="BK34" t="s">
        <v>101</v>
      </c>
      <c r="BL34" t="s">
        <v>556</v>
      </c>
      <c r="BM34" t="s">
        <v>869</v>
      </c>
      <c r="BN34">
        <v>33911269</v>
      </c>
      <c r="BO34" t="s">
        <v>870</v>
      </c>
      <c r="BP34" t="s">
        <v>871</v>
      </c>
      <c r="BQ34" t="s">
        <v>872</v>
      </c>
      <c r="BR34" t="s">
        <v>104</v>
      </c>
      <c r="BS34" t="s">
        <v>873</v>
      </c>
      <c r="BT34" t="str">
        <f>HYPERLINK("https%3A%2F%2Fwww.webofscience.com%2Fwos%2Fwoscc%2Ffull-record%2FWOS:000645368900014","View Full Record in Web of Science")</f>
        <v>View Full Record in Web of Science</v>
      </c>
    </row>
    <row r="35" spans="1:72" x14ac:dyDescent="0.15">
      <c r="A35" t="s">
        <v>72</v>
      </c>
      <c r="B35" t="s">
        <v>874</v>
      </c>
      <c r="C35" t="s">
        <v>74</v>
      </c>
      <c r="D35" t="s">
        <v>74</v>
      </c>
      <c r="E35" t="s">
        <v>74</v>
      </c>
      <c r="F35" t="s">
        <v>875</v>
      </c>
      <c r="G35" t="s">
        <v>74</v>
      </c>
      <c r="H35" t="s">
        <v>74</v>
      </c>
      <c r="I35" t="s">
        <v>876</v>
      </c>
      <c r="J35" t="s">
        <v>877</v>
      </c>
      <c r="K35" t="s">
        <v>74</v>
      </c>
      <c r="L35" t="s">
        <v>74</v>
      </c>
      <c r="M35" t="s">
        <v>78</v>
      </c>
      <c r="N35" t="s">
        <v>79</v>
      </c>
      <c r="O35" t="s">
        <v>74</v>
      </c>
      <c r="P35" t="s">
        <v>74</v>
      </c>
      <c r="Q35" t="s">
        <v>74</v>
      </c>
      <c r="R35" t="s">
        <v>74</v>
      </c>
      <c r="S35" t="s">
        <v>74</v>
      </c>
      <c r="T35" t="s">
        <v>878</v>
      </c>
      <c r="U35" t="s">
        <v>879</v>
      </c>
      <c r="V35" t="s">
        <v>880</v>
      </c>
      <c r="W35" t="s">
        <v>881</v>
      </c>
      <c r="X35" t="s">
        <v>882</v>
      </c>
      <c r="Y35" t="s">
        <v>883</v>
      </c>
      <c r="Z35" t="s">
        <v>884</v>
      </c>
      <c r="AA35" t="s">
        <v>885</v>
      </c>
      <c r="AB35" t="s">
        <v>886</v>
      </c>
      <c r="AC35" t="s">
        <v>887</v>
      </c>
      <c r="AD35" t="s">
        <v>888</v>
      </c>
      <c r="AE35" t="s">
        <v>889</v>
      </c>
      <c r="AF35" t="s">
        <v>74</v>
      </c>
      <c r="AG35">
        <v>60</v>
      </c>
      <c r="AH35">
        <v>7</v>
      </c>
      <c r="AI35">
        <v>7</v>
      </c>
      <c r="AJ35">
        <v>0</v>
      </c>
      <c r="AK35">
        <v>21</v>
      </c>
      <c r="AL35" t="s">
        <v>890</v>
      </c>
      <c r="AM35" t="s">
        <v>891</v>
      </c>
      <c r="AN35" t="s">
        <v>892</v>
      </c>
      <c r="AO35" t="s">
        <v>893</v>
      </c>
      <c r="AP35" t="s">
        <v>894</v>
      </c>
      <c r="AQ35" t="s">
        <v>74</v>
      </c>
      <c r="AR35" t="s">
        <v>895</v>
      </c>
      <c r="AS35" t="s">
        <v>896</v>
      </c>
      <c r="AT35" t="s">
        <v>583</v>
      </c>
      <c r="AU35">
        <v>2021</v>
      </c>
      <c r="AV35">
        <v>284</v>
      </c>
      <c r="AW35" t="s">
        <v>74</v>
      </c>
      <c r="AX35" t="s">
        <v>74</v>
      </c>
      <c r="AY35" t="s">
        <v>74</v>
      </c>
      <c r="AZ35" t="s">
        <v>74</v>
      </c>
      <c r="BA35" t="s">
        <v>74</v>
      </c>
      <c r="BB35" t="s">
        <v>74</v>
      </c>
      <c r="BC35" t="s">
        <v>74</v>
      </c>
      <c r="BD35">
        <v>117209</v>
      </c>
      <c r="BE35" t="s">
        <v>897</v>
      </c>
      <c r="BF35" t="str">
        <f>HYPERLINK("http://dx.doi.org/10.1016/j.envpol.2021.117209","http://dx.doi.org/10.1016/j.envpol.2021.117209")</f>
        <v>http://dx.doi.org/10.1016/j.envpol.2021.117209</v>
      </c>
      <c r="BG35" t="s">
        <v>74</v>
      </c>
      <c r="BH35" t="s">
        <v>514</v>
      </c>
      <c r="BI35">
        <v>14</v>
      </c>
      <c r="BJ35" t="s">
        <v>224</v>
      </c>
      <c r="BK35" t="s">
        <v>101</v>
      </c>
      <c r="BL35" t="s">
        <v>225</v>
      </c>
      <c r="BM35" t="s">
        <v>898</v>
      </c>
      <c r="BN35">
        <v>33932832</v>
      </c>
      <c r="BO35" t="s">
        <v>899</v>
      </c>
      <c r="BP35" t="s">
        <v>74</v>
      </c>
      <c r="BQ35" t="s">
        <v>74</v>
      </c>
      <c r="BR35" t="s">
        <v>104</v>
      </c>
      <c r="BS35" t="s">
        <v>900</v>
      </c>
      <c r="BT35" t="str">
        <f>HYPERLINK("https%3A%2F%2Fwww.webofscience.com%2Fwos%2Fwoscc%2Ffull-record%2FWOS:000672534900016","View Full Record in Web of Science")</f>
        <v>View Full Record in Web of Science</v>
      </c>
    </row>
    <row r="36" spans="1:72" x14ac:dyDescent="0.15">
      <c r="A36" t="s">
        <v>72</v>
      </c>
      <c r="B36" t="s">
        <v>901</v>
      </c>
      <c r="C36" t="s">
        <v>74</v>
      </c>
      <c r="D36" t="s">
        <v>74</v>
      </c>
      <c r="E36" t="s">
        <v>74</v>
      </c>
      <c r="F36" t="s">
        <v>902</v>
      </c>
      <c r="G36" t="s">
        <v>74</v>
      </c>
      <c r="H36" t="s">
        <v>74</v>
      </c>
      <c r="I36" t="s">
        <v>903</v>
      </c>
      <c r="J36" t="s">
        <v>904</v>
      </c>
      <c r="K36" t="s">
        <v>74</v>
      </c>
      <c r="L36" t="s">
        <v>74</v>
      </c>
      <c r="M36" t="s">
        <v>78</v>
      </c>
      <c r="N36" t="s">
        <v>79</v>
      </c>
      <c r="O36" t="s">
        <v>74</v>
      </c>
      <c r="P36" t="s">
        <v>74</v>
      </c>
      <c r="Q36" t="s">
        <v>74</v>
      </c>
      <c r="R36" t="s">
        <v>74</v>
      </c>
      <c r="S36" t="s">
        <v>74</v>
      </c>
      <c r="T36" t="s">
        <v>905</v>
      </c>
      <c r="U36" t="s">
        <v>906</v>
      </c>
      <c r="V36" t="s">
        <v>907</v>
      </c>
      <c r="W36" t="s">
        <v>908</v>
      </c>
      <c r="X36" t="s">
        <v>909</v>
      </c>
      <c r="Y36" t="s">
        <v>910</v>
      </c>
      <c r="Z36" t="s">
        <v>911</v>
      </c>
      <c r="AA36" t="s">
        <v>912</v>
      </c>
      <c r="AB36" t="s">
        <v>913</v>
      </c>
      <c r="AC36" t="s">
        <v>914</v>
      </c>
      <c r="AD36" t="s">
        <v>915</v>
      </c>
      <c r="AE36" t="s">
        <v>916</v>
      </c>
      <c r="AF36" t="s">
        <v>74</v>
      </c>
      <c r="AG36">
        <v>40</v>
      </c>
      <c r="AH36">
        <v>27</v>
      </c>
      <c r="AI36">
        <v>32</v>
      </c>
      <c r="AJ36">
        <v>14</v>
      </c>
      <c r="AK36">
        <v>46</v>
      </c>
      <c r="AL36" t="s">
        <v>917</v>
      </c>
      <c r="AM36" t="s">
        <v>390</v>
      </c>
      <c r="AN36" t="s">
        <v>918</v>
      </c>
      <c r="AO36" t="s">
        <v>919</v>
      </c>
      <c r="AP36" t="s">
        <v>920</v>
      </c>
      <c r="AQ36" t="s">
        <v>74</v>
      </c>
      <c r="AR36" t="s">
        <v>921</v>
      </c>
      <c r="AS36" t="s">
        <v>922</v>
      </c>
      <c r="AT36" t="s">
        <v>923</v>
      </c>
      <c r="AU36">
        <v>2021</v>
      </c>
      <c r="AV36">
        <v>48</v>
      </c>
      <c r="AW36">
        <v>8</v>
      </c>
      <c r="AX36" t="s">
        <v>74</v>
      </c>
      <c r="AY36" t="s">
        <v>74</v>
      </c>
      <c r="AZ36" t="s">
        <v>74</v>
      </c>
      <c r="BA36" t="s">
        <v>74</v>
      </c>
      <c r="BB36" t="s">
        <v>74</v>
      </c>
      <c r="BC36" t="s">
        <v>74</v>
      </c>
      <c r="BD36" t="s">
        <v>924</v>
      </c>
      <c r="BE36" t="s">
        <v>925</v>
      </c>
      <c r="BF36" t="str">
        <f>HYPERLINK("http://dx.doi.org/10.1029/2020GL090550","http://dx.doi.org/10.1029/2020GL090550")</f>
        <v>http://dx.doi.org/10.1029/2020GL090550</v>
      </c>
      <c r="BG36" t="s">
        <v>74</v>
      </c>
      <c r="BH36" t="s">
        <v>74</v>
      </c>
      <c r="BI36">
        <v>11</v>
      </c>
      <c r="BJ36" t="s">
        <v>100</v>
      </c>
      <c r="BK36" t="s">
        <v>101</v>
      </c>
      <c r="BL36" t="s">
        <v>102</v>
      </c>
      <c r="BM36" t="s">
        <v>926</v>
      </c>
      <c r="BN36" t="s">
        <v>74</v>
      </c>
      <c r="BO36" t="s">
        <v>927</v>
      </c>
      <c r="BP36" t="s">
        <v>74</v>
      </c>
      <c r="BQ36" t="s">
        <v>74</v>
      </c>
      <c r="BR36" t="s">
        <v>104</v>
      </c>
      <c r="BS36" t="s">
        <v>928</v>
      </c>
      <c r="BT36" t="str">
        <f>HYPERLINK("https%3A%2F%2Fwww.webofscience.com%2Fwos%2Fwoscc%2Ffull-record%2FWOS:000672324900002","View Full Record in Web of Science")</f>
        <v>View Full Record in Web of Science</v>
      </c>
    </row>
    <row r="37" spans="1:72" x14ac:dyDescent="0.15">
      <c r="A37" t="s">
        <v>72</v>
      </c>
      <c r="B37" t="s">
        <v>929</v>
      </c>
      <c r="C37" t="s">
        <v>74</v>
      </c>
      <c r="D37" t="s">
        <v>74</v>
      </c>
      <c r="E37" t="s">
        <v>74</v>
      </c>
      <c r="F37" t="s">
        <v>930</v>
      </c>
      <c r="G37" t="s">
        <v>74</v>
      </c>
      <c r="H37" t="s">
        <v>74</v>
      </c>
      <c r="I37" t="s">
        <v>931</v>
      </c>
      <c r="J37" t="s">
        <v>904</v>
      </c>
      <c r="K37" t="s">
        <v>74</v>
      </c>
      <c r="L37" t="s">
        <v>74</v>
      </c>
      <c r="M37" t="s">
        <v>78</v>
      </c>
      <c r="N37" t="s">
        <v>79</v>
      </c>
      <c r="O37" t="s">
        <v>74</v>
      </c>
      <c r="P37" t="s">
        <v>74</v>
      </c>
      <c r="Q37" t="s">
        <v>74</v>
      </c>
      <c r="R37" t="s">
        <v>74</v>
      </c>
      <c r="S37" t="s">
        <v>74</v>
      </c>
      <c r="T37" t="s">
        <v>74</v>
      </c>
      <c r="U37" t="s">
        <v>932</v>
      </c>
      <c r="V37" t="s">
        <v>933</v>
      </c>
      <c r="W37" t="s">
        <v>934</v>
      </c>
      <c r="X37" t="s">
        <v>935</v>
      </c>
      <c r="Y37" t="s">
        <v>936</v>
      </c>
      <c r="Z37" t="s">
        <v>937</v>
      </c>
      <c r="AA37" t="s">
        <v>938</v>
      </c>
      <c r="AB37" t="s">
        <v>939</v>
      </c>
      <c r="AC37" t="s">
        <v>940</v>
      </c>
      <c r="AD37" t="s">
        <v>941</v>
      </c>
      <c r="AE37" t="s">
        <v>942</v>
      </c>
      <c r="AF37" t="s">
        <v>74</v>
      </c>
      <c r="AG37">
        <v>83</v>
      </c>
      <c r="AH37">
        <v>7</v>
      </c>
      <c r="AI37">
        <v>7</v>
      </c>
      <c r="AJ37">
        <v>2</v>
      </c>
      <c r="AK37">
        <v>8</v>
      </c>
      <c r="AL37" t="s">
        <v>917</v>
      </c>
      <c r="AM37" t="s">
        <v>390</v>
      </c>
      <c r="AN37" t="s">
        <v>918</v>
      </c>
      <c r="AO37" t="s">
        <v>919</v>
      </c>
      <c r="AP37" t="s">
        <v>920</v>
      </c>
      <c r="AQ37" t="s">
        <v>74</v>
      </c>
      <c r="AR37" t="s">
        <v>921</v>
      </c>
      <c r="AS37" t="s">
        <v>922</v>
      </c>
      <c r="AT37" t="s">
        <v>923</v>
      </c>
      <c r="AU37">
        <v>2021</v>
      </c>
      <c r="AV37">
        <v>48</v>
      </c>
      <c r="AW37">
        <v>8</v>
      </c>
      <c r="AX37" t="s">
        <v>74</v>
      </c>
      <c r="AY37" t="s">
        <v>74</v>
      </c>
      <c r="AZ37" t="s">
        <v>74</v>
      </c>
      <c r="BA37" t="s">
        <v>74</v>
      </c>
      <c r="BB37" t="s">
        <v>74</v>
      </c>
      <c r="BC37" t="s">
        <v>74</v>
      </c>
      <c r="BD37" t="s">
        <v>943</v>
      </c>
      <c r="BE37" t="s">
        <v>944</v>
      </c>
      <c r="BF37" t="str">
        <f>HYPERLINK("http://dx.doi.org/10.1029/2020GL090994","http://dx.doi.org/10.1029/2020GL090994")</f>
        <v>http://dx.doi.org/10.1029/2020GL090994</v>
      </c>
      <c r="BG37" t="s">
        <v>74</v>
      </c>
      <c r="BH37" t="s">
        <v>74</v>
      </c>
      <c r="BI37">
        <v>11</v>
      </c>
      <c r="BJ37" t="s">
        <v>100</v>
      </c>
      <c r="BK37" t="s">
        <v>101</v>
      </c>
      <c r="BL37" t="s">
        <v>102</v>
      </c>
      <c r="BM37" t="s">
        <v>926</v>
      </c>
      <c r="BN37" t="s">
        <v>74</v>
      </c>
      <c r="BO37" t="s">
        <v>398</v>
      </c>
      <c r="BP37" t="s">
        <v>74</v>
      </c>
      <c r="BQ37" t="s">
        <v>74</v>
      </c>
      <c r="BR37" t="s">
        <v>104</v>
      </c>
      <c r="BS37" t="s">
        <v>945</v>
      </c>
      <c r="BT37" t="str">
        <f>HYPERLINK("https%3A%2F%2Fwww.webofscience.com%2Fwos%2Fwoscc%2Ffull-record%2FWOS:000672324900075","View Full Record in Web of Science")</f>
        <v>View Full Record in Web of Science</v>
      </c>
    </row>
    <row r="38" spans="1:72" x14ac:dyDescent="0.15">
      <c r="A38" t="s">
        <v>72</v>
      </c>
      <c r="B38" t="s">
        <v>946</v>
      </c>
      <c r="C38" t="s">
        <v>74</v>
      </c>
      <c r="D38" t="s">
        <v>74</v>
      </c>
      <c r="E38" t="s">
        <v>74</v>
      </c>
      <c r="F38" t="s">
        <v>947</v>
      </c>
      <c r="G38" t="s">
        <v>74</v>
      </c>
      <c r="H38" t="s">
        <v>74</v>
      </c>
      <c r="I38" t="s">
        <v>948</v>
      </c>
      <c r="J38" t="s">
        <v>904</v>
      </c>
      <c r="K38" t="s">
        <v>74</v>
      </c>
      <c r="L38" t="s">
        <v>74</v>
      </c>
      <c r="M38" t="s">
        <v>78</v>
      </c>
      <c r="N38" t="s">
        <v>79</v>
      </c>
      <c r="O38" t="s">
        <v>74</v>
      </c>
      <c r="P38" t="s">
        <v>74</v>
      </c>
      <c r="Q38" t="s">
        <v>74</v>
      </c>
      <c r="R38" t="s">
        <v>74</v>
      </c>
      <c r="S38" t="s">
        <v>74</v>
      </c>
      <c r="T38" t="s">
        <v>74</v>
      </c>
      <c r="U38" t="s">
        <v>949</v>
      </c>
      <c r="V38" t="s">
        <v>950</v>
      </c>
      <c r="W38" t="s">
        <v>951</v>
      </c>
      <c r="X38" t="s">
        <v>952</v>
      </c>
      <c r="Y38" t="s">
        <v>953</v>
      </c>
      <c r="Z38" t="s">
        <v>954</v>
      </c>
      <c r="AA38" t="s">
        <v>955</v>
      </c>
      <c r="AB38" t="s">
        <v>956</v>
      </c>
      <c r="AC38" t="s">
        <v>957</v>
      </c>
      <c r="AD38" t="s">
        <v>958</v>
      </c>
      <c r="AE38" t="s">
        <v>959</v>
      </c>
      <c r="AF38" t="s">
        <v>74</v>
      </c>
      <c r="AG38">
        <v>70</v>
      </c>
      <c r="AH38">
        <v>29</v>
      </c>
      <c r="AI38">
        <v>30</v>
      </c>
      <c r="AJ38">
        <v>3</v>
      </c>
      <c r="AK38">
        <v>10</v>
      </c>
      <c r="AL38" t="s">
        <v>917</v>
      </c>
      <c r="AM38" t="s">
        <v>390</v>
      </c>
      <c r="AN38" t="s">
        <v>918</v>
      </c>
      <c r="AO38" t="s">
        <v>919</v>
      </c>
      <c r="AP38" t="s">
        <v>920</v>
      </c>
      <c r="AQ38" t="s">
        <v>74</v>
      </c>
      <c r="AR38" t="s">
        <v>921</v>
      </c>
      <c r="AS38" t="s">
        <v>922</v>
      </c>
      <c r="AT38" t="s">
        <v>923</v>
      </c>
      <c r="AU38">
        <v>2021</v>
      </c>
      <c r="AV38">
        <v>48</v>
      </c>
      <c r="AW38">
        <v>8</v>
      </c>
      <c r="AX38" t="s">
        <v>74</v>
      </c>
      <c r="AY38" t="s">
        <v>74</v>
      </c>
      <c r="AZ38" t="s">
        <v>74</v>
      </c>
      <c r="BA38" t="s">
        <v>74</v>
      </c>
      <c r="BB38" t="s">
        <v>74</v>
      </c>
      <c r="BC38" t="s">
        <v>74</v>
      </c>
      <c r="BD38" t="s">
        <v>960</v>
      </c>
      <c r="BE38" t="s">
        <v>961</v>
      </c>
      <c r="BF38" t="str">
        <f>HYPERLINK("http://dx.doi.org/10.1029/2020GL092281","http://dx.doi.org/10.1029/2020GL092281")</f>
        <v>http://dx.doi.org/10.1029/2020GL092281</v>
      </c>
      <c r="BG38" t="s">
        <v>74</v>
      </c>
      <c r="BH38" t="s">
        <v>74</v>
      </c>
      <c r="BI38">
        <v>13</v>
      </c>
      <c r="BJ38" t="s">
        <v>100</v>
      </c>
      <c r="BK38" t="s">
        <v>101</v>
      </c>
      <c r="BL38" t="s">
        <v>102</v>
      </c>
      <c r="BM38" t="s">
        <v>926</v>
      </c>
      <c r="BN38" t="s">
        <v>74</v>
      </c>
      <c r="BO38" t="s">
        <v>398</v>
      </c>
      <c r="BP38" t="s">
        <v>74</v>
      </c>
      <c r="BQ38" t="s">
        <v>74</v>
      </c>
      <c r="BR38" t="s">
        <v>104</v>
      </c>
      <c r="BS38" t="s">
        <v>962</v>
      </c>
      <c r="BT38" t="str">
        <f>HYPERLINK("https%3A%2F%2Fwww.webofscience.com%2Fwos%2Fwoscc%2Ffull-record%2FWOS:000672324900026","View Full Record in Web of Science")</f>
        <v>View Full Record in Web of Science</v>
      </c>
    </row>
    <row r="39" spans="1:72" x14ac:dyDescent="0.15">
      <c r="A39" t="s">
        <v>72</v>
      </c>
      <c r="B39" t="s">
        <v>963</v>
      </c>
      <c r="C39" t="s">
        <v>74</v>
      </c>
      <c r="D39" t="s">
        <v>74</v>
      </c>
      <c r="E39" t="s">
        <v>74</v>
      </c>
      <c r="F39" t="s">
        <v>964</v>
      </c>
      <c r="G39" t="s">
        <v>74</v>
      </c>
      <c r="H39" t="s">
        <v>74</v>
      </c>
      <c r="I39" t="s">
        <v>965</v>
      </c>
      <c r="J39" t="s">
        <v>904</v>
      </c>
      <c r="K39" t="s">
        <v>74</v>
      </c>
      <c r="L39" t="s">
        <v>74</v>
      </c>
      <c r="M39" t="s">
        <v>78</v>
      </c>
      <c r="N39" t="s">
        <v>79</v>
      </c>
      <c r="O39" t="s">
        <v>74</v>
      </c>
      <c r="P39" t="s">
        <v>74</v>
      </c>
      <c r="Q39" t="s">
        <v>74</v>
      </c>
      <c r="R39" t="s">
        <v>74</v>
      </c>
      <c r="S39" t="s">
        <v>74</v>
      </c>
      <c r="T39" t="s">
        <v>966</v>
      </c>
      <c r="U39" t="s">
        <v>967</v>
      </c>
      <c r="V39" t="s">
        <v>968</v>
      </c>
      <c r="W39" t="s">
        <v>969</v>
      </c>
      <c r="X39" t="s">
        <v>970</v>
      </c>
      <c r="Y39" t="s">
        <v>971</v>
      </c>
      <c r="Z39" t="s">
        <v>972</v>
      </c>
      <c r="AA39" t="s">
        <v>973</v>
      </c>
      <c r="AB39" t="s">
        <v>974</v>
      </c>
      <c r="AC39" t="s">
        <v>975</v>
      </c>
      <c r="AD39" t="s">
        <v>976</v>
      </c>
      <c r="AE39" t="s">
        <v>977</v>
      </c>
      <c r="AF39" t="s">
        <v>74</v>
      </c>
      <c r="AG39">
        <v>38</v>
      </c>
      <c r="AH39">
        <v>4</v>
      </c>
      <c r="AI39">
        <v>5</v>
      </c>
      <c r="AJ39">
        <v>3</v>
      </c>
      <c r="AK39">
        <v>18</v>
      </c>
      <c r="AL39" t="s">
        <v>917</v>
      </c>
      <c r="AM39" t="s">
        <v>390</v>
      </c>
      <c r="AN39" t="s">
        <v>918</v>
      </c>
      <c r="AO39" t="s">
        <v>919</v>
      </c>
      <c r="AP39" t="s">
        <v>920</v>
      </c>
      <c r="AQ39" t="s">
        <v>74</v>
      </c>
      <c r="AR39" t="s">
        <v>921</v>
      </c>
      <c r="AS39" t="s">
        <v>922</v>
      </c>
      <c r="AT39" t="s">
        <v>923</v>
      </c>
      <c r="AU39">
        <v>2021</v>
      </c>
      <c r="AV39">
        <v>48</v>
      </c>
      <c r="AW39">
        <v>8</v>
      </c>
      <c r="AX39" t="s">
        <v>74</v>
      </c>
      <c r="AY39" t="s">
        <v>74</v>
      </c>
      <c r="AZ39" t="s">
        <v>74</v>
      </c>
      <c r="BA39" t="s">
        <v>74</v>
      </c>
      <c r="BB39" t="s">
        <v>74</v>
      </c>
      <c r="BC39" t="s">
        <v>74</v>
      </c>
      <c r="BD39" t="s">
        <v>978</v>
      </c>
      <c r="BE39" t="s">
        <v>979</v>
      </c>
      <c r="BF39" t="str">
        <f>HYPERLINK("http://dx.doi.org/10.1029/2020GL089471","http://dx.doi.org/10.1029/2020GL089471")</f>
        <v>http://dx.doi.org/10.1029/2020GL089471</v>
      </c>
      <c r="BG39" t="s">
        <v>74</v>
      </c>
      <c r="BH39" t="s">
        <v>74</v>
      </c>
      <c r="BI39">
        <v>11</v>
      </c>
      <c r="BJ39" t="s">
        <v>100</v>
      </c>
      <c r="BK39" t="s">
        <v>101</v>
      </c>
      <c r="BL39" t="s">
        <v>102</v>
      </c>
      <c r="BM39" t="s">
        <v>926</v>
      </c>
      <c r="BN39" t="s">
        <v>74</v>
      </c>
      <c r="BO39" t="s">
        <v>398</v>
      </c>
      <c r="BP39" t="s">
        <v>74</v>
      </c>
      <c r="BQ39" t="s">
        <v>74</v>
      </c>
      <c r="BR39" t="s">
        <v>104</v>
      </c>
      <c r="BS39" t="s">
        <v>980</v>
      </c>
      <c r="BT39" t="str">
        <f>HYPERLINK("https%3A%2F%2Fwww.webofscience.com%2Fwos%2Fwoscc%2Ffull-record%2FWOS:000672324900004","View Full Record in Web of Science")</f>
        <v>View Full Record in Web of Science</v>
      </c>
    </row>
    <row r="40" spans="1:72" x14ac:dyDescent="0.15">
      <c r="A40" t="s">
        <v>72</v>
      </c>
      <c r="B40" t="s">
        <v>981</v>
      </c>
      <c r="C40" t="s">
        <v>74</v>
      </c>
      <c r="D40" t="s">
        <v>74</v>
      </c>
      <c r="E40" t="s">
        <v>74</v>
      </c>
      <c r="F40" t="s">
        <v>982</v>
      </c>
      <c r="G40" t="s">
        <v>74</v>
      </c>
      <c r="H40" t="s">
        <v>74</v>
      </c>
      <c r="I40" t="s">
        <v>983</v>
      </c>
      <c r="J40" t="s">
        <v>904</v>
      </c>
      <c r="K40" t="s">
        <v>74</v>
      </c>
      <c r="L40" t="s">
        <v>74</v>
      </c>
      <c r="M40" t="s">
        <v>78</v>
      </c>
      <c r="N40" t="s">
        <v>79</v>
      </c>
      <c r="O40" t="s">
        <v>74</v>
      </c>
      <c r="P40" t="s">
        <v>74</v>
      </c>
      <c r="Q40" t="s">
        <v>74</v>
      </c>
      <c r="R40" t="s">
        <v>74</v>
      </c>
      <c r="S40" t="s">
        <v>74</v>
      </c>
      <c r="T40" t="s">
        <v>984</v>
      </c>
      <c r="U40" t="s">
        <v>985</v>
      </c>
      <c r="V40" t="s">
        <v>986</v>
      </c>
      <c r="W40" t="s">
        <v>987</v>
      </c>
      <c r="X40" t="s">
        <v>988</v>
      </c>
      <c r="Y40" t="s">
        <v>989</v>
      </c>
      <c r="Z40" t="s">
        <v>990</v>
      </c>
      <c r="AA40" t="s">
        <v>991</v>
      </c>
      <c r="AB40" t="s">
        <v>992</v>
      </c>
      <c r="AC40" t="s">
        <v>993</v>
      </c>
      <c r="AD40" t="s">
        <v>994</v>
      </c>
      <c r="AE40" t="s">
        <v>995</v>
      </c>
      <c r="AF40" t="s">
        <v>74</v>
      </c>
      <c r="AG40">
        <v>113</v>
      </c>
      <c r="AH40">
        <v>9</v>
      </c>
      <c r="AI40">
        <v>10</v>
      </c>
      <c r="AJ40">
        <v>5</v>
      </c>
      <c r="AK40">
        <v>21</v>
      </c>
      <c r="AL40" t="s">
        <v>917</v>
      </c>
      <c r="AM40" t="s">
        <v>390</v>
      </c>
      <c r="AN40" t="s">
        <v>918</v>
      </c>
      <c r="AO40" t="s">
        <v>919</v>
      </c>
      <c r="AP40" t="s">
        <v>920</v>
      </c>
      <c r="AQ40" t="s">
        <v>74</v>
      </c>
      <c r="AR40" t="s">
        <v>921</v>
      </c>
      <c r="AS40" t="s">
        <v>922</v>
      </c>
      <c r="AT40" t="s">
        <v>923</v>
      </c>
      <c r="AU40">
        <v>2021</v>
      </c>
      <c r="AV40">
        <v>48</v>
      </c>
      <c r="AW40">
        <v>8</v>
      </c>
      <c r="AX40" t="s">
        <v>74</v>
      </c>
      <c r="AY40" t="s">
        <v>74</v>
      </c>
      <c r="AZ40" t="s">
        <v>74</v>
      </c>
      <c r="BA40" t="s">
        <v>74</v>
      </c>
      <c r="BB40" t="s">
        <v>74</v>
      </c>
      <c r="BC40" t="s">
        <v>74</v>
      </c>
      <c r="BD40" t="s">
        <v>996</v>
      </c>
      <c r="BE40" t="s">
        <v>997</v>
      </c>
      <c r="BF40" t="str">
        <f>HYPERLINK("http://dx.doi.org/10.1029/2020GL091602","http://dx.doi.org/10.1029/2020GL091602")</f>
        <v>http://dx.doi.org/10.1029/2020GL091602</v>
      </c>
      <c r="BG40" t="s">
        <v>74</v>
      </c>
      <c r="BH40" t="s">
        <v>74</v>
      </c>
      <c r="BI40">
        <v>11</v>
      </c>
      <c r="BJ40" t="s">
        <v>100</v>
      </c>
      <c r="BK40" t="s">
        <v>101</v>
      </c>
      <c r="BL40" t="s">
        <v>102</v>
      </c>
      <c r="BM40" t="s">
        <v>926</v>
      </c>
      <c r="BN40" t="s">
        <v>74</v>
      </c>
      <c r="BO40" t="s">
        <v>74</v>
      </c>
      <c r="BP40" t="s">
        <v>74</v>
      </c>
      <c r="BQ40" t="s">
        <v>74</v>
      </c>
      <c r="BR40" t="s">
        <v>104</v>
      </c>
      <c r="BS40" t="s">
        <v>998</v>
      </c>
      <c r="BT40" t="str">
        <f>HYPERLINK("https%3A%2F%2Fwww.webofscience.com%2Fwos%2Fwoscc%2Ffull-record%2FWOS:000672324900042","View Full Record in Web of Science")</f>
        <v>View Full Record in Web of Science</v>
      </c>
    </row>
    <row r="41" spans="1:72" x14ac:dyDescent="0.15">
      <c r="A41" t="s">
        <v>72</v>
      </c>
      <c r="B41" t="s">
        <v>999</v>
      </c>
      <c r="C41" t="s">
        <v>74</v>
      </c>
      <c r="D41" t="s">
        <v>74</v>
      </c>
      <c r="E41" t="s">
        <v>74</v>
      </c>
      <c r="F41" t="s">
        <v>1000</v>
      </c>
      <c r="G41" t="s">
        <v>74</v>
      </c>
      <c r="H41" t="s">
        <v>74</v>
      </c>
      <c r="I41" t="s">
        <v>1001</v>
      </c>
      <c r="J41" t="s">
        <v>904</v>
      </c>
      <c r="K41" t="s">
        <v>74</v>
      </c>
      <c r="L41" t="s">
        <v>74</v>
      </c>
      <c r="M41" t="s">
        <v>78</v>
      </c>
      <c r="N41" t="s">
        <v>79</v>
      </c>
      <c r="O41" t="s">
        <v>74</v>
      </c>
      <c r="P41" t="s">
        <v>74</v>
      </c>
      <c r="Q41" t="s">
        <v>74</v>
      </c>
      <c r="R41" t="s">
        <v>74</v>
      </c>
      <c r="S41" t="s">
        <v>74</v>
      </c>
      <c r="T41" t="s">
        <v>74</v>
      </c>
      <c r="U41" t="s">
        <v>1002</v>
      </c>
      <c r="V41" t="s">
        <v>1003</v>
      </c>
      <c r="W41" t="s">
        <v>1004</v>
      </c>
      <c r="X41" t="s">
        <v>1005</v>
      </c>
      <c r="Y41" t="s">
        <v>1006</v>
      </c>
      <c r="Z41" t="s">
        <v>1007</v>
      </c>
      <c r="AA41" t="s">
        <v>1008</v>
      </c>
      <c r="AB41" t="s">
        <v>1009</v>
      </c>
      <c r="AC41" t="s">
        <v>1010</v>
      </c>
      <c r="AD41" t="s">
        <v>1011</v>
      </c>
      <c r="AE41" t="s">
        <v>1012</v>
      </c>
      <c r="AF41" t="s">
        <v>74</v>
      </c>
      <c r="AG41">
        <v>59</v>
      </c>
      <c r="AH41">
        <v>13</v>
      </c>
      <c r="AI41">
        <v>13</v>
      </c>
      <c r="AJ41">
        <v>1</v>
      </c>
      <c r="AK41">
        <v>12</v>
      </c>
      <c r="AL41" t="s">
        <v>917</v>
      </c>
      <c r="AM41" t="s">
        <v>390</v>
      </c>
      <c r="AN41" t="s">
        <v>918</v>
      </c>
      <c r="AO41" t="s">
        <v>919</v>
      </c>
      <c r="AP41" t="s">
        <v>920</v>
      </c>
      <c r="AQ41" t="s">
        <v>74</v>
      </c>
      <c r="AR41" t="s">
        <v>921</v>
      </c>
      <c r="AS41" t="s">
        <v>922</v>
      </c>
      <c r="AT41" t="s">
        <v>923</v>
      </c>
      <c r="AU41">
        <v>2021</v>
      </c>
      <c r="AV41">
        <v>48</v>
      </c>
      <c r="AW41">
        <v>8</v>
      </c>
      <c r="AX41" t="s">
        <v>74</v>
      </c>
      <c r="AY41" t="s">
        <v>74</v>
      </c>
      <c r="AZ41" t="s">
        <v>74</v>
      </c>
      <c r="BA41" t="s">
        <v>74</v>
      </c>
      <c r="BB41" t="s">
        <v>74</v>
      </c>
      <c r="BC41" t="s">
        <v>74</v>
      </c>
      <c r="BD41" t="s">
        <v>1013</v>
      </c>
      <c r="BE41" t="s">
        <v>1014</v>
      </c>
      <c r="BF41" t="str">
        <f>HYPERLINK("http://dx.doi.org/10.1029/2021GL092511","http://dx.doi.org/10.1029/2021GL092511")</f>
        <v>http://dx.doi.org/10.1029/2021GL092511</v>
      </c>
      <c r="BG41" t="s">
        <v>74</v>
      </c>
      <c r="BH41" t="s">
        <v>74</v>
      </c>
      <c r="BI41">
        <v>11</v>
      </c>
      <c r="BJ41" t="s">
        <v>100</v>
      </c>
      <c r="BK41" t="s">
        <v>101</v>
      </c>
      <c r="BL41" t="s">
        <v>102</v>
      </c>
      <c r="BM41" t="s">
        <v>926</v>
      </c>
      <c r="BN41" t="s">
        <v>74</v>
      </c>
      <c r="BO41" t="s">
        <v>712</v>
      </c>
      <c r="BP41" t="s">
        <v>74</v>
      </c>
      <c r="BQ41" t="s">
        <v>74</v>
      </c>
      <c r="BR41" t="s">
        <v>104</v>
      </c>
      <c r="BS41" t="s">
        <v>1015</v>
      </c>
      <c r="BT41" t="str">
        <f>HYPERLINK("https%3A%2F%2Fwww.webofscience.com%2Fwos%2Fwoscc%2Ffull-record%2FWOS:000672324900070","View Full Record in Web of Science")</f>
        <v>View Full Record in Web of Science</v>
      </c>
    </row>
    <row r="42" spans="1:72" x14ac:dyDescent="0.15">
      <c r="A42" t="s">
        <v>72</v>
      </c>
      <c r="B42" t="s">
        <v>1016</v>
      </c>
      <c r="C42" t="s">
        <v>74</v>
      </c>
      <c r="D42" t="s">
        <v>74</v>
      </c>
      <c r="E42" t="s">
        <v>74</v>
      </c>
      <c r="F42" t="s">
        <v>1017</v>
      </c>
      <c r="G42" t="s">
        <v>74</v>
      </c>
      <c r="H42" t="s">
        <v>74</v>
      </c>
      <c r="I42" t="s">
        <v>1018</v>
      </c>
      <c r="J42" t="s">
        <v>1019</v>
      </c>
      <c r="K42" t="s">
        <v>74</v>
      </c>
      <c r="L42" t="s">
        <v>74</v>
      </c>
      <c r="M42" t="s">
        <v>78</v>
      </c>
      <c r="N42" t="s">
        <v>79</v>
      </c>
      <c r="O42" t="s">
        <v>74</v>
      </c>
      <c r="P42" t="s">
        <v>74</v>
      </c>
      <c r="Q42" t="s">
        <v>74</v>
      </c>
      <c r="R42" t="s">
        <v>74</v>
      </c>
      <c r="S42" t="s">
        <v>74</v>
      </c>
      <c r="T42" t="s">
        <v>1020</v>
      </c>
      <c r="U42" t="s">
        <v>1021</v>
      </c>
      <c r="V42" t="s">
        <v>1022</v>
      </c>
      <c r="W42" t="s">
        <v>1023</v>
      </c>
      <c r="X42" t="s">
        <v>1024</v>
      </c>
      <c r="Y42" t="s">
        <v>1025</v>
      </c>
      <c r="Z42" t="s">
        <v>1026</v>
      </c>
      <c r="AA42" t="s">
        <v>74</v>
      </c>
      <c r="AB42" t="s">
        <v>1027</v>
      </c>
      <c r="AC42" t="s">
        <v>1028</v>
      </c>
      <c r="AD42" t="s">
        <v>1029</v>
      </c>
      <c r="AE42" t="s">
        <v>1030</v>
      </c>
      <c r="AF42" t="s">
        <v>74</v>
      </c>
      <c r="AG42">
        <v>74</v>
      </c>
      <c r="AH42">
        <v>1</v>
      </c>
      <c r="AI42">
        <v>1</v>
      </c>
      <c r="AJ42">
        <v>0</v>
      </c>
      <c r="AK42">
        <v>14</v>
      </c>
      <c r="AL42" t="s">
        <v>576</v>
      </c>
      <c r="AM42" t="s">
        <v>577</v>
      </c>
      <c r="AN42" t="s">
        <v>578</v>
      </c>
      <c r="AO42" t="s">
        <v>1031</v>
      </c>
      <c r="AP42" t="s">
        <v>1032</v>
      </c>
      <c r="AQ42" t="s">
        <v>74</v>
      </c>
      <c r="AR42" t="s">
        <v>1033</v>
      </c>
      <c r="AS42" t="s">
        <v>1034</v>
      </c>
      <c r="AT42" t="s">
        <v>1035</v>
      </c>
      <c r="AU42">
        <v>2021</v>
      </c>
      <c r="AV42">
        <v>188</v>
      </c>
      <c r="AW42" t="s">
        <v>74</v>
      </c>
      <c r="AX42" t="s">
        <v>74</v>
      </c>
      <c r="AY42" t="s">
        <v>74</v>
      </c>
      <c r="AZ42" t="s">
        <v>74</v>
      </c>
      <c r="BA42" t="s">
        <v>74</v>
      </c>
      <c r="BB42" t="s">
        <v>74</v>
      </c>
      <c r="BC42" t="s">
        <v>74</v>
      </c>
      <c r="BD42">
        <v>104408</v>
      </c>
      <c r="BE42" t="s">
        <v>1036</v>
      </c>
      <c r="BF42" t="str">
        <f>HYPERLINK("http://dx.doi.org/10.1016/j.beproc.2021.104408","http://dx.doi.org/10.1016/j.beproc.2021.104408")</f>
        <v>http://dx.doi.org/10.1016/j.beproc.2021.104408</v>
      </c>
      <c r="BG42" t="s">
        <v>74</v>
      </c>
      <c r="BH42" t="s">
        <v>514</v>
      </c>
      <c r="BI42">
        <v>7</v>
      </c>
      <c r="BJ42" t="s">
        <v>1037</v>
      </c>
      <c r="BK42" t="s">
        <v>1038</v>
      </c>
      <c r="BL42" t="s">
        <v>1039</v>
      </c>
      <c r="BM42" t="s">
        <v>1040</v>
      </c>
      <c r="BN42">
        <v>33895252</v>
      </c>
      <c r="BO42" t="s">
        <v>496</v>
      </c>
      <c r="BP42" t="s">
        <v>74</v>
      </c>
      <c r="BQ42" t="s">
        <v>74</v>
      </c>
      <c r="BR42" t="s">
        <v>104</v>
      </c>
      <c r="BS42" t="s">
        <v>1041</v>
      </c>
      <c r="BT42" t="str">
        <f>HYPERLINK("https%3A%2F%2Fwww.webofscience.com%2Fwos%2Fwoscc%2Ffull-record%2FWOS:000659052000014","View Full Record in Web of Science")</f>
        <v>View Full Record in Web of Science</v>
      </c>
    </row>
    <row r="43" spans="1:72" x14ac:dyDescent="0.15">
      <c r="A43" t="s">
        <v>72</v>
      </c>
      <c r="B43" t="s">
        <v>1042</v>
      </c>
      <c r="C43" t="s">
        <v>74</v>
      </c>
      <c r="D43" t="s">
        <v>74</v>
      </c>
      <c r="E43" t="s">
        <v>74</v>
      </c>
      <c r="F43" t="s">
        <v>1043</v>
      </c>
      <c r="G43" t="s">
        <v>74</v>
      </c>
      <c r="H43" t="s">
        <v>74</v>
      </c>
      <c r="I43" t="s">
        <v>1044</v>
      </c>
      <c r="J43" t="s">
        <v>1045</v>
      </c>
      <c r="K43" t="s">
        <v>74</v>
      </c>
      <c r="L43" t="s">
        <v>74</v>
      </c>
      <c r="M43" t="s">
        <v>78</v>
      </c>
      <c r="N43" t="s">
        <v>79</v>
      </c>
      <c r="O43" t="s">
        <v>74</v>
      </c>
      <c r="P43" t="s">
        <v>74</v>
      </c>
      <c r="Q43" t="s">
        <v>74</v>
      </c>
      <c r="R43" t="s">
        <v>74</v>
      </c>
      <c r="S43" t="s">
        <v>74</v>
      </c>
      <c r="T43" t="s">
        <v>1046</v>
      </c>
      <c r="U43" t="s">
        <v>1047</v>
      </c>
      <c r="V43" t="s">
        <v>1048</v>
      </c>
      <c r="W43" t="s">
        <v>1049</v>
      </c>
      <c r="X43" t="s">
        <v>1050</v>
      </c>
      <c r="Y43" t="s">
        <v>1051</v>
      </c>
      <c r="Z43" t="s">
        <v>1052</v>
      </c>
      <c r="AA43" t="s">
        <v>1053</v>
      </c>
      <c r="AB43" t="s">
        <v>1054</v>
      </c>
      <c r="AC43" t="s">
        <v>1055</v>
      </c>
      <c r="AD43" t="s">
        <v>1056</v>
      </c>
      <c r="AE43" t="s">
        <v>1057</v>
      </c>
      <c r="AF43" t="s">
        <v>74</v>
      </c>
      <c r="AG43">
        <v>114</v>
      </c>
      <c r="AH43">
        <v>30</v>
      </c>
      <c r="AI43">
        <v>30</v>
      </c>
      <c r="AJ43">
        <v>1</v>
      </c>
      <c r="AK43">
        <v>15</v>
      </c>
      <c r="AL43" t="s">
        <v>1058</v>
      </c>
      <c r="AM43" t="s">
        <v>891</v>
      </c>
      <c r="AN43" t="s">
        <v>1059</v>
      </c>
      <c r="AO43" t="s">
        <v>1060</v>
      </c>
      <c r="AP43" t="s">
        <v>1061</v>
      </c>
      <c r="AQ43" t="s">
        <v>74</v>
      </c>
      <c r="AR43" t="s">
        <v>1062</v>
      </c>
      <c r="AS43" t="s">
        <v>1063</v>
      </c>
      <c r="AT43" t="s">
        <v>1064</v>
      </c>
      <c r="AU43">
        <v>2021</v>
      </c>
      <c r="AV43">
        <v>303</v>
      </c>
      <c r="AW43" t="s">
        <v>74</v>
      </c>
      <c r="AX43" t="s">
        <v>74</v>
      </c>
      <c r="AY43" t="s">
        <v>74</v>
      </c>
      <c r="AZ43" t="s">
        <v>74</v>
      </c>
      <c r="BA43" t="s">
        <v>74</v>
      </c>
      <c r="BB43">
        <v>66</v>
      </c>
      <c r="BC43">
        <v>91</v>
      </c>
      <c r="BD43" t="s">
        <v>74</v>
      </c>
      <c r="BE43" t="s">
        <v>1065</v>
      </c>
      <c r="BF43" t="str">
        <f>HYPERLINK("http://dx.doi.org/10.1016/j.gca.2021.03.019","http://dx.doi.org/10.1016/j.gca.2021.03.019")</f>
        <v>http://dx.doi.org/10.1016/j.gca.2021.03.019</v>
      </c>
      <c r="BG43" t="s">
        <v>74</v>
      </c>
      <c r="BH43" t="s">
        <v>514</v>
      </c>
      <c r="BI43">
        <v>26</v>
      </c>
      <c r="BJ43" t="s">
        <v>1066</v>
      </c>
      <c r="BK43" t="s">
        <v>101</v>
      </c>
      <c r="BL43" t="s">
        <v>1066</v>
      </c>
      <c r="BM43" t="s">
        <v>1067</v>
      </c>
      <c r="BN43">
        <v>34531614</v>
      </c>
      <c r="BO43" t="s">
        <v>1068</v>
      </c>
      <c r="BP43" t="s">
        <v>74</v>
      </c>
      <c r="BQ43" t="s">
        <v>74</v>
      </c>
      <c r="BR43" t="s">
        <v>104</v>
      </c>
      <c r="BS43" t="s">
        <v>1069</v>
      </c>
      <c r="BT43" t="str">
        <f>HYPERLINK("https%3A%2F%2Fwww.webofscience.com%2Fwos%2Fwoscc%2Ffull-record%2FWOS:000651801700005","View Full Record in Web of Science")</f>
        <v>View Full Record in Web of Science</v>
      </c>
    </row>
    <row r="44" spans="1:72" x14ac:dyDescent="0.15">
      <c r="A44" t="s">
        <v>72</v>
      </c>
      <c r="B44" t="s">
        <v>1070</v>
      </c>
      <c r="C44" t="s">
        <v>74</v>
      </c>
      <c r="D44" t="s">
        <v>74</v>
      </c>
      <c r="E44" t="s">
        <v>74</v>
      </c>
      <c r="F44" t="s">
        <v>1071</v>
      </c>
      <c r="G44" t="s">
        <v>74</v>
      </c>
      <c r="H44" t="s">
        <v>74</v>
      </c>
      <c r="I44" t="s">
        <v>1072</v>
      </c>
      <c r="J44" t="s">
        <v>1073</v>
      </c>
      <c r="K44" t="s">
        <v>74</v>
      </c>
      <c r="L44" t="s">
        <v>74</v>
      </c>
      <c r="M44" t="s">
        <v>78</v>
      </c>
      <c r="N44" t="s">
        <v>1074</v>
      </c>
      <c r="O44" t="s">
        <v>74</v>
      </c>
      <c r="P44" t="s">
        <v>74</v>
      </c>
      <c r="Q44" t="s">
        <v>74</v>
      </c>
      <c r="R44" t="s">
        <v>74</v>
      </c>
      <c r="S44" t="s">
        <v>74</v>
      </c>
      <c r="T44" t="s">
        <v>1075</v>
      </c>
      <c r="U44" t="s">
        <v>1076</v>
      </c>
      <c r="V44" t="s">
        <v>1077</v>
      </c>
      <c r="W44" t="s">
        <v>1078</v>
      </c>
      <c r="X44" t="s">
        <v>1079</v>
      </c>
      <c r="Y44" t="s">
        <v>1080</v>
      </c>
      <c r="Z44" t="s">
        <v>1081</v>
      </c>
      <c r="AA44" t="s">
        <v>1082</v>
      </c>
      <c r="AB44" t="s">
        <v>1083</v>
      </c>
      <c r="AC44" t="s">
        <v>1084</v>
      </c>
      <c r="AD44" t="s">
        <v>1085</v>
      </c>
      <c r="AE44" t="s">
        <v>1086</v>
      </c>
      <c r="AF44" t="s">
        <v>74</v>
      </c>
      <c r="AG44">
        <v>162</v>
      </c>
      <c r="AH44">
        <v>8</v>
      </c>
      <c r="AI44">
        <v>8</v>
      </c>
      <c r="AJ44">
        <v>2</v>
      </c>
      <c r="AK44">
        <v>31</v>
      </c>
      <c r="AL44" t="s">
        <v>795</v>
      </c>
      <c r="AM44" t="s">
        <v>796</v>
      </c>
      <c r="AN44" t="s">
        <v>797</v>
      </c>
      <c r="AO44" t="s">
        <v>1087</v>
      </c>
      <c r="AP44" t="s">
        <v>1088</v>
      </c>
      <c r="AQ44" t="s">
        <v>74</v>
      </c>
      <c r="AR44" t="s">
        <v>1089</v>
      </c>
      <c r="AS44" t="s">
        <v>1090</v>
      </c>
      <c r="AT44" t="s">
        <v>1091</v>
      </c>
      <c r="AU44">
        <v>2022</v>
      </c>
      <c r="AV44">
        <v>29</v>
      </c>
      <c r="AW44">
        <v>1</v>
      </c>
      <c r="AX44" t="s">
        <v>74</v>
      </c>
      <c r="AY44" t="s">
        <v>74</v>
      </c>
      <c r="AZ44" t="s">
        <v>74</v>
      </c>
      <c r="BA44" t="s">
        <v>74</v>
      </c>
      <c r="BB44">
        <v>2</v>
      </c>
      <c r="BC44">
        <v>20</v>
      </c>
      <c r="BD44" t="s">
        <v>74</v>
      </c>
      <c r="BE44" t="s">
        <v>1092</v>
      </c>
      <c r="BF44" t="str">
        <f>HYPERLINK("http://dx.doi.org/10.1111/1744-7917.12925","http://dx.doi.org/10.1111/1744-7917.12925")</f>
        <v>http://dx.doi.org/10.1111/1744-7917.12925</v>
      </c>
      <c r="BG44" t="s">
        <v>74</v>
      </c>
      <c r="BH44" t="s">
        <v>514</v>
      </c>
      <c r="BI44">
        <v>19</v>
      </c>
      <c r="BJ44" t="s">
        <v>1093</v>
      </c>
      <c r="BK44" t="s">
        <v>101</v>
      </c>
      <c r="BL44" t="s">
        <v>1093</v>
      </c>
      <c r="BM44" t="s">
        <v>1094</v>
      </c>
      <c r="BN44">
        <v>33913258</v>
      </c>
      <c r="BO44" t="s">
        <v>1095</v>
      </c>
      <c r="BP44" t="s">
        <v>74</v>
      </c>
      <c r="BQ44" t="s">
        <v>74</v>
      </c>
      <c r="BR44" t="s">
        <v>104</v>
      </c>
      <c r="BS44" t="s">
        <v>1096</v>
      </c>
      <c r="BT44" t="str">
        <f>HYPERLINK("https%3A%2F%2Fwww.webofscience.com%2Fwos%2Fwoscc%2Ffull-record%2FWOS:000645092100001","View Full Record in Web of Science")</f>
        <v>View Full Record in Web of Science</v>
      </c>
    </row>
    <row r="45" spans="1:72" x14ac:dyDescent="0.15">
      <c r="A45" t="s">
        <v>72</v>
      </c>
      <c r="B45" t="s">
        <v>1097</v>
      </c>
      <c r="C45" t="s">
        <v>74</v>
      </c>
      <c r="D45" t="s">
        <v>74</v>
      </c>
      <c r="E45" t="s">
        <v>74</v>
      </c>
      <c r="F45" t="s">
        <v>1098</v>
      </c>
      <c r="G45" t="s">
        <v>74</v>
      </c>
      <c r="H45" t="s">
        <v>74</v>
      </c>
      <c r="I45" t="s">
        <v>1099</v>
      </c>
      <c r="J45" t="s">
        <v>1100</v>
      </c>
      <c r="K45" t="s">
        <v>74</v>
      </c>
      <c r="L45" t="s">
        <v>74</v>
      </c>
      <c r="M45" t="s">
        <v>78</v>
      </c>
      <c r="N45" t="s">
        <v>79</v>
      </c>
      <c r="O45" t="s">
        <v>74</v>
      </c>
      <c r="P45" t="s">
        <v>74</v>
      </c>
      <c r="Q45" t="s">
        <v>74</v>
      </c>
      <c r="R45" t="s">
        <v>74</v>
      </c>
      <c r="S45" t="s">
        <v>74</v>
      </c>
      <c r="T45" t="s">
        <v>1101</v>
      </c>
      <c r="U45" t="s">
        <v>74</v>
      </c>
      <c r="V45" t="s">
        <v>1102</v>
      </c>
      <c r="W45" t="s">
        <v>1103</v>
      </c>
      <c r="X45" t="s">
        <v>1104</v>
      </c>
      <c r="Y45" t="s">
        <v>1105</v>
      </c>
      <c r="Z45" t="s">
        <v>1106</v>
      </c>
      <c r="AA45" t="s">
        <v>1107</v>
      </c>
      <c r="AB45" t="s">
        <v>1108</v>
      </c>
      <c r="AC45" t="s">
        <v>1109</v>
      </c>
      <c r="AD45" t="s">
        <v>1110</v>
      </c>
      <c r="AE45" t="s">
        <v>1111</v>
      </c>
      <c r="AF45" t="s">
        <v>74</v>
      </c>
      <c r="AG45">
        <v>27</v>
      </c>
      <c r="AH45">
        <v>4</v>
      </c>
      <c r="AI45">
        <v>4</v>
      </c>
      <c r="AJ45">
        <v>1</v>
      </c>
      <c r="AK45">
        <v>2</v>
      </c>
      <c r="AL45" t="s">
        <v>1112</v>
      </c>
      <c r="AM45" t="s">
        <v>1113</v>
      </c>
      <c r="AN45" t="s">
        <v>1114</v>
      </c>
      <c r="AO45" t="s">
        <v>1115</v>
      </c>
      <c r="AP45" t="s">
        <v>74</v>
      </c>
      <c r="AQ45" t="s">
        <v>74</v>
      </c>
      <c r="AR45" t="s">
        <v>1116</v>
      </c>
      <c r="AS45" t="s">
        <v>1117</v>
      </c>
      <c r="AT45" t="s">
        <v>923</v>
      </c>
      <c r="AU45">
        <v>2021</v>
      </c>
      <c r="AV45">
        <v>11</v>
      </c>
      <c r="AW45" t="s">
        <v>74</v>
      </c>
      <c r="AX45" t="s">
        <v>74</v>
      </c>
      <c r="AY45" t="s">
        <v>74</v>
      </c>
      <c r="AZ45" t="s">
        <v>74</v>
      </c>
      <c r="BA45" t="s">
        <v>74</v>
      </c>
      <c r="BB45" t="s">
        <v>74</v>
      </c>
      <c r="BC45" t="s">
        <v>74</v>
      </c>
      <c r="BD45">
        <v>31</v>
      </c>
      <c r="BE45" t="s">
        <v>1118</v>
      </c>
      <c r="BF45" t="str">
        <f>HYPERLINK("http://dx.doi.org/10.1051/swsc/2021005","http://dx.doi.org/10.1051/swsc/2021005")</f>
        <v>http://dx.doi.org/10.1051/swsc/2021005</v>
      </c>
      <c r="BG45" t="s">
        <v>74</v>
      </c>
      <c r="BH45" t="s">
        <v>74</v>
      </c>
      <c r="BI45">
        <v>12</v>
      </c>
      <c r="BJ45" t="s">
        <v>1119</v>
      </c>
      <c r="BK45" t="s">
        <v>101</v>
      </c>
      <c r="BL45" t="s">
        <v>1119</v>
      </c>
      <c r="BM45" t="s">
        <v>1120</v>
      </c>
      <c r="BN45" t="s">
        <v>74</v>
      </c>
      <c r="BO45" t="s">
        <v>1121</v>
      </c>
      <c r="BP45" t="s">
        <v>74</v>
      </c>
      <c r="BQ45" t="s">
        <v>74</v>
      </c>
      <c r="BR45" t="s">
        <v>104</v>
      </c>
      <c r="BS45" t="s">
        <v>1122</v>
      </c>
      <c r="BT45" t="str">
        <f>HYPERLINK("https%3A%2F%2Fwww.webofscience.com%2Fwos%2Fwoscc%2Ffull-record%2FWOS:000644995100001","View Full Record in Web of Science")</f>
        <v>View Full Record in Web of Science</v>
      </c>
    </row>
    <row r="46" spans="1:72" x14ac:dyDescent="0.15">
      <c r="A46" t="s">
        <v>72</v>
      </c>
      <c r="B46" t="s">
        <v>1123</v>
      </c>
      <c r="C46" t="s">
        <v>74</v>
      </c>
      <c r="D46" t="s">
        <v>74</v>
      </c>
      <c r="E46" t="s">
        <v>74</v>
      </c>
      <c r="F46" t="s">
        <v>1124</v>
      </c>
      <c r="G46" t="s">
        <v>74</v>
      </c>
      <c r="H46" t="s">
        <v>74</v>
      </c>
      <c r="I46" t="s">
        <v>1125</v>
      </c>
      <c r="J46" t="s">
        <v>1126</v>
      </c>
      <c r="K46" t="s">
        <v>74</v>
      </c>
      <c r="L46" t="s">
        <v>74</v>
      </c>
      <c r="M46" t="s">
        <v>78</v>
      </c>
      <c r="N46" t="s">
        <v>79</v>
      </c>
      <c r="O46" t="s">
        <v>74</v>
      </c>
      <c r="P46" t="s">
        <v>74</v>
      </c>
      <c r="Q46" t="s">
        <v>74</v>
      </c>
      <c r="R46" t="s">
        <v>74</v>
      </c>
      <c r="S46" t="s">
        <v>74</v>
      </c>
      <c r="T46" t="s">
        <v>1127</v>
      </c>
      <c r="U46" t="s">
        <v>1128</v>
      </c>
      <c r="V46" t="s">
        <v>1129</v>
      </c>
      <c r="W46" t="s">
        <v>1130</v>
      </c>
      <c r="X46" t="s">
        <v>1131</v>
      </c>
      <c r="Y46" t="s">
        <v>1132</v>
      </c>
      <c r="Z46" t="s">
        <v>1133</v>
      </c>
      <c r="AA46" t="s">
        <v>74</v>
      </c>
      <c r="AB46" t="s">
        <v>1134</v>
      </c>
      <c r="AC46" t="s">
        <v>1135</v>
      </c>
      <c r="AD46" t="s">
        <v>1135</v>
      </c>
      <c r="AE46" t="s">
        <v>1136</v>
      </c>
      <c r="AF46" t="s">
        <v>74</v>
      </c>
      <c r="AG46">
        <v>56</v>
      </c>
      <c r="AH46">
        <v>5</v>
      </c>
      <c r="AI46">
        <v>5</v>
      </c>
      <c r="AJ46">
        <v>0</v>
      </c>
      <c r="AK46">
        <v>8</v>
      </c>
      <c r="AL46" t="s">
        <v>486</v>
      </c>
      <c r="AM46" t="s">
        <v>487</v>
      </c>
      <c r="AN46" t="s">
        <v>488</v>
      </c>
      <c r="AO46" t="s">
        <v>1137</v>
      </c>
      <c r="AP46" t="s">
        <v>1138</v>
      </c>
      <c r="AQ46" t="s">
        <v>74</v>
      </c>
      <c r="AR46" t="s">
        <v>1139</v>
      </c>
      <c r="AS46" t="s">
        <v>1140</v>
      </c>
      <c r="AT46" t="s">
        <v>1035</v>
      </c>
      <c r="AU46">
        <v>2021</v>
      </c>
      <c r="AV46">
        <v>296</v>
      </c>
      <c r="AW46">
        <v>4</v>
      </c>
      <c r="AX46" t="s">
        <v>74</v>
      </c>
      <c r="AY46" t="s">
        <v>74</v>
      </c>
      <c r="AZ46" t="s">
        <v>74</v>
      </c>
      <c r="BA46" t="s">
        <v>74</v>
      </c>
      <c r="BB46">
        <v>893</v>
      </c>
      <c r="BC46">
        <v>903</v>
      </c>
      <c r="BD46" t="s">
        <v>74</v>
      </c>
      <c r="BE46" t="s">
        <v>1141</v>
      </c>
      <c r="BF46" t="str">
        <f>HYPERLINK("http://dx.doi.org/10.1007/s00438-021-01788-9","http://dx.doi.org/10.1007/s00438-021-01788-9")</f>
        <v>http://dx.doi.org/10.1007/s00438-021-01788-9</v>
      </c>
      <c r="BG46" t="s">
        <v>74</v>
      </c>
      <c r="BH46" t="s">
        <v>514</v>
      </c>
      <c r="BI46">
        <v>11</v>
      </c>
      <c r="BJ46" t="s">
        <v>1142</v>
      </c>
      <c r="BK46" t="s">
        <v>101</v>
      </c>
      <c r="BL46" t="s">
        <v>1142</v>
      </c>
      <c r="BM46" t="s">
        <v>1143</v>
      </c>
      <c r="BN46">
        <v>33909166</v>
      </c>
      <c r="BO46" t="s">
        <v>74</v>
      </c>
      <c r="BP46" t="s">
        <v>74</v>
      </c>
      <c r="BQ46" t="s">
        <v>74</v>
      </c>
      <c r="BR46" t="s">
        <v>104</v>
      </c>
      <c r="BS46" t="s">
        <v>1144</v>
      </c>
      <c r="BT46" t="str">
        <f>HYPERLINK("https%3A%2F%2Fwww.webofscience.com%2Fwos%2Fwoscc%2Ffull-record%2FWOS:000645077000001","View Full Record in Web of Science")</f>
        <v>View Full Record in Web of Science</v>
      </c>
    </row>
    <row r="47" spans="1:72" x14ac:dyDescent="0.15">
      <c r="A47" t="s">
        <v>72</v>
      </c>
      <c r="B47" t="s">
        <v>1145</v>
      </c>
      <c r="C47" t="s">
        <v>74</v>
      </c>
      <c r="D47" t="s">
        <v>74</v>
      </c>
      <c r="E47" t="s">
        <v>74</v>
      </c>
      <c r="F47" t="s">
        <v>1146</v>
      </c>
      <c r="G47" t="s">
        <v>74</v>
      </c>
      <c r="H47" t="s">
        <v>74</v>
      </c>
      <c r="I47" t="s">
        <v>1147</v>
      </c>
      <c r="J47" t="s">
        <v>1148</v>
      </c>
      <c r="K47" t="s">
        <v>74</v>
      </c>
      <c r="L47" t="s">
        <v>74</v>
      </c>
      <c r="M47" t="s">
        <v>78</v>
      </c>
      <c r="N47" t="s">
        <v>79</v>
      </c>
      <c r="O47" t="s">
        <v>74</v>
      </c>
      <c r="P47" t="s">
        <v>74</v>
      </c>
      <c r="Q47" t="s">
        <v>74</v>
      </c>
      <c r="R47" t="s">
        <v>74</v>
      </c>
      <c r="S47" t="s">
        <v>74</v>
      </c>
      <c r="T47" t="s">
        <v>1149</v>
      </c>
      <c r="U47" t="s">
        <v>1150</v>
      </c>
      <c r="V47" t="s">
        <v>1151</v>
      </c>
      <c r="W47" t="s">
        <v>1152</v>
      </c>
      <c r="X47" t="s">
        <v>1153</v>
      </c>
      <c r="Y47" t="s">
        <v>1154</v>
      </c>
      <c r="Z47" t="s">
        <v>1155</v>
      </c>
      <c r="AA47" t="s">
        <v>74</v>
      </c>
      <c r="AB47" t="s">
        <v>1156</v>
      </c>
      <c r="AC47" t="s">
        <v>1157</v>
      </c>
      <c r="AD47" t="s">
        <v>1158</v>
      </c>
      <c r="AE47" t="s">
        <v>1159</v>
      </c>
      <c r="AF47" t="s">
        <v>74</v>
      </c>
      <c r="AG47">
        <v>85</v>
      </c>
      <c r="AH47">
        <v>2</v>
      </c>
      <c r="AI47">
        <v>2</v>
      </c>
      <c r="AJ47">
        <v>1</v>
      </c>
      <c r="AK47">
        <v>11</v>
      </c>
      <c r="AL47" t="s">
        <v>1160</v>
      </c>
      <c r="AM47" t="s">
        <v>891</v>
      </c>
      <c r="AN47" t="s">
        <v>1161</v>
      </c>
      <c r="AO47" t="s">
        <v>1162</v>
      </c>
      <c r="AP47" t="s">
        <v>74</v>
      </c>
      <c r="AQ47" t="s">
        <v>74</v>
      </c>
      <c r="AR47" t="s">
        <v>1163</v>
      </c>
      <c r="AS47" t="s">
        <v>1164</v>
      </c>
      <c r="AT47" t="s">
        <v>923</v>
      </c>
      <c r="AU47">
        <v>2021</v>
      </c>
      <c r="AV47">
        <v>9</v>
      </c>
      <c r="AW47" t="s">
        <v>74</v>
      </c>
      <c r="AX47" t="s">
        <v>74</v>
      </c>
      <c r="AY47" t="s">
        <v>74</v>
      </c>
      <c r="AZ47" t="s">
        <v>74</v>
      </c>
      <c r="BA47" t="s">
        <v>74</v>
      </c>
      <c r="BB47" t="s">
        <v>74</v>
      </c>
      <c r="BC47" t="s">
        <v>74</v>
      </c>
      <c r="BD47" t="s">
        <v>1165</v>
      </c>
      <c r="BE47" t="s">
        <v>1166</v>
      </c>
      <c r="BF47" t="str">
        <f>HYPERLINK("http://dx.doi.org/10.1093/conphys/coab017","http://dx.doi.org/10.1093/conphys/coab017")</f>
        <v>http://dx.doi.org/10.1093/conphys/coab017</v>
      </c>
      <c r="BG47" t="s">
        <v>74</v>
      </c>
      <c r="BH47" t="s">
        <v>514</v>
      </c>
      <c r="BI47">
        <v>12</v>
      </c>
      <c r="BJ47" t="s">
        <v>1167</v>
      </c>
      <c r="BK47" t="s">
        <v>101</v>
      </c>
      <c r="BL47" t="s">
        <v>1168</v>
      </c>
      <c r="BM47" t="s">
        <v>1169</v>
      </c>
      <c r="BN47">
        <v>33959285</v>
      </c>
      <c r="BO47" t="s">
        <v>1170</v>
      </c>
      <c r="BP47" t="s">
        <v>74</v>
      </c>
      <c r="BQ47" t="s">
        <v>74</v>
      </c>
      <c r="BR47" t="s">
        <v>104</v>
      </c>
      <c r="BS47" t="s">
        <v>1171</v>
      </c>
      <c r="BT47" t="str">
        <f>HYPERLINK("https%3A%2F%2Fwww.webofscience.com%2Fwos%2Fwoscc%2Ffull-record%2FWOS:000722466800001","View Full Record in Web of Science")</f>
        <v>View Full Record in Web of Science</v>
      </c>
    </row>
    <row r="48" spans="1:72" x14ac:dyDescent="0.15">
      <c r="A48" t="s">
        <v>72</v>
      </c>
      <c r="B48" t="s">
        <v>1172</v>
      </c>
      <c r="C48" t="s">
        <v>74</v>
      </c>
      <c r="D48" t="s">
        <v>74</v>
      </c>
      <c r="E48" t="s">
        <v>74</v>
      </c>
      <c r="F48" t="s">
        <v>1173</v>
      </c>
      <c r="G48" t="s">
        <v>74</v>
      </c>
      <c r="H48" t="s">
        <v>74</v>
      </c>
      <c r="I48" t="s">
        <v>1174</v>
      </c>
      <c r="J48" t="s">
        <v>904</v>
      </c>
      <c r="K48" t="s">
        <v>74</v>
      </c>
      <c r="L48" t="s">
        <v>74</v>
      </c>
      <c r="M48" t="s">
        <v>78</v>
      </c>
      <c r="N48" t="s">
        <v>79</v>
      </c>
      <c r="O48" t="s">
        <v>74</v>
      </c>
      <c r="P48" t="s">
        <v>74</v>
      </c>
      <c r="Q48" t="s">
        <v>74</v>
      </c>
      <c r="R48" t="s">
        <v>74</v>
      </c>
      <c r="S48" t="s">
        <v>74</v>
      </c>
      <c r="T48" t="s">
        <v>74</v>
      </c>
      <c r="U48" t="s">
        <v>1175</v>
      </c>
      <c r="V48" t="s">
        <v>1176</v>
      </c>
      <c r="W48" t="s">
        <v>1177</v>
      </c>
      <c r="X48" t="s">
        <v>1178</v>
      </c>
      <c r="Y48" t="s">
        <v>1179</v>
      </c>
      <c r="Z48" t="s">
        <v>1180</v>
      </c>
      <c r="AA48" t="s">
        <v>74</v>
      </c>
      <c r="AB48" t="s">
        <v>1181</v>
      </c>
      <c r="AC48" t="s">
        <v>1182</v>
      </c>
      <c r="AD48" t="s">
        <v>1183</v>
      </c>
      <c r="AE48" t="s">
        <v>1184</v>
      </c>
      <c r="AF48" t="s">
        <v>74</v>
      </c>
      <c r="AG48">
        <v>45</v>
      </c>
      <c r="AH48">
        <v>52</v>
      </c>
      <c r="AI48">
        <v>57</v>
      </c>
      <c r="AJ48">
        <v>4</v>
      </c>
      <c r="AK48">
        <v>13</v>
      </c>
      <c r="AL48" t="s">
        <v>917</v>
      </c>
      <c r="AM48" t="s">
        <v>390</v>
      </c>
      <c r="AN48" t="s">
        <v>918</v>
      </c>
      <c r="AO48" t="s">
        <v>919</v>
      </c>
      <c r="AP48" t="s">
        <v>920</v>
      </c>
      <c r="AQ48" t="s">
        <v>74</v>
      </c>
      <c r="AR48" t="s">
        <v>921</v>
      </c>
      <c r="AS48" t="s">
        <v>922</v>
      </c>
      <c r="AT48" t="s">
        <v>923</v>
      </c>
      <c r="AU48">
        <v>2021</v>
      </c>
      <c r="AV48">
        <v>48</v>
      </c>
      <c r="AW48">
        <v>8</v>
      </c>
      <c r="AX48" t="s">
        <v>74</v>
      </c>
      <c r="AY48" t="s">
        <v>74</v>
      </c>
      <c r="AZ48" t="s">
        <v>74</v>
      </c>
      <c r="BA48" t="s">
        <v>74</v>
      </c>
      <c r="BB48" t="s">
        <v>74</v>
      </c>
      <c r="BC48" t="s">
        <v>74</v>
      </c>
      <c r="BD48" t="s">
        <v>1185</v>
      </c>
      <c r="BE48" t="s">
        <v>1186</v>
      </c>
      <c r="BF48" t="str">
        <f>HYPERLINK("http://dx.doi.org/10.1029/2020GL091733","http://dx.doi.org/10.1029/2020GL091733")</f>
        <v>http://dx.doi.org/10.1029/2020GL091733</v>
      </c>
      <c r="BG48" t="s">
        <v>74</v>
      </c>
      <c r="BH48" t="s">
        <v>74</v>
      </c>
      <c r="BI48">
        <v>9</v>
      </c>
      <c r="BJ48" t="s">
        <v>100</v>
      </c>
      <c r="BK48" t="s">
        <v>101</v>
      </c>
      <c r="BL48" t="s">
        <v>102</v>
      </c>
      <c r="BM48" t="s">
        <v>926</v>
      </c>
      <c r="BN48" t="s">
        <v>74</v>
      </c>
      <c r="BO48" t="s">
        <v>1187</v>
      </c>
      <c r="BP48" t="s">
        <v>74</v>
      </c>
      <c r="BQ48" t="s">
        <v>74</v>
      </c>
      <c r="BR48" t="s">
        <v>104</v>
      </c>
      <c r="BS48" t="s">
        <v>1188</v>
      </c>
      <c r="BT48" t="str">
        <f>HYPERLINK("https%3A%2F%2Fwww.webofscience.com%2Fwos%2Fwoscc%2Ffull-record%2FWOS:000672324900058","View Full Record in Web of Science")</f>
        <v>View Full Record in Web of Science</v>
      </c>
    </row>
    <row r="49" spans="1:72" x14ac:dyDescent="0.15">
      <c r="A49" t="s">
        <v>72</v>
      </c>
      <c r="B49" t="s">
        <v>1189</v>
      </c>
      <c r="C49" t="s">
        <v>74</v>
      </c>
      <c r="D49" t="s">
        <v>74</v>
      </c>
      <c r="E49" t="s">
        <v>74</v>
      </c>
      <c r="F49" t="s">
        <v>1190</v>
      </c>
      <c r="G49" t="s">
        <v>74</v>
      </c>
      <c r="H49" t="s">
        <v>74</v>
      </c>
      <c r="I49" t="s">
        <v>1191</v>
      </c>
      <c r="J49" t="s">
        <v>904</v>
      </c>
      <c r="K49" t="s">
        <v>74</v>
      </c>
      <c r="L49" t="s">
        <v>74</v>
      </c>
      <c r="M49" t="s">
        <v>78</v>
      </c>
      <c r="N49" t="s">
        <v>79</v>
      </c>
      <c r="O49" t="s">
        <v>74</v>
      </c>
      <c r="P49" t="s">
        <v>74</v>
      </c>
      <c r="Q49" t="s">
        <v>74</v>
      </c>
      <c r="R49" t="s">
        <v>74</v>
      </c>
      <c r="S49" t="s">
        <v>74</v>
      </c>
      <c r="T49" t="s">
        <v>74</v>
      </c>
      <c r="U49" t="s">
        <v>1192</v>
      </c>
      <c r="V49" t="s">
        <v>1193</v>
      </c>
      <c r="W49" t="s">
        <v>1194</v>
      </c>
      <c r="X49" t="s">
        <v>1195</v>
      </c>
      <c r="Y49" t="s">
        <v>1196</v>
      </c>
      <c r="Z49" t="s">
        <v>1197</v>
      </c>
      <c r="AA49" t="s">
        <v>1198</v>
      </c>
      <c r="AB49" t="s">
        <v>1199</v>
      </c>
      <c r="AC49" t="s">
        <v>1200</v>
      </c>
      <c r="AD49" t="s">
        <v>1201</v>
      </c>
      <c r="AE49" t="s">
        <v>1202</v>
      </c>
      <c r="AF49" t="s">
        <v>74</v>
      </c>
      <c r="AG49">
        <v>45</v>
      </c>
      <c r="AH49">
        <v>11</v>
      </c>
      <c r="AI49">
        <v>11</v>
      </c>
      <c r="AJ49">
        <v>3</v>
      </c>
      <c r="AK49">
        <v>16</v>
      </c>
      <c r="AL49" t="s">
        <v>917</v>
      </c>
      <c r="AM49" t="s">
        <v>390</v>
      </c>
      <c r="AN49" t="s">
        <v>918</v>
      </c>
      <c r="AO49" t="s">
        <v>919</v>
      </c>
      <c r="AP49" t="s">
        <v>920</v>
      </c>
      <c r="AQ49" t="s">
        <v>74</v>
      </c>
      <c r="AR49" t="s">
        <v>921</v>
      </c>
      <c r="AS49" t="s">
        <v>922</v>
      </c>
      <c r="AT49" t="s">
        <v>923</v>
      </c>
      <c r="AU49">
        <v>2021</v>
      </c>
      <c r="AV49">
        <v>48</v>
      </c>
      <c r="AW49">
        <v>8</v>
      </c>
      <c r="AX49" t="s">
        <v>74</v>
      </c>
      <c r="AY49" t="s">
        <v>74</v>
      </c>
      <c r="AZ49" t="s">
        <v>74</v>
      </c>
      <c r="BA49" t="s">
        <v>74</v>
      </c>
      <c r="BB49" t="s">
        <v>74</v>
      </c>
      <c r="BC49" t="s">
        <v>74</v>
      </c>
      <c r="BD49" t="s">
        <v>1203</v>
      </c>
      <c r="BE49" t="s">
        <v>1204</v>
      </c>
      <c r="BF49" t="str">
        <f>HYPERLINK("http://dx.doi.org/10.1029/2021GL092537","http://dx.doi.org/10.1029/2021GL092537")</f>
        <v>http://dx.doi.org/10.1029/2021GL092537</v>
      </c>
      <c r="BG49" t="s">
        <v>74</v>
      </c>
      <c r="BH49" t="s">
        <v>74</v>
      </c>
      <c r="BI49">
        <v>10</v>
      </c>
      <c r="BJ49" t="s">
        <v>100</v>
      </c>
      <c r="BK49" t="s">
        <v>101</v>
      </c>
      <c r="BL49" t="s">
        <v>102</v>
      </c>
      <c r="BM49" t="s">
        <v>926</v>
      </c>
      <c r="BN49" t="s">
        <v>74</v>
      </c>
      <c r="BO49" t="s">
        <v>74</v>
      </c>
      <c r="BP49" t="s">
        <v>74</v>
      </c>
      <c r="BQ49" t="s">
        <v>74</v>
      </c>
      <c r="BR49" t="s">
        <v>104</v>
      </c>
      <c r="BS49" t="s">
        <v>1205</v>
      </c>
      <c r="BT49" t="str">
        <f>HYPERLINK("https%3A%2F%2Fwww.webofscience.com%2Fwos%2Fwoscc%2Ffull-record%2FWOS:000672324900067","View Full Record in Web of Science")</f>
        <v>View Full Record in Web of Science</v>
      </c>
    </row>
    <row r="50" spans="1:72" x14ac:dyDescent="0.15">
      <c r="A50" t="s">
        <v>72</v>
      </c>
      <c r="B50" t="s">
        <v>1206</v>
      </c>
      <c r="C50" t="s">
        <v>74</v>
      </c>
      <c r="D50" t="s">
        <v>74</v>
      </c>
      <c r="E50" t="s">
        <v>74</v>
      </c>
      <c r="F50" t="s">
        <v>1207</v>
      </c>
      <c r="G50" t="s">
        <v>74</v>
      </c>
      <c r="H50" t="s">
        <v>74</v>
      </c>
      <c r="I50" t="s">
        <v>1208</v>
      </c>
      <c r="J50" t="s">
        <v>1209</v>
      </c>
      <c r="K50" t="s">
        <v>74</v>
      </c>
      <c r="L50" t="s">
        <v>74</v>
      </c>
      <c r="M50" t="s">
        <v>78</v>
      </c>
      <c r="N50" t="s">
        <v>79</v>
      </c>
      <c r="O50" t="s">
        <v>74</v>
      </c>
      <c r="P50" t="s">
        <v>74</v>
      </c>
      <c r="Q50" t="s">
        <v>74</v>
      </c>
      <c r="R50" t="s">
        <v>74</v>
      </c>
      <c r="S50" t="s">
        <v>74</v>
      </c>
      <c r="T50" t="s">
        <v>74</v>
      </c>
      <c r="U50" t="s">
        <v>1210</v>
      </c>
      <c r="V50" t="s">
        <v>1211</v>
      </c>
      <c r="W50" t="s">
        <v>1212</v>
      </c>
      <c r="X50" t="s">
        <v>1213</v>
      </c>
      <c r="Y50" t="s">
        <v>1214</v>
      </c>
      <c r="Z50" t="s">
        <v>1215</v>
      </c>
      <c r="AA50" t="s">
        <v>1216</v>
      </c>
      <c r="AB50" t="s">
        <v>1217</v>
      </c>
      <c r="AC50" t="s">
        <v>1218</v>
      </c>
      <c r="AD50" t="s">
        <v>1219</v>
      </c>
      <c r="AE50" t="s">
        <v>1220</v>
      </c>
      <c r="AF50" t="s">
        <v>74</v>
      </c>
      <c r="AG50">
        <v>51</v>
      </c>
      <c r="AH50">
        <v>0</v>
      </c>
      <c r="AI50">
        <v>0</v>
      </c>
      <c r="AJ50">
        <v>1</v>
      </c>
      <c r="AK50">
        <v>4</v>
      </c>
      <c r="AL50" t="s">
        <v>1221</v>
      </c>
      <c r="AM50" t="s">
        <v>1222</v>
      </c>
      <c r="AN50" t="s">
        <v>1223</v>
      </c>
      <c r="AO50" t="s">
        <v>1224</v>
      </c>
      <c r="AP50" t="s">
        <v>1225</v>
      </c>
      <c r="AQ50" t="s">
        <v>74</v>
      </c>
      <c r="AR50" t="s">
        <v>1226</v>
      </c>
      <c r="AS50" t="s">
        <v>1227</v>
      </c>
      <c r="AT50" t="s">
        <v>802</v>
      </c>
      <c r="AU50">
        <v>2021</v>
      </c>
      <c r="AV50">
        <v>61</v>
      </c>
      <c r="AW50">
        <v>5</v>
      </c>
      <c r="AX50" t="s">
        <v>74</v>
      </c>
      <c r="AY50" t="s">
        <v>74</v>
      </c>
      <c r="AZ50" t="s">
        <v>74</v>
      </c>
      <c r="BA50" t="s">
        <v>74</v>
      </c>
      <c r="BB50">
        <v>1905</v>
      </c>
      <c r="BC50">
        <v>1916</v>
      </c>
      <c r="BD50" t="s">
        <v>74</v>
      </c>
      <c r="BE50" t="s">
        <v>1228</v>
      </c>
      <c r="BF50" t="str">
        <f>HYPERLINK("http://dx.doi.org/10.1093/icb/icab036","http://dx.doi.org/10.1093/icb/icab036")</f>
        <v>http://dx.doi.org/10.1093/icb/icab036</v>
      </c>
      <c r="BG50" t="s">
        <v>74</v>
      </c>
      <c r="BH50" t="s">
        <v>514</v>
      </c>
      <c r="BI50">
        <v>12</v>
      </c>
      <c r="BJ50" t="s">
        <v>1229</v>
      </c>
      <c r="BK50" t="s">
        <v>101</v>
      </c>
      <c r="BL50" t="s">
        <v>1229</v>
      </c>
      <c r="BM50" t="s">
        <v>1230</v>
      </c>
      <c r="BN50">
        <v>33905496</v>
      </c>
      <c r="BO50" t="s">
        <v>927</v>
      </c>
      <c r="BP50" t="s">
        <v>74</v>
      </c>
      <c r="BQ50" t="s">
        <v>74</v>
      </c>
      <c r="BR50" t="s">
        <v>104</v>
      </c>
      <c r="BS50" t="s">
        <v>1231</v>
      </c>
      <c r="BT50" t="str">
        <f>HYPERLINK("https%3A%2F%2Fwww.webofscience.com%2Fwos%2Fwoscc%2Ffull-record%2FWOS:000736126200028","View Full Record in Web of Science")</f>
        <v>View Full Record in Web of Science</v>
      </c>
    </row>
    <row r="51" spans="1:72" x14ac:dyDescent="0.15">
      <c r="A51" t="s">
        <v>72</v>
      </c>
      <c r="B51" t="s">
        <v>1232</v>
      </c>
      <c r="C51" t="s">
        <v>74</v>
      </c>
      <c r="D51" t="s">
        <v>74</v>
      </c>
      <c r="E51" t="s">
        <v>74</v>
      </c>
      <c r="F51" t="s">
        <v>1233</v>
      </c>
      <c r="G51" t="s">
        <v>74</v>
      </c>
      <c r="H51" t="s">
        <v>74</v>
      </c>
      <c r="I51" t="s">
        <v>1234</v>
      </c>
      <c r="J51" t="s">
        <v>1235</v>
      </c>
      <c r="K51" t="s">
        <v>74</v>
      </c>
      <c r="L51" t="s">
        <v>74</v>
      </c>
      <c r="M51" t="s">
        <v>78</v>
      </c>
      <c r="N51" t="s">
        <v>1074</v>
      </c>
      <c r="O51" t="s">
        <v>74</v>
      </c>
      <c r="P51" t="s">
        <v>74</v>
      </c>
      <c r="Q51" t="s">
        <v>74</v>
      </c>
      <c r="R51" t="s">
        <v>74</v>
      </c>
      <c r="S51" t="s">
        <v>74</v>
      </c>
      <c r="T51" t="s">
        <v>1236</v>
      </c>
      <c r="U51" t="s">
        <v>1237</v>
      </c>
      <c r="V51" t="s">
        <v>1238</v>
      </c>
      <c r="W51" t="s">
        <v>1239</v>
      </c>
      <c r="X51" t="s">
        <v>1240</v>
      </c>
      <c r="Y51" t="s">
        <v>1241</v>
      </c>
      <c r="Z51" t="s">
        <v>1242</v>
      </c>
      <c r="AA51" t="s">
        <v>1243</v>
      </c>
      <c r="AB51" t="s">
        <v>1244</v>
      </c>
      <c r="AC51" t="s">
        <v>1245</v>
      </c>
      <c r="AD51" t="s">
        <v>1246</v>
      </c>
      <c r="AE51" t="s">
        <v>1247</v>
      </c>
      <c r="AF51" t="s">
        <v>74</v>
      </c>
      <c r="AG51">
        <v>198</v>
      </c>
      <c r="AH51">
        <v>12</v>
      </c>
      <c r="AI51">
        <v>12</v>
      </c>
      <c r="AJ51">
        <v>4</v>
      </c>
      <c r="AK51">
        <v>32</v>
      </c>
      <c r="AL51" t="s">
        <v>166</v>
      </c>
      <c r="AM51" t="s">
        <v>192</v>
      </c>
      <c r="AN51" t="s">
        <v>193</v>
      </c>
      <c r="AO51" t="s">
        <v>1248</v>
      </c>
      <c r="AP51" t="s">
        <v>1249</v>
      </c>
      <c r="AQ51" t="s">
        <v>74</v>
      </c>
      <c r="AR51" t="s">
        <v>1235</v>
      </c>
      <c r="AS51" t="s">
        <v>1250</v>
      </c>
      <c r="AT51" t="s">
        <v>707</v>
      </c>
      <c r="AU51">
        <v>2021</v>
      </c>
      <c r="AV51">
        <v>848</v>
      </c>
      <c r="AW51">
        <v>11</v>
      </c>
      <c r="AX51" t="s">
        <v>74</v>
      </c>
      <c r="AY51" t="s">
        <v>74</v>
      </c>
      <c r="AZ51" t="s">
        <v>74</v>
      </c>
      <c r="BA51" t="s">
        <v>74</v>
      </c>
      <c r="BB51">
        <v>2627</v>
      </c>
      <c r="BC51">
        <v>2652</v>
      </c>
      <c r="BD51" t="s">
        <v>74</v>
      </c>
      <c r="BE51" t="s">
        <v>1251</v>
      </c>
      <c r="BF51" t="str">
        <f>HYPERLINK("http://dx.doi.org/10.1007/s10750-021-04588-9","http://dx.doi.org/10.1007/s10750-021-04588-9")</f>
        <v>http://dx.doi.org/10.1007/s10750-021-04588-9</v>
      </c>
      <c r="BG51" t="s">
        <v>74</v>
      </c>
      <c r="BH51" t="s">
        <v>514</v>
      </c>
      <c r="BI51">
        <v>26</v>
      </c>
      <c r="BJ51" t="s">
        <v>494</v>
      </c>
      <c r="BK51" t="s">
        <v>101</v>
      </c>
      <c r="BL51" t="s">
        <v>494</v>
      </c>
      <c r="BM51" t="s">
        <v>1252</v>
      </c>
      <c r="BN51" t="s">
        <v>74</v>
      </c>
      <c r="BO51" t="s">
        <v>74</v>
      </c>
      <c r="BP51" t="s">
        <v>74</v>
      </c>
      <c r="BQ51" t="s">
        <v>74</v>
      </c>
      <c r="BR51" t="s">
        <v>104</v>
      </c>
      <c r="BS51" t="s">
        <v>1253</v>
      </c>
      <c r="BT51" t="str">
        <f>HYPERLINK("https%3A%2F%2Fwww.webofscience.com%2Fwos%2Fwoscc%2Ffull-record%2FWOS:000644742300002","View Full Record in Web of Science")</f>
        <v>View Full Record in Web of Science</v>
      </c>
    </row>
    <row r="52" spans="1:72" x14ac:dyDescent="0.15">
      <c r="A52" t="s">
        <v>72</v>
      </c>
      <c r="B52" t="s">
        <v>1254</v>
      </c>
      <c r="C52" t="s">
        <v>74</v>
      </c>
      <c r="D52" t="s">
        <v>74</v>
      </c>
      <c r="E52" t="s">
        <v>74</v>
      </c>
      <c r="F52" t="s">
        <v>1255</v>
      </c>
      <c r="G52" t="s">
        <v>74</v>
      </c>
      <c r="H52" t="s">
        <v>74</v>
      </c>
      <c r="I52" t="s">
        <v>1256</v>
      </c>
      <c r="J52" t="s">
        <v>1257</v>
      </c>
      <c r="K52" t="s">
        <v>74</v>
      </c>
      <c r="L52" t="s">
        <v>74</v>
      </c>
      <c r="M52" t="s">
        <v>78</v>
      </c>
      <c r="N52" t="s">
        <v>79</v>
      </c>
      <c r="O52" t="s">
        <v>74</v>
      </c>
      <c r="P52" t="s">
        <v>74</v>
      </c>
      <c r="Q52" t="s">
        <v>74</v>
      </c>
      <c r="R52" t="s">
        <v>74</v>
      </c>
      <c r="S52" t="s">
        <v>74</v>
      </c>
      <c r="T52" t="s">
        <v>74</v>
      </c>
      <c r="U52" t="s">
        <v>1258</v>
      </c>
      <c r="V52" t="s">
        <v>1259</v>
      </c>
      <c r="W52" t="s">
        <v>1260</v>
      </c>
      <c r="X52" t="s">
        <v>1261</v>
      </c>
      <c r="Y52" t="s">
        <v>1262</v>
      </c>
      <c r="Z52" t="s">
        <v>1263</v>
      </c>
      <c r="AA52" t="s">
        <v>1264</v>
      </c>
      <c r="AB52" t="s">
        <v>1265</v>
      </c>
      <c r="AC52" t="s">
        <v>1266</v>
      </c>
      <c r="AD52" t="s">
        <v>1267</v>
      </c>
      <c r="AE52" t="s">
        <v>1268</v>
      </c>
      <c r="AF52" t="s">
        <v>74</v>
      </c>
      <c r="AG52">
        <v>66</v>
      </c>
      <c r="AH52">
        <v>6</v>
      </c>
      <c r="AI52">
        <v>6</v>
      </c>
      <c r="AJ52">
        <v>0</v>
      </c>
      <c r="AK52">
        <v>15</v>
      </c>
      <c r="AL52" t="s">
        <v>1269</v>
      </c>
      <c r="AM52" t="s">
        <v>1270</v>
      </c>
      <c r="AN52" t="s">
        <v>1271</v>
      </c>
      <c r="AO52" t="s">
        <v>1272</v>
      </c>
      <c r="AP52" t="s">
        <v>1273</v>
      </c>
      <c r="AQ52" t="s">
        <v>74</v>
      </c>
      <c r="AR52" t="s">
        <v>1257</v>
      </c>
      <c r="AS52" t="s">
        <v>1274</v>
      </c>
      <c r="AT52" t="s">
        <v>1275</v>
      </c>
      <c r="AU52">
        <v>2021</v>
      </c>
      <c r="AV52">
        <v>18</v>
      </c>
      <c r="AW52">
        <v>8</v>
      </c>
      <c r="AX52" t="s">
        <v>74</v>
      </c>
      <c r="AY52" t="s">
        <v>74</v>
      </c>
      <c r="AZ52" t="s">
        <v>74</v>
      </c>
      <c r="BA52" t="s">
        <v>74</v>
      </c>
      <c r="BB52">
        <v>2663</v>
      </c>
      <c r="BC52">
        <v>2678</v>
      </c>
      <c r="BD52" t="s">
        <v>74</v>
      </c>
      <c r="BE52" t="s">
        <v>1276</v>
      </c>
      <c r="BF52" t="str">
        <f>HYPERLINK("http://dx.doi.org/10.5194/bg-18-2663-2021","http://dx.doi.org/10.5194/bg-18-2663-2021")</f>
        <v>http://dx.doi.org/10.5194/bg-18-2663-2021</v>
      </c>
      <c r="BG52" t="s">
        <v>74</v>
      </c>
      <c r="BH52" t="s">
        <v>74</v>
      </c>
      <c r="BI52">
        <v>16</v>
      </c>
      <c r="BJ52" t="s">
        <v>1277</v>
      </c>
      <c r="BK52" t="s">
        <v>101</v>
      </c>
      <c r="BL52" t="s">
        <v>1278</v>
      </c>
      <c r="BM52" t="s">
        <v>1279</v>
      </c>
      <c r="BN52" t="s">
        <v>74</v>
      </c>
      <c r="BO52" t="s">
        <v>1280</v>
      </c>
      <c r="BP52" t="s">
        <v>74</v>
      </c>
      <c r="BQ52" t="s">
        <v>74</v>
      </c>
      <c r="BR52" t="s">
        <v>104</v>
      </c>
      <c r="BS52" t="s">
        <v>1281</v>
      </c>
      <c r="BT52" t="str">
        <f>HYPERLINK("https%3A%2F%2Fwww.webofscience.com%2Fwos%2Fwoscc%2Ffull-record%2FWOS:000646399500002","View Full Record in Web of Science")</f>
        <v>View Full Record in Web of Science</v>
      </c>
    </row>
    <row r="53" spans="1:72" x14ac:dyDescent="0.15">
      <c r="A53" t="s">
        <v>72</v>
      </c>
      <c r="B53" t="s">
        <v>1282</v>
      </c>
      <c r="C53" t="s">
        <v>74</v>
      </c>
      <c r="D53" t="s">
        <v>74</v>
      </c>
      <c r="E53" t="s">
        <v>74</v>
      </c>
      <c r="F53" t="s">
        <v>1283</v>
      </c>
      <c r="G53" t="s">
        <v>74</v>
      </c>
      <c r="H53" t="s">
        <v>74</v>
      </c>
      <c r="I53" t="s">
        <v>1284</v>
      </c>
      <c r="J53" t="s">
        <v>1285</v>
      </c>
      <c r="K53" t="s">
        <v>74</v>
      </c>
      <c r="L53" t="s">
        <v>74</v>
      </c>
      <c r="M53" t="s">
        <v>78</v>
      </c>
      <c r="N53" t="s">
        <v>79</v>
      </c>
      <c r="O53" t="s">
        <v>74</v>
      </c>
      <c r="P53" t="s">
        <v>74</v>
      </c>
      <c r="Q53" t="s">
        <v>74</v>
      </c>
      <c r="R53" t="s">
        <v>74</v>
      </c>
      <c r="S53" t="s">
        <v>74</v>
      </c>
      <c r="T53" t="s">
        <v>74</v>
      </c>
      <c r="U53" t="s">
        <v>1286</v>
      </c>
      <c r="V53" t="s">
        <v>1287</v>
      </c>
      <c r="W53" t="s">
        <v>1288</v>
      </c>
      <c r="X53" t="s">
        <v>1289</v>
      </c>
      <c r="Y53" t="s">
        <v>1290</v>
      </c>
      <c r="Z53" t="s">
        <v>1291</v>
      </c>
      <c r="AA53" t="s">
        <v>74</v>
      </c>
      <c r="AB53" t="s">
        <v>1292</v>
      </c>
      <c r="AC53" t="s">
        <v>1293</v>
      </c>
      <c r="AD53" t="s">
        <v>1294</v>
      </c>
      <c r="AE53" t="s">
        <v>1295</v>
      </c>
      <c r="AF53" t="s">
        <v>74</v>
      </c>
      <c r="AG53">
        <v>50</v>
      </c>
      <c r="AH53">
        <v>5</v>
      </c>
      <c r="AI53">
        <v>7</v>
      </c>
      <c r="AJ53">
        <v>0</v>
      </c>
      <c r="AK53">
        <v>12</v>
      </c>
      <c r="AL53" t="s">
        <v>166</v>
      </c>
      <c r="AM53" t="s">
        <v>167</v>
      </c>
      <c r="AN53" t="s">
        <v>168</v>
      </c>
      <c r="AO53" t="s">
        <v>1296</v>
      </c>
      <c r="AP53" t="s">
        <v>1297</v>
      </c>
      <c r="AQ53" t="s">
        <v>74</v>
      </c>
      <c r="AR53" t="s">
        <v>1298</v>
      </c>
      <c r="AS53" t="s">
        <v>1299</v>
      </c>
      <c r="AT53" t="s">
        <v>707</v>
      </c>
      <c r="AU53">
        <v>2021</v>
      </c>
      <c r="AV53">
        <v>78</v>
      </c>
      <c r="AW53">
        <v>6</v>
      </c>
      <c r="AX53" t="s">
        <v>74</v>
      </c>
      <c r="AY53" t="s">
        <v>74</v>
      </c>
      <c r="AZ53" t="s">
        <v>74</v>
      </c>
      <c r="BA53" t="s">
        <v>74</v>
      </c>
      <c r="BB53">
        <v>2332</v>
      </c>
      <c r="BC53">
        <v>2344</v>
      </c>
      <c r="BD53" t="s">
        <v>74</v>
      </c>
      <c r="BE53" t="s">
        <v>1300</v>
      </c>
      <c r="BF53" t="str">
        <f>HYPERLINK("http://dx.doi.org/10.1007/s00284-021-02492-y","http://dx.doi.org/10.1007/s00284-021-02492-y")</f>
        <v>http://dx.doi.org/10.1007/s00284-021-02492-y</v>
      </c>
      <c r="BG53" t="s">
        <v>74</v>
      </c>
      <c r="BH53" t="s">
        <v>514</v>
      </c>
      <c r="BI53">
        <v>13</v>
      </c>
      <c r="BJ53" t="s">
        <v>396</v>
      </c>
      <c r="BK53" t="s">
        <v>101</v>
      </c>
      <c r="BL53" t="s">
        <v>396</v>
      </c>
      <c r="BM53" t="s">
        <v>1301</v>
      </c>
      <c r="BN53">
        <v>33904974</v>
      </c>
      <c r="BO53" t="s">
        <v>74</v>
      </c>
      <c r="BP53" t="s">
        <v>74</v>
      </c>
      <c r="BQ53" t="s">
        <v>74</v>
      </c>
      <c r="BR53" t="s">
        <v>104</v>
      </c>
      <c r="BS53" t="s">
        <v>1302</v>
      </c>
      <c r="BT53" t="str">
        <f>HYPERLINK("https%3A%2F%2Fwww.webofscience.com%2Fwos%2Fwoscc%2Ffull-record%2FWOS:000644835300002","View Full Record in Web of Science")</f>
        <v>View Full Record in Web of Science</v>
      </c>
    </row>
    <row r="54" spans="1:72" x14ac:dyDescent="0.15">
      <c r="A54" t="s">
        <v>72</v>
      </c>
      <c r="B54" t="s">
        <v>1303</v>
      </c>
      <c r="C54" t="s">
        <v>74</v>
      </c>
      <c r="D54" t="s">
        <v>74</v>
      </c>
      <c r="E54" t="s">
        <v>74</v>
      </c>
      <c r="F54" t="s">
        <v>1304</v>
      </c>
      <c r="G54" t="s">
        <v>74</v>
      </c>
      <c r="H54" t="s">
        <v>74</v>
      </c>
      <c r="I54" t="s">
        <v>1305</v>
      </c>
      <c r="J54" t="s">
        <v>1100</v>
      </c>
      <c r="K54" t="s">
        <v>74</v>
      </c>
      <c r="L54" t="s">
        <v>74</v>
      </c>
      <c r="M54" t="s">
        <v>78</v>
      </c>
      <c r="N54" t="s">
        <v>79</v>
      </c>
      <c r="O54" t="s">
        <v>74</v>
      </c>
      <c r="P54" t="s">
        <v>74</v>
      </c>
      <c r="Q54" t="s">
        <v>74</v>
      </c>
      <c r="R54" t="s">
        <v>74</v>
      </c>
      <c r="S54" t="s">
        <v>74</v>
      </c>
      <c r="T54" t="s">
        <v>1306</v>
      </c>
      <c r="U54" t="s">
        <v>74</v>
      </c>
      <c r="V54" t="s">
        <v>1307</v>
      </c>
      <c r="W54" t="s">
        <v>1308</v>
      </c>
      <c r="X54" t="s">
        <v>1309</v>
      </c>
      <c r="Y54" t="s">
        <v>1310</v>
      </c>
      <c r="Z54" t="s">
        <v>1311</v>
      </c>
      <c r="AA54" t="s">
        <v>1312</v>
      </c>
      <c r="AB54" t="s">
        <v>1313</v>
      </c>
      <c r="AC54" t="s">
        <v>1314</v>
      </c>
      <c r="AD54" t="s">
        <v>1315</v>
      </c>
      <c r="AE54" t="s">
        <v>1316</v>
      </c>
      <c r="AF54" t="s">
        <v>74</v>
      </c>
      <c r="AG54">
        <v>48</v>
      </c>
      <c r="AH54">
        <v>12</v>
      </c>
      <c r="AI54">
        <v>13</v>
      </c>
      <c r="AJ54">
        <v>0</v>
      </c>
      <c r="AK54">
        <v>8</v>
      </c>
      <c r="AL54" t="s">
        <v>1112</v>
      </c>
      <c r="AM54" t="s">
        <v>1113</v>
      </c>
      <c r="AN54" t="s">
        <v>1114</v>
      </c>
      <c r="AO54" t="s">
        <v>1115</v>
      </c>
      <c r="AP54" t="s">
        <v>74</v>
      </c>
      <c r="AQ54" t="s">
        <v>74</v>
      </c>
      <c r="AR54" t="s">
        <v>1116</v>
      </c>
      <c r="AS54" t="s">
        <v>1117</v>
      </c>
      <c r="AT54" t="s">
        <v>1275</v>
      </c>
      <c r="AU54">
        <v>2021</v>
      </c>
      <c r="AV54">
        <v>11</v>
      </c>
      <c r="AW54" t="s">
        <v>74</v>
      </c>
      <c r="AX54" t="s">
        <v>74</v>
      </c>
      <c r="AY54" t="s">
        <v>74</v>
      </c>
      <c r="AZ54" t="s">
        <v>74</v>
      </c>
      <c r="BA54" t="s">
        <v>74</v>
      </c>
      <c r="BB54" t="s">
        <v>74</v>
      </c>
      <c r="BC54" t="s">
        <v>74</v>
      </c>
      <c r="BD54">
        <v>33</v>
      </c>
      <c r="BE54" t="s">
        <v>1317</v>
      </c>
      <c r="BF54" t="str">
        <f>HYPERLINK("http://dx.doi.org/10.1051/swsc/2021014","http://dx.doi.org/10.1051/swsc/2021014")</f>
        <v>http://dx.doi.org/10.1051/swsc/2021014</v>
      </c>
      <c r="BG54" t="s">
        <v>74</v>
      </c>
      <c r="BH54" t="s">
        <v>74</v>
      </c>
      <c r="BI54">
        <v>15</v>
      </c>
      <c r="BJ54" t="s">
        <v>1119</v>
      </c>
      <c r="BK54" t="s">
        <v>101</v>
      </c>
      <c r="BL54" t="s">
        <v>1119</v>
      </c>
      <c r="BM54" t="s">
        <v>1318</v>
      </c>
      <c r="BN54" t="s">
        <v>74</v>
      </c>
      <c r="BO54" t="s">
        <v>1319</v>
      </c>
      <c r="BP54" t="s">
        <v>74</v>
      </c>
      <c r="BQ54" t="s">
        <v>74</v>
      </c>
      <c r="BR54" t="s">
        <v>104</v>
      </c>
      <c r="BS54" t="s">
        <v>1320</v>
      </c>
      <c r="BT54" t="str">
        <f>HYPERLINK("https%3A%2F%2Fwww.webofscience.com%2Fwos%2Fwoscc%2Ffull-record%2FWOS:000644629700001","View Full Record in Web of Science")</f>
        <v>View Full Record in Web of Science</v>
      </c>
    </row>
    <row r="55" spans="1:72" x14ac:dyDescent="0.15">
      <c r="A55" t="s">
        <v>72</v>
      </c>
      <c r="B55" t="s">
        <v>1321</v>
      </c>
      <c r="C55" t="s">
        <v>74</v>
      </c>
      <c r="D55" t="s">
        <v>74</v>
      </c>
      <c r="E55" t="s">
        <v>74</v>
      </c>
      <c r="F55" t="s">
        <v>1322</v>
      </c>
      <c r="G55" t="s">
        <v>74</v>
      </c>
      <c r="H55" t="s">
        <v>74</v>
      </c>
      <c r="I55" t="s">
        <v>1323</v>
      </c>
      <c r="J55" t="s">
        <v>1324</v>
      </c>
      <c r="K55" t="s">
        <v>74</v>
      </c>
      <c r="L55" t="s">
        <v>74</v>
      </c>
      <c r="M55" t="s">
        <v>78</v>
      </c>
      <c r="N55" t="s">
        <v>79</v>
      </c>
      <c r="O55" t="s">
        <v>74</v>
      </c>
      <c r="P55" t="s">
        <v>74</v>
      </c>
      <c r="Q55" t="s">
        <v>74</v>
      </c>
      <c r="R55" t="s">
        <v>74</v>
      </c>
      <c r="S55" t="s">
        <v>74</v>
      </c>
      <c r="T55" t="s">
        <v>1325</v>
      </c>
      <c r="U55" t="s">
        <v>1326</v>
      </c>
      <c r="V55" t="s">
        <v>1327</v>
      </c>
      <c r="W55" t="s">
        <v>1328</v>
      </c>
      <c r="X55" t="s">
        <v>1329</v>
      </c>
      <c r="Y55" t="s">
        <v>1330</v>
      </c>
      <c r="Z55" t="s">
        <v>1331</v>
      </c>
      <c r="AA55" t="s">
        <v>74</v>
      </c>
      <c r="AB55" t="s">
        <v>1332</v>
      </c>
      <c r="AC55" t="s">
        <v>74</v>
      </c>
      <c r="AD55" t="s">
        <v>74</v>
      </c>
      <c r="AE55" t="s">
        <v>74</v>
      </c>
      <c r="AF55" t="s">
        <v>74</v>
      </c>
      <c r="AG55">
        <v>36</v>
      </c>
      <c r="AH55">
        <v>0</v>
      </c>
      <c r="AI55">
        <v>0</v>
      </c>
      <c r="AJ55">
        <v>0</v>
      </c>
      <c r="AK55">
        <v>1</v>
      </c>
      <c r="AL55" t="s">
        <v>1333</v>
      </c>
      <c r="AM55" t="s">
        <v>1334</v>
      </c>
      <c r="AN55" t="s">
        <v>1335</v>
      </c>
      <c r="AO55" t="s">
        <v>1336</v>
      </c>
      <c r="AP55" t="s">
        <v>1337</v>
      </c>
      <c r="AQ55" t="s">
        <v>74</v>
      </c>
      <c r="AR55" t="s">
        <v>1338</v>
      </c>
      <c r="AS55" t="s">
        <v>1339</v>
      </c>
      <c r="AT55" t="s">
        <v>1091</v>
      </c>
      <c r="AU55">
        <v>2023</v>
      </c>
      <c r="AV55">
        <v>31</v>
      </c>
      <c r="AW55">
        <v>1</v>
      </c>
      <c r="AX55" t="s">
        <v>74</v>
      </c>
      <c r="AY55" t="s">
        <v>74</v>
      </c>
      <c r="AZ55" t="s">
        <v>74</v>
      </c>
      <c r="BA55" t="s">
        <v>74</v>
      </c>
      <c r="BB55">
        <v>10</v>
      </c>
      <c r="BC55">
        <v>15</v>
      </c>
      <c r="BD55">
        <v>9677720211002204</v>
      </c>
      <c r="BE55" t="s">
        <v>1340</v>
      </c>
      <c r="BF55" t="str">
        <f>HYPERLINK("http://dx.doi.org/10.1177/09677720211002205","http://dx.doi.org/10.1177/09677720211002205")</f>
        <v>http://dx.doi.org/10.1177/09677720211002205</v>
      </c>
      <c r="BG55" t="s">
        <v>74</v>
      </c>
      <c r="BH55" t="s">
        <v>514</v>
      </c>
      <c r="BI55">
        <v>6</v>
      </c>
      <c r="BJ55" t="s">
        <v>1341</v>
      </c>
      <c r="BK55" t="s">
        <v>1342</v>
      </c>
      <c r="BL55" t="s">
        <v>1343</v>
      </c>
      <c r="BM55" t="s">
        <v>1344</v>
      </c>
      <c r="BN55">
        <v>33896263</v>
      </c>
      <c r="BO55" t="s">
        <v>74</v>
      </c>
      <c r="BP55" t="s">
        <v>74</v>
      </c>
      <c r="BQ55" t="s">
        <v>74</v>
      </c>
      <c r="BR55" t="s">
        <v>104</v>
      </c>
      <c r="BS55" t="s">
        <v>1345</v>
      </c>
      <c r="BT55" t="str">
        <f>HYPERLINK("https%3A%2F%2Fwww.webofscience.com%2Fwos%2Fwoscc%2Ffull-record%2FWOS:000644034100001","View Full Record in Web of Science")</f>
        <v>View Full Record in Web of Science</v>
      </c>
    </row>
    <row r="56" spans="1:72" x14ac:dyDescent="0.15">
      <c r="A56" t="s">
        <v>72</v>
      </c>
      <c r="B56" t="s">
        <v>1346</v>
      </c>
      <c r="C56" t="s">
        <v>74</v>
      </c>
      <c r="D56" t="s">
        <v>74</v>
      </c>
      <c r="E56" t="s">
        <v>74</v>
      </c>
      <c r="F56" t="s">
        <v>1347</v>
      </c>
      <c r="G56" t="s">
        <v>74</v>
      </c>
      <c r="H56" t="s">
        <v>74</v>
      </c>
      <c r="I56" t="s">
        <v>1348</v>
      </c>
      <c r="J56" t="s">
        <v>1349</v>
      </c>
      <c r="K56" t="s">
        <v>74</v>
      </c>
      <c r="L56" t="s">
        <v>74</v>
      </c>
      <c r="M56" t="s">
        <v>78</v>
      </c>
      <c r="N56" t="s">
        <v>79</v>
      </c>
      <c r="O56" t="s">
        <v>74</v>
      </c>
      <c r="P56" t="s">
        <v>74</v>
      </c>
      <c r="Q56" t="s">
        <v>74</v>
      </c>
      <c r="R56" t="s">
        <v>74</v>
      </c>
      <c r="S56" t="s">
        <v>74</v>
      </c>
      <c r="T56" t="s">
        <v>1350</v>
      </c>
      <c r="U56" t="s">
        <v>1351</v>
      </c>
      <c r="V56" t="s">
        <v>1352</v>
      </c>
      <c r="W56" t="s">
        <v>1353</v>
      </c>
      <c r="X56" t="s">
        <v>1354</v>
      </c>
      <c r="Y56" t="s">
        <v>1355</v>
      </c>
      <c r="Z56" t="s">
        <v>1356</v>
      </c>
      <c r="AA56" t="s">
        <v>1357</v>
      </c>
      <c r="AB56" t="s">
        <v>1358</v>
      </c>
      <c r="AC56" t="s">
        <v>1359</v>
      </c>
      <c r="AD56" t="s">
        <v>1359</v>
      </c>
      <c r="AE56" t="s">
        <v>1359</v>
      </c>
      <c r="AF56" t="s">
        <v>74</v>
      </c>
      <c r="AG56">
        <v>63</v>
      </c>
      <c r="AH56">
        <v>1</v>
      </c>
      <c r="AI56">
        <v>1</v>
      </c>
      <c r="AJ56">
        <v>1</v>
      </c>
      <c r="AK56">
        <v>6</v>
      </c>
      <c r="AL56" t="s">
        <v>795</v>
      </c>
      <c r="AM56" t="s">
        <v>796</v>
      </c>
      <c r="AN56" t="s">
        <v>797</v>
      </c>
      <c r="AO56" t="s">
        <v>1360</v>
      </c>
      <c r="AP56" t="s">
        <v>1361</v>
      </c>
      <c r="AQ56" t="s">
        <v>74</v>
      </c>
      <c r="AR56" t="s">
        <v>1362</v>
      </c>
      <c r="AS56" t="s">
        <v>1363</v>
      </c>
      <c r="AT56" t="s">
        <v>1364</v>
      </c>
      <c r="AU56">
        <v>2021</v>
      </c>
      <c r="AV56">
        <v>31</v>
      </c>
      <c r="AW56">
        <v>8</v>
      </c>
      <c r="AX56" t="s">
        <v>74</v>
      </c>
      <c r="AY56" t="s">
        <v>74</v>
      </c>
      <c r="AZ56" t="s">
        <v>74</v>
      </c>
      <c r="BA56" t="s">
        <v>74</v>
      </c>
      <c r="BB56">
        <v>2204</v>
      </c>
      <c r="BC56">
        <v>2216</v>
      </c>
      <c r="BD56" t="s">
        <v>74</v>
      </c>
      <c r="BE56" t="s">
        <v>1365</v>
      </c>
      <c r="BF56" t="str">
        <f>HYPERLINK("http://dx.doi.org/10.1002/aqc.3589","http://dx.doi.org/10.1002/aqc.3589")</f>
        <v>http://dx.doi.org/10.1002/aqc.3589</v>
      </c>
      <c r="BG56" t="s">
        <v>74</v>
      </c>
      <c r="BH56" t="s">
        <v>514</v>
      </c>
      <c r="BI56">
        <v>13</v>
      </c>
      <c r="BJ56" t="s">
        <v>1366</v>
      </c>
      <c r="BK56" t="s">
        <v>101</v>
      </c>
      <c r="BL56" t="s">
        <v>1367</v>
      </c>
      <c r="BM56" t="s">
        <v>1368</v>
      </c>
      <c r="BN56" t="s">
        <v>74</v>
      </c>
      <c r="BO56" t="s">
        <v>74</v>
      </c>
      <c r="BP56" t="s">
        <v>74</v>
      </c>
      <c r="BQ56" t="s">
        <v>74</v>
      </c>
      <c r="BR56" t="s">
        <v>104</v>
      </c>
      <c r="BS56" t="s">
        <v>1369</v>
      </c>
      <c r="BT56" t="str">
        <f>HYPERLINK("https%3A%2F%2Fwww.webofscience.com%2Fwos%2Fwoscc%2Ffull-record%2FWOS:000643154700001","View Full Record in Web of Science")</f>
        <v>View Full Record in Web of Science</v>
      </c>
    </row>
    <row r="57" spans="1:72" x14ac:dyDescent="0.15">
      <c r="A57" t="s">
        <v>72</v>
      </c>
      <c r="B57" t="s">
        <v>1370</v>
      </c>
      <c r="C57" t="s">
        <v>74</v>
      </c>
      <c r="D57" t="s">
        <v>74</v>
      </c>
      <c r="E57" t="s">
        <v>74</v>
      </c>
      <c r="F57" t="s">
        <v>1371</v>
      </c>
      <c r="G57" t="s">
        <v>74</v>
      </c>
      <c r="H57" t="s">
        <v>74</v>
      </c>
      <c r="I57" t="s">
        <v>1372</v>
      </c>
      <c r="J57" t="s">
        <v>1373</v>
      </c>
      <c r="K57" t="s">
        <v>74</v>
      </c>
      <c r="L57" t="s">
        <v>74</v>
      </c>
      <c r="M57" t="s">
        <v>78</v>
      </c>
      <c r="N57" t="s">
        <v>79</v>
      </c>
      <c r="O57" t="s">
        <v>74</v>
      </c>
      <c r="P57" t="s">
        <v>74</v>
      </c>
      <c r="Q57" t="s">
        <v>74</v>
      </c>
      <c r="R57" t="s">
        <v>74</v>
      </c>
      <c r="S57" t="s">
        <v>74</v>
      </c>
      <c r="T57" t="s">
        <v>74</v>
      </c>
      <c r="U57" t="s">
        <v>1374</v>
      </c>
      <c r="V57" t="s">
        <v>1375</v>
      </c>
      <c r="W57" t="s">
        <v>1376</v>
      </c>
      <c r="X57" t="s">
        <v>1377</v>
      </c>
      <c r="Y57" t="s">
        <v>1378</v>
      </c>
      <c r="Z57" t="s">
        <v>1379</v>
      </c>
      <c r="AA57" t="s">
        <v>1380</v>
      </c>
      <c r="AB57" t="s">
        <v>1381</v>
      </c>
      <c r="AC57" t="s">
        <v>1382</v>
      </c>
      <c r="AD57" t="s">
        <v>1383</v>
      </c>
      <c r="AE57" t="s">
        <v>1384</v>
      </c>
      <c r="AF57" t="s">
        <v>74</v>
      </c>
      <c r="AG57">
        <v>58</v>
      </c>
      <c r="AH57">
        <v>13</v>
      </c>
      <c r="AI57">
        <v>13</v>
      </c>
      <c r="AJ57">
        <v>0</v>
      </c>
      <c r="AK57">
        <v>13</v>
      </c>
      <c r="AL57" t="s">
        <v>795</v>
      </c>
      <c r="AM57" t="s">
        <v>796</v>
      </c>
      <c r="AN57" t="s">
        <v>797</v>
      </c>
      <c r="AO57" t="s">
        <v>1385</v>
      </c>
      <c r="AP57" t="s">
        <v>1386</v>
      </c>
      <c r="AQ57" t="s">
        <v>74</v>
      </c>
      <c r="AR57" t="s">
        <v>1387</v>
      </c>
      <c r="AS57" t="s">
        <v>1388</v>
      </c>
      <c r="AT57" t="s">
        <v>707</v>
      </c>
      <c r="AU57">
        <v>2021</v>
      </c>
      <c r="AV57">
        <v>66</v>
      </c>
      <c r="AW57">
        <v>6</v>
      </c>
      <c r="AX57" t="s">
        <v>74</v>
      </c>
      <c r="AY57" t="s">
        <v>74</v>
      </c>
      <c r="AZ57" t="s">
        <v>74</v>
      </c>
      <c r="BA57" t="s">
        <v>74</v>
      </c>
      <c r="BB57">
        <v>2547</v>
      </c>
      <c r="BC57">
        <v>2562</v>
      </c>
      <c r="BD57" t="s">
        <v>74</v>
      </c>
      <c r="BE57" t="s">
        <v>1389</v>
      </c>
      <c r="BF57" t="str">
        <f>HYPERLINK("http://dx.doi.org/10.1002/lno.11772","http://dx.doi.org/10.1002/lno.11772")</f>
        <v>http://dx.doi.org/10.1002/lno.11772</v>
      </c>
      <c r="BG57" t="s">
        <v>74</v>
      </c>
      <c r="BH57" t="s">
        <v>514</v>
      </c>
      <c r="BI57">
        <v>16</v>
      </c>
      <c r="BJ57" t="s">
        <v>1390</v>
      </c>
      <c r="BK57" t="s">
        <v>101</v>
      </c>
      <c r="BL57" t="s">
        <v>1391</v>
      </c>
      <c r="BM57" t="s">
        <v>1392</v>
      </c>
      <c r="BN57" t="s">
        <v>74</v>
      </c>
      <c r="BO57" t="s">
        <v>148</v>
      </c>
      <c r="BP57" t="s">
        <v>74</v>
      </c>
      <c r="BQ57" t="s">
        <v>74</v>
      </c>
      <c r="BR57" t="s">
        <v>104</v>
      </c>
      <c r="BS57" t="s">
        <v>1393</v>
      </c>
      <c r="BT57" t="str">
        <f>HYPERLINK("https%3A%2F%2Fwww.webofscience.com%2Fwos%2Fwoscc%2Ffull-record%2FWOS:000643153100001","View Full Record in Web of Science")</f>
        <v>View Full Record in Web of Science</v>
      </c>
    </row>
    <row r="58" spans="1:72" x14ac:dyDescent="0.15">
      <c r="A58" t="s">
        <v>72</v>
      </c>
      <c r="B58" t="s">
        <v>1394</v>
      </c>
      <c r="C58" t="s">
        <v>74</v>
      </c>
      <c r="D58" t="s">
        <v>74</v>
      </c>
      <c r="E58" t="s">
        <v>74</v>
      </c>
      <c r="F58" t="s">
        <v>1395</v>
      </c>
      <c r="G58" t="s">
        <v>74</v>
      </c>
      <c r="H58" t="s">
        <v>74</v>
      </c>
      <c r="I58" t="s">
        <v>1396</v>
      </c>
      <c r="J58" t="s">
        <v>1397</v>
      </c>
      <c r="K58" t="s">
        <v>74</v>
      </c>
      <c r="L58" t="s">
        <v>74</v>
      </c>
      <c r="M58" t="s">
        <v>78</v>
      </c>
      <c r="N58" t="s">
        <v>79</v>
      </c>
      <c r="O58" t="s">
        <v>74</v>
      </c>
      <c r="P58" t="s">
        <v>74</v>
      </c>
      <c r="Q58" t="s">
        <v>74</v>
      </c>
      <c r="R58" t="s">
        <v>74</v>
      </c>
      <c r="S58" t="s">
        <v>74</v>
      </c>
      <c r="T58" t="s">
        <v>1398</v>
      </c>
      <c r="U58" t="s">
        <v>74</v>
      </c>
      <c r="V58" t="s">
        <v>1399</v>
      </c>
      <c r="W58" t="s">
        <v>1400</v>
      </c>
      <c r="X58" t="s">
        <v>1401</v>
      </c>
      <c r="Y58" t="s">
        <v>1402</v>
      </c>
      <c r="Z58" t="s">
        <v>1403</v>
      </c>
      <c r="AA58" t="s">
        <v>1404</v>
      </c>
      <c r="AB58" t="s">
        <v>1405</v>
      </c>
      <c r="AC58" t="s">
        <v>1406</v>
      </c>
      <c r="AD58" t="s">
        <v>511</v>
      </c>
      <c r="AE58" t="s">
        <v>1407</v>
      </c>
      <c r="AF58" t="s">
        <v>74</v>
      </c>
      <c r="AG58">
        <v>30</v>
      </c>
      <c r="AH58">
        <v>4</v>
      </c>
      <c r="AI58">
        <v>4</v>
      </c>
      <c r="AJ58">
        <v>1</v>
      </c>
      <c r="AK58">
        <v>10</v>
      </c>
      <c r="AL58" t="s">
        <v>1408</v>
      </c>
      <c r="AM58" t="s">
        <v>1409</v>
      </c>
      <c r="AN58" t="s">
        <v>1410</v>
      </c>
      <c r="AO58" t="s">
        <v>1411</v>
      </c>
      <c r="AP58" t="s">
        <v>1412</v>
      </c>
      <c r="AQ58" t="s">
        <v>74</v>
      </c>
      <c r="AR58" t="s">
        <v>1413</v>
      </c>
      <c r="AS58" t="s">
        <v>1414</v>
      </c>
      <c r="AT58" t="s">
        <v>1035</v>
      </c>
      <c r="AU58">
        <v>2021</v>
      </c>
      <c r="AV58">
        <v>38</v>
      </c>
      <c r="AW58">
        <v>7</v>
      </c>
      <c r="AX58" t="s">
        <v>74</v>
      </c>
      <c r="AY58" t="s">
        <v>74</v>
      </c>
      <c r="AZ58" t="s">
        <v>803</v>
      </c>
      <c r="BA58" t="s">
        <v>74</v>
      </c>
      <c r="BB58">
        <v>1197</v>
      </c>
      <c r="BC58">
        <v>1208</v>
      </c>
      <c r="BD58" t="s">
        <v>74</v>
      </c>
      <c r="BE58" t="s">
        <v>1415</v>
      </c>
      <c r="BF58" t="str">
        <f>HYPERLINK("http://dx.doi.org/10.1007/s00376-021-0243-7","http://dx.doi.org/10.1007/s00376-021-0243-7")</f>
        <v>http://dx.doi.org/10.1007/s00376-021-0243-7</v>
      </c>
      <c r="BG58" t="s">
        <v>74</v>
      </c>
      <c r="BH58" t="s">
        <v>514</v>
      </c>
      <c r="BI58">
        <v>12</v>
      </c>
      <c r="BJ58" t="s">
        <v>129</v>
      </c>
      <c r="BK58" t="s">
        <v>101</v>
      </c>
      <c r="BL58" t="s">
        <v>129</v>
      </c>
      <c r="BM58" t="s">
        <v>1416</v>
      </c>
      <c r="BN58" t="s">
        <v>74</v>
      </c>
      <c r="BO58" t="s">
        <v>74</v>
      </c>
      <c r="BP58" t="s">
        <v>74</v>
      </c>
      <c r="BQ58" t="s">
        <v>74</v>
      </c>
      <c r="BR58" t="s">
        <v>104</v>
      </c>
      <c r="BS58" t="s">
        <v>1417</v>
      </c>
      <c r="BT58" t="str">
        <f>HYPERLINK("https%3A%2F%2Fwww.webofscience.com%2Fwos%2Fwoscc%2Ffull-record%2FWOS:000643179200001","View Full Record in Web of Science")</f>
        <v>View Full Record in Web of Science</v>
      </c>
    </row>
    <row r="59" spans="1:72" x14ac:dyDescent="0.15">
      <c r="A59" t="s">
        <v>72</v>
      </c>
      <c r="B59" t="s">
        <v>1418</v>
      </c>
      <c r="C59" t="s">
        <v>74</v>
      </c>
      <c r="D59" t="s">
        <v>74</v>
      </c>
      <c r="E59" t="s">
        <v>74</v>
      </c>
      <c r="F59" t="s">
        <v>1419</v>
      </c>
      <c r="G59" t="s">
        <v>74</v>
      </c>
      <c r="H59" t="s">
        <v>74</v>
      </c>
      <c r="I59" t="s">
        <v>1420</v>
      </c>
      <c r="J59" t="s">
        <v>1421</v>
      </c>
      <c r="K59" t="s">
        <v>74</v>
      </c>
      <c r="L59" t="s">
        <v>74</v>
      </c>
      <c r="M59" t="s">
        <v>78</v>
      </c>
      <c r="N59" t="s">
        <v>79</v>
      </c>
      <c r="O59" t="s">
        <v>74</v>
      </c>
      <c r="P59" t="s">
        <v>74</v>
      </c>
      <c r="Q59" t="s">
        <v>74</v>
      </c>
      <c r="R59" t="s">
        <v>74</v>
      </c>
      <c r="S59" t="s">
        <v>74</v>
      </c>
      <c r="T59" t="s">
        <v>1422</v>
      </c>
      <c r="U59" t="s">
        <v>74</v>
      </c>
      <c r="V59" t="s">
        <v>1423</v>
      </c>
      <c r="W59" t="s">
        <v>1424</v>
      </c>
      <c r="X59" t="s">
        <v>1425</v>
      </c>
      <c r="Y59" t="s">
        <v>1426</v>
      </c>
      <c r="Z59" t="s">
        <v>1427</v>
      </c>
      <c r="AA59" t="s">
        <v>1428</v>
      </c>
      <c r="AB59" t="s">
        <v>1429</v>
      </c>
      <c r="AC59" t="s">
        <v>1430</v>
      </c>
      <c r="AD59" t="s">
        <v>1431</v>
      </c>
      <c r="AE59" t="s">
        <v>1432</v>
      </c>
      <c r="AF59" t="s">
        <v>74</v>
      </c>
      <c r="AG59">
        <v>27</v>
      </c>
      <c r="AH59">
        <v>6</v>
      </c>
      <c r="AI59">
        <v>6</v>
      </c>
      <c r="AJ59">
        <v>1</v>
      </c>
      <c r="AK59">
        <v>12</v>
      </c>
      <c r="AL59" t="s">
        <v>166</v>
      </c>
      <c r="AM59" t="s">
        <v>167</v>
      </c>
      <c r="AN59" t="s">
        <v>168</v>
      </c>
      <c r="AO59" t="s">
        <v>1433</v>
      </c>
      <c r="AP59" t="s">
        <v>1434</v>
      </c>
      <c r="AQ59" t="s">
        <v>74</v>
      </c>
      <c r="AR59" t="s">
        <v>1435</v>
      </c>
      <c r="AS59" t="s">
        <v>1436</v>
      </c>
      <c r="AT59" t="s">
        <v>707</v>
      </c>
      <c r="AU59">
        <v>2021</v>
      </c>
      <c r="AV59">
        <v>44</v>
      </c>
      <c r="AW59">
        <v>6</v>
      </c>
      <c r="AX59" t="s">
        <v>74</v>
      </c>
      <c r="AY59" t="s">
        <v>74</v>
      </c>
      <c r="AZ59" t="s">
        <v>74</v>
      </c>
      <c r="BA59" t="s">
        <v>74</v>
      </c>
      <c r="BB59">
        <v>1203</v>
      </c>
      <c r="BC59">
        <v>1208</v>
      </c>
      <c r="BD59" t="s">
        <v>74</v>
      </c>
      <c r="BE59" t="s">
        <v>1437</v>
      </c>
      <c r="BF59" t="str">
        <f>HYPERLINK("http://dx.doi.org/10.1007/s00300-021-02865-w","http://dx.doi.org/10.1007/s00300-021-02865-w")</f>
        <v>http://dx.doi.org/10.1007/s00300-021-02865-w</v>
      </c>
      <c r="BG59" t="s">
        <v>74</v>
      </c>
      <c r="BH59" t="s">
        <v>514</v>
      </c>
      <c r="BI59">
        <v>6</v>
      </c>
      <c r="BJ59" t="s">
        <v>1438</v>
      </c>
      <c r="BK59" t="s">
        <v>101</v>
      </c>
      <c r="BL59" t="s">
        <v>1439</v>
      </c>
      <c r="BM59" t="s">
        <v>1440</v>
      </c>
      <c r="BN59" t="s">
        <v>74</v>
      </c>
      <c r="BO59" t="s">
        <v>74</v>
      </c>
      <c r="BP59" t="s">
        <v>74</v>
      </c>
      <c r="BQ59" t="s">
        <v>74</v>
      </c>
      <c r="BR59" t="s">
        <v>104</v>
      </c>
      <c r="BS59" t="s">
        <v>1441</v>
      </c>
      <c r="BT59" t="str">
        <f>HYPERLINK("https%3A%2F%2Fwww.webofscience.com%2Fwos%2Fwoscc%2Ffull-record%2FWOS:000643170500001","View Full Record in Web of Science")</f>
        <v>View Full Record in Web of Science</v>
      </c>
    </row>
    <row r="60" spans="1:72" x14ac:dyDescent="0.15">
      <c r="A60" t="s">
        <v>72</v>
      </c>
      <c r="B60" t="s">
        <v>1442</v>
      </c>
      <c r="C60" t="s">
        <v>74</v>
      </c>
      <c r="D60" t="s">
        <v>74</v>
      </c>
      <c r="E60" t="s">
        <v>74</v>
      </c>
      <c r="F60" t="s">
        <v>1443</v>
      </c>
      <c r="G60" t="s">
        <v>74</v>
      </c>
      <c r="H60" t="s">
        <v>74</v>
      </c>
      <c r="I60" t="s">
        <v>1444</v>
      </c>
      <c r="J60" t="s">
        <v>1445</v>
      </c>
      <c r="K60" t="s">
        <v>74</v>
      </c>
      <c r="L60" t="s">
        <v>74</v>
      </c>
      <c r="M60" t="s">
        <v>78</v>
      </c>
      <c r="N60" t="s">
        <v>79</v>
      </c>
      <c r="O60" t="s">
        <v>74</v>
      </c>
      <c r="P60" t="s">
        <v>74</v>
      </c>
      <c r="Q60" t="s">
        <v>74</v>
      </c>
      <c r="R60" t="s">
        <v>74</v>
      </c>
      <c r="S60" t="s">
        <v>74</v>
      </c>
      <c r="T60" t="s">
        <v>1446</v>
      </c>
      <c r="U60" t="s">
        <v>1447</v>
      </c>
      <c r="V60" t="s">
        <v>1448</v>
      </c>
      <c r="W60" t="s">
        <v>1449</v>
      </c>
      <c r="X60" t="s">
        <v>1450</v>
      </c>
      <c r="Y60" t="s">
        <v>1451</v>
      </c>
      <c r="Z60" t="s">
        <v>1452</v>
      </c>
      <c r="AA60" t="s">
        <v>1453</v>
      </c>
      <c r="AB60" t="s">
        <v>1454</v>
      </c>
      <c r="AC60" t="s">
        <v>1455</v>
      </c>
      <c r="AD60" t="s">
        <v>1456</v>
      </c>
      <c r="AE60" t="s">
        <v>1457</v>
      </c>
      <c r="AF60" t="s">
        <v>74</v>
      </c>
      <c r="AG60">
        <v>102</v>
      </c>
      <c r="AH60">
        <v>17</v>
      </c>
      <c r="AI60">
        <v>19</v>
      </c>
      <c r="AJ60">
        <v>14</v>
      </c>
      <c r="AK60">
        <v>91</v>
      </c>
      <c r="AL60" t="s">
        <v>1058</v>
      </c>
      <c r="AM60" t="s">
        <v>891</v>
      </c>
      <c r="AN60" t="s">
        <v>1059</v>
      </c>
      <c r="AO60" t="s">
        <v>1458</v>
      </c>
      <c r="AP60" t="s">
        <v>1459</v>
      </c>
      <c r="AQ60" t="s">
        <v>74</v>
      </c>
      <c r="AR60" t="s">
        <v>1460</v>
      </c>
      <c r="AS60" t="s">
        <v>1461</v>
      </c>
      <c r="AT60" t="s">
        <v>1462</v>
      </c>
      <c r="AU60">
        <v>2021</v>
      </c>
      <c r="AV60">
        <v>154</v>
      </c>
      <c r="AW60" t="s">
        <v>74</v>
      </c>
      <c r="AX60" t="s">
        <v>74</v>
      </c>
      <c r="AY60" t="s">
        <v>74</v>
      </c>
      <c r="AZ60" t="s">
        <v>74</v>
      </c>
      <c r="BA60" t="s">
        <v>74</v>
      </c>
      <c r="BB60" t="s">
        <v>74</v>
      </c>
      <c r="BC60" t="s">
        <v>74</v>
      </c>
      <c r="BD60">
        <v>106575</v>
      </c>
      <c r="BE60" t="s">
        <v>1463</v>
      </c>
      <c r="BF60" t="str">
        <f>HYPERLINK("http://dx.doi.org/10.1016/j.envint.2021.106575","http://dx.doi.org/10.1016/j.envint.2021.106575")</f>
        <v>http://dx.doi.org/10.1016/j.envint.2021.106575</v>
      </c>
      <c r="BG60" t="s">
        <v>74</v>
      </c>
      <c r="BH60" t="s">
        <v>514</v>
      </c>
      <c r="BI60">
        <v>14</v>
      </c>
      <c r="BJ60" t="s">
        <v>224</v>
      </c>
      <c r="BK60" t="s">
        <v>101</v>
      </c>
      <c r="BL60" t="s">
        <v>225</v>
      </c>
      <c r="BM60" t="s">
        <v>1464</v>
      </c>
      <c r="BN60">
        <v>33901975</v>
      </c>
      <c r="BO60" t="s">
        <v>558</v>
      </c>
      <c r="BP60" t="s">
        <v>74</v>
      </c>
      <c r="BQ60" t="s">
        <v>74</v>
      </c>
      <c r="BR60" t="s">
        <v>104</v>
      </c>
      <c r="BS60" t="s">
        <v>1465</v>
      </c>
      <c r="BT60" t="str">
        <f>HYPERLINK("https%3A%2F%2Fwww.webofscience.com%2Fwos%2Fwoscc%2Ffull-record%2FWOS:000670068400011","View Full Record in Web of Science")</f>
        <v>View Full Record in Web of Science</v>
      </c>
    </row>
    <row r="61" spans="1:72" x14ac:dyDescent="0.15">
      <c r="A61" t="s">
        <v>72</v>
      </c>
      <c r="B61" t="s">
        <v>1466</v>
      </c>
      <c r="C61" t="s">
        <v>74</v>
      </c>
      <c r="D61" t="s">
        <v>74</v>
      </c>
      <c r="E61" t="s">
        <v>74</v>
      </c>
      <c r="F61" t="s">
        <v>1467</v>
      </c>
      <c r="G61" t="s">
        <v>74</v>
      </c>
      <c r="H61" t="s">
        <v>74</v>
      </c>
      <c r="I61" t="s">
        <v>1468</v>
      </c>
      <c r="J61" t="s">
        <v>1469</v>
      </c>
      <c r="K61" t="s">
        <v>74</v>
      </c>
      <c r="L61" t="s">
        <v>74</v>
      </c>
      <c r="M61" t="s">
        <v>78</v>
      </c>
      <c r="N61" t="s">
        <v>1074</v>
      </c>
      <c r="O61" t="s">
        <v>74</v>
      </c>
      <c r="P61" t="s">
        <v>74</v>
      </c>
      <c r="Q61" t="s">
        <v>74</v>
      </c>
      <c r="R61" t="s">
        <v>74</v>
      </c>
      <c r="S61" t="s">
        <v>74</v>
      </c>
      <c r="T61" t="s">
        <v>74</v>
      </c>
      <c r="U61" t="s">
        <v>1470</v>
      </c>
      <c r="V61" t="s">
        <v>1471</v>
      </c>
      <c r="W61" t="s">
        <v>1472</v>
      </c>
      <c r="X61" t="s">
        <v>1473</v>
      </c>
      <c r="Y61" t="s">
        <v>1474</v>
      </c>
      <c r="Z61" t="s">
        <v>1475</v>
      </c>
      <c r="AA61" t="s">
        <v>1476</v>
      </c>
      <c r="AB61" t="s">
        <v>1477</v>
      </c>
      <c r="AC61" t="s">
        <v>1478</v>
      </c>
      <c r="AD61" t="s">
        <v>1479</v>
      </c>
      <c r="AE61" t="s">
        <v>1480</v>
      </c>
      <c r="AF61" t="s">
        <v>74</v>
      </c>
      <c r="AG61">
        <v>125</v>
      </c>
      <c r="AH61">
        <v>189</v>
      </c>
      <c r="AI61">
        <v>192</v>
      </c>
      <c r="AJ61">
        <v>97</v>
      </c>
      <c r="AK61">
        <v>307</v>
      </c>
      <c r="AL61" t="s">
        <v>1481</v>
      </c>
      <c r="AM61" t="s">
        <v>1482</v>
      </c>
      <c r="AN61" t="s">
        <v>1483</v>
      </c>
      <c r="AO61" t="s">
        <v>1484</v>
      </c>
      <c r="AP61" t="s">
        <v>1485</v>
      </c>
      <c r="AQ61" t="s">
        <v>74</v>
      </c>
      <c r="AR61" t="s">
        <v>1469</v>
      </c>
      <c r="AS61" t="s">
        <v>1486</v>
      </c>
      <c r="AT61" t="s">
        <v>1487</v>
      </c>
      <c r="AU61">
        <v>2021</v>
      </c>
      <c r="AV61">
        <v>4</v>
      </c>
      <c r="AW61">
        <v>4</v>
      </c>
      <c r="AX61" t="s">
        <v>74</v>
      </c>
      <c r="AY61" t="s">
        <v>74</v>
      </c>
      <c r="AZ61" t="s">
        <v>74</v>
      </c>
      <c r="BA61" t="s">
        <v>74</v>
      </c>
      <c r="BB61">
        <v>489</v>
      </c>
      <c r="BC61">
        <v>501</v>
      </c>
      <c r="BD61" t="s">
        <v>74</v>
      </c>
      <c r="BE61" t="s">
        <v>1488</v>
      </c>
      <c r="BF61" t="str">
        <f>HYPERLINK("http://dx.doi.org/10.1016/j.oneear.2021.03.005","http://dx.doi.org/10.1016/j.oneear.2021.03.005")</f>
        <v>http://dx.doi.org/10.1016/j.oneear.2021.03.005</v>
      </c>
      <c r="BG61" t="s">
        <v>74</v>
      </c>
      <c r="BH61" t="s">
        <v>514</v>
      </c>
      <c r="BI61">
        <v>13</v>
      </c>
      <c r="BJ61" t="s">
        <v>1489</v>
      </c>
      <c r="BK61" t="s">
        <v>1038</v>
      </c>
      <c r="BL61" t="s">
        <v>1490</v>
      </c>
      <c r="BM61" t="s">
        <v>1491</v>
      </c>
      <c r="BN61" t="s">
        <v>74</v>
      </c>
      <c r="BO61" t="s">
        <v>1492</v>
      </c>
      <c r="BP61" t="s">
        <v>871</v>
      </c>
      <c r="BQ61" t="s">
        <v>872</v>
      </c>
      <c r="BR61" t="s">
        <v>104</v>
      </c>
      <c r="BS61" t="s">
        <v>1493</v>
      </c>
      <c r="BT61" t="str">
        <f>HYPERLINK("https%3A%2F%2Fwww.webofscience.com%2Fwos%2Fwoscc%2Ffull-record%2FWOS:000646480700008","View Full Record in Web of Science")</f>
        <v>View Full Record in Web of Science</v>
      </c>
    </row>
    <row r="62" spans="1:72" x14ac:dyDescent="0.15">
      <c r="A62" t="s">
        <v>72</v>
      </c>
      <c r="B62" t="s">
        <v>1494</v>
      </c>
      <c r="C62" t="s">
        <v>74</v>
      </c>
      <c r="D62" t="s">
        <v>74</v>
      </c>
      <c r="E62" t="s">
        <v>74</v>
      </c>
      <c r="F62" t="s">
        <v>1495</v>
      </c>
      <c r="G62" t="s">
        <v>74</v>
      </c>
      <c r="H62" t="s">
        <v>74</v>
      </c>
      <c r="I62" t="s">
        <v>1496</v>
      </c>
      <c r="J62" t="s">
        <v>1497</v>
      </c>
      <c r="K62" t="s">
        <v>74</v>
      </c>
      <c r="L62" t="s">
        <v>74</v>
      </c>
      <c r="M62" t="s">
        <v>78</v>
      </c>
      <c r="N62" t="s">
        <v>79</v>
      </c>
      <c r="O62" t="s">
        <v>74</v>
      </c>
      <c r="P62" t="s">
        <v>74</v>
      </c>
      <c r="Q62" t="s">
        <v>74</v>
      </c>
      <c r="R62" t="s">
        <v>74</v>
      </c>
      <c r="S62" t="s">
        <v>74</v>
      </c>
      <c r="T62" t="s">
        <v>1498</v>
      </c>
      <c r="U62" t="s">
        <v>1499</v>
      </c>
      <c r="V62" t="s">
        <v>1500</v>
      </c>
      <c r="W62" t="s">
        <v>1501</v>
      </c>
      <c r="X62" t="s">
        <v>1502</v>
      </c>
      <c r="Y62" t="s">
        <v>1503</v>
      </c>
      <c r="Z62" t="s">
        <v>1504</v>
      </c>
      <c r="AA62" t="s">
        <v>1505</v>
      </c>
      <c r="AB62" t="s">
        <v>1506</v>
      </c>
      <c r="AC62" t="s">
        <v>1507</v>
      </c>
      <c r="AD62" t="s">
        <v>1508</v>
      </c>
      <c r="AE62" t="s">
        <v>1509</v>
      </c>
      <c r="AF62" t="s">
        <v>74</v>
      </c>
      <c r="AG62">
        <v>151</v>
      </c>
      <c r="AH62">
        <v>8</v>
      </c>
      <c r="AI62">
        <v>8</v>
      </c>
      <c r="AJ62">
        <v>1</v>
      </c>
      <c r="AK62">
        <v>15</v>
      </c>
      <c r="AL62" t="s">
        <v>1058</v>
      </c>
      <c r="AM62" t="s">
        <v>891</v>
      </c>
      <c r="AN62" t="s">
        <v>1059</v>
      </c>
      <c r="AO62" t="s">
        <v>1510</v>
      </c>
      <c r="AP62" t="s">
        <v>1511</v>
      </c>
      <c r="AQ62" t="s">
        <v>74</v>
      </c>
      <c r="AR62" t="s">
        <v>1512</v>
      </c>
      <c r="AS62" t="s">
        <v>1513</v>
      </c>
      <c r="AT62" t="s">
        <v>707</v>
      </c>
      <c r="AU62">
        <v>2021</v>
      </c>
      <c r="AV62">
        <v>147</v>
      </c>
      <c r="AW62" t="s">
        <v>74</v>
      </c>
      <c r="AX62" t="s">
        <v>74</v>
      </c>
      <c r="AY62" t="s">
        <v>74</v>
      </c>
      <c r="AZ62" t="s">
        <v>74</v>
      </c>
      <c r="BA62" t="s">
        <v>74</v>
      </c>
      <c r="BB62" t="s">
        <v>74</v>
      </c>
      <c r="BC62" t="s">
        <v>74</v>
      </c>
      <c r="BD62">
        <v>104350</v>
      </c>
      <c r="BE62" t="s">
        <v>1514</v>
      </c>
      <c r="BF62" t="str">
        <f>HYPERLINK("http://dx.doi.org/10.1016/j.jsg.2021.104350","http://dx.doi.org/10.1016/j.jsg.2021.104350")</f>
        <v>http://dx.doi.org/10.1016/j.jsg.2021.104350</v>
      </c>
      <c r="BG62" t="s">
        <v>74</v>
      </c>
      <c r="BH62" t="s">
        <v>514</v>
      </c>
      <c r="BI62">
        <v>20</v>
      </c>
      <c r="BJ62" t="s">
        <v>100</v>
      </c>
      <c r="BK62" t="s">
        <v>101</v>
      </c>
      <c r="BL62" t="s">
        <v>102</v>
      </c>
      <c r="BM62" t="s">
        <v>1515</v>
      </c>
      <c r="BN62" t="s">
        <v>74</v>
      </c>
      <c r="BO62" t="s">
        <v>398</v>
      </c>
      <c r="BP62" t="s">
        <v>74</v>
      </c>
      <c r="BQ62" t="s">
        <v>74</v>
      </c>
      <c r="BR62" t="s">
        <v>104</v>
      </c>
      <c r="BS62" t="s">
        <v>1516</v>
      </c>
      <c r="BT62" t="str">
        <f>HYPERLINK("https%3A%2F%2Fwww.webofscience.com%2Fwos%2Fwoscc%2Ffull-record%2FWOS:000648520500001","View Full Record in Web of Science")</f>
        <v>View Full Record in Web of Science</v>
      </c>
    </row>
    <row r="63" spans="1:72" x14ac:dyDescent="0.15">
      <c r="A63" t="s">
        <v>72</v>
      </c>
      <c r="B63" t="s">
        <v>1517</v>
      </c>
      <c r="C63" t="s">
        <v>74</v>
      </c>
      <c r="D63" t="s">
        <v>74</v>
      </c>
      <c r="E63" t="s">
        <v>74</v>
      </c>
      <c r="F63" t="s">
        <v>1518</v>
      </c>
      <c r="G63" t="s">
        <v>74</v>
      </c>
      <c r="H63" t="s">
        <v>74</v>
      </c>
      <c r="I63" t="s">
        <v>1519</v>
      </c>
      <c r="J63" t="s">
        <v>1520</v>
      </c>
      <c r="K63" t="s">
        <v>74</v>
      </c>
      <c r="L63" t="s">
        <v>74</v>
      </c>
      <c r="M63" t="s">
        <v>78</v>
      </c>
      <c r="N63" t="s">
        <v>79</v>
      </c>
      <c r="O63" t="s">
        <v>74</v>
      </c>
      <c r="P63" t="s">
        <v>74</v>
      </c>
      <c r="Q63" t="s">
        <v>74</v>
      </c>
      <c r="R63" t="s">
        <v>74</v>
      </c>
      <c r="S63" t="s">
        <v>74</v>
      </c>
      <c r="T63" t="s">
        <v>1521</v>
      </c>
      <c r="U63" t="s">
        <v>1522</v>
      </c>
      <c r="V63" t="s">
        <v>1523</v>
      </c>
      <c r="W63" t="s">
        <v>1524</v>
      </c>
      <c r="X63" t="s">
        <v>1525</v>
      </c>
      <c r="Y63" t="s">
        <v>1526</v>
      </c>
      <c r="Z63" t="s">
        <v>1527</v>
      </c>
      <c r="AA63" t="s">
        <v>1528</v>
      </c>
      <c r="AB63" t="s">
        <v>1529</v>
      </c>
      <c r="AC63" t="s">
        <v>1530</v>
      </c>
      <c r="AD63" t="s">
        <v>1531</v>
      </c>
      <c r="AE63" t="s">
        <v>1532</v>
      </c>
      <c r="AF63" t="s">
        <v>74</v>
      </c>
      <c r="AG63">
        <v>58</v>
      </c>
      <c r="AH63">
        <v>5</v>
      </c>
      <c r="AI63">
        <v>5</v>
      </c>
      <c r="AJ63">
        <v>1</v>
      </c>
      <c r="AK63">
        <v>11</v>
      </c>
      <c r="AL63" t="s">
        <v>166</v>
      </c>
      <c r="AM63" t="s">
        <v>167</v>
      </c>
      <c r="AN63" t="s">
        <v>168</v>
      </c>
      <c r="AO63" t="s">
        <v>74</v>
      </c>
      <c r="AP63" t="s">
        <v>1533</v>
      </c>
      <c r="AQ63" t="s">
        <v>74</v>
      </c>
      <c r="AR63" t="s">
        <v>1534</v>
      </c>
      <c r="AS63" t="s">
        <v>1535</v>
      </c>
      <c r="AT63" t="s">
        <v>1487</v>
      </c>
      <c r="AU63">
        <v>2021</v>
      </c>
      <c r="AV63">
        <v>73</v>
      </c>
      <c r="AW63">
        <v>1</v>
      </c>
      <c r="AX63" t="s">
        <v>74</v>
      </c>
      <c r="AY63" t="s">
        <v>74</v>
      </c>
      <c r="AZ63" t="s">
        <v>74</v>
      </c>
      <c r="BA63" t="s">
        <v>74</v>
      </c>
      <c r="BB63" t="s">
        <v>74</v>
      </c>
      <c r="BC63" t="s">
        <v>74</v>
      </c>
      <c r="BD63">
        <v>99</v>
      </c>
      <c r="BE63" t="s">
        <v>1536</v>
      </c>
      <c r="BF63" t="str">
        <f>HYPERLINK("http://dx.doi.org/10.1186/s40623-021-01403-6","http://dx.doi.org/10.1186/s40623-021-01403-6")</f>
        <v>http://dx.doi.org/10.1186/s40623-021-01403-6</v>
      </c>
      <c r="BG63" t="s">
        <v>74</v>
      </c>
      <c r="BH63" t="s">
        <v>74</v>
      </c>
      <c r="BI63">
        <v>16</v>
      </c>
      <c r="BJ63" t="s">
        <v>100</v>
      </c>
      <c r="BK63" t="s">
        <v>101</v>
      </c>
      <c r="BL63" t="s">
        <v>102</v>
      </c>
      <c r="BM63" t="s">
        <v>1537</v>
      </c>
      <c r="BN63" t="s">
        <v>74</v>
      </c>
      <c r="BO63" t="s">
        <v>298</v>
      </c>
      <c r="BP63" t="s">
        <v>74</v>
      </c>
      <c r="BQ63" t="s">
        <v>74</v>
      </c>
      <c r="BR63" t="s">
        <v>104</v>
      </c>
      <c r="BS63" t="s">
        <v>1538</v>
      </c>
      <c r="BT63" t="str">
        <f>HYPERLINK("https%3A%2F%2Fwww.webofscience.com%2Fwos%2Fwoscc%2Ffull-record%2FWOS:000642905100001","View Full Record in Web of Science")</f>
        <v>View Full Record in Web of Science</v>
      </c>
    </row>
    <row r="64" spans="1:72" x14ac:dyDescent="0.15">
      <c r="A64" t="s">
        <v>72</v>
      </c>
      <c r="B64" t="s">
        <v>1539</v>
      </c>
      <c r="C64" t="s">
        <v>74</v>
      </c>
      <c r="D64" t="s">
        <v>74</v>
      </c>
      <c r="E64" t="s">
        <v>74</v>
      </c>
      <c r="F64" t="s">
        <v>1540</v>
      </c>
      <c r="G64" t="s">
        <v>74</v>
      </c>
      <c r="H64" t="s">
        <v>74</v>
      </c>
      <c r="I64" t="s">
        <v>1541</v>
      </c>
      <c r="J64" t="s">
        <v>1373</v>
      </c>
      <c r="K64" t="s">
        <v>74</v>
      </c>
      <c r="L64" t="s">
        <v>74</v>
      </c>
      <c r="M64" t="s">
        <v>78</v>
      </c>
      <c r="N64" t="s">
        <v>79</v>
      </c>
      <c r="O64" t="s">
        <v>74</v>
      </c>
      <c r="P64" t="s">
        <v>74</v>
      </c>
      <c r="Q64" t="s">
        <v>74</v>
      </c>
      <c r="R64" t="s">
        <v>74</v>
      </c>
      <c r="S64" t="s">
        <v>74</v>
      </c>
      <c r="T64" t="s">
        <v>74</v>
      </c>
      <c r="U64" t="s">
        <v>74</v>
      </c>
      <c r="V64" t="s">
        <v>1542</v>
      </c>
      <c r="W64" t="s">
        <v>1543</v>
      </c>
      <c r="X64" t="s">
        <v>1544</v>
      </c>
      <c r="Y64" t="s">
        <v>1545</v>
      </c>
      <c r="Z64" t="s">
        <v>1546</v>
      </c>
      <c r="AA64" t="s">
        <v>1547</v>
      </c>
      <c r="AB64" t="s">
        <v>1548</v>
      </c>
      <c r="AC64" t="s">
        <v>1549</v>
      </c>
      <c r="AD64" t="s">
        <v>1550</v>
      </c>
      <c r="AE64" t="s">
        <v>1551</v>
      </c>
      <c r="AF64" t="s">
        <v>74</v>
      </c>
      <c r="AG64">
        <v>68</v>
      </c>
      <c r="AH64">
        <v>15</v>
      </c>
      <c r="AI64">
        <v>16</v>
      </c>
      <c r="AJ64">
        <v>2</v>
      </c>
      <c r="AK64">
        <v>22</v>
      </c>
      <c r="AL64" t="s">
        <v>795</v>
      </c>
      <c r="AM64" t="s">
        <v>796</v>
      </c>
      <c r="AN64" t="s">
        <v>797</v>
      </c>
      <c r="AO64" t="s">
        <v>1385</v>
      </c>
      <c r="AP64" t="s">
        <v>1386</v>
      </c>
      <c r="AQ64" t="s">
        <v>74</v>
      </c>
      <c r="AR64" t="s">
        <v>1387</v>
      </c>
      <c r="AS64" t="s">
        <v>1388</v>
      </c>
      <c r="AT64" t="s">
        <v>707</v>
      </c>
      <c r="AU64">
        <v>2021</v>
      </c>
      <c r="AV64">
        <v>66</v>
      </c>
      <c r="AW64">
        <v>6</v>
      </c>
      <c r="AX64" t="s">
        <v>74</v>
      </c>
      <c r="AY64" t="s">
        <v>74</v>
      </c>
      <c r="AZ64" t="s">
        <v>74</v>
      </c>
      <c r="BA64" t="s">
        <v>74</v>
      </c>
      <c r="BB64">
        <v>2498</v>
      </c>
      <c r="BC64">
        <v>2508</v>
      </c>
      <c r="BD64" t="s">
        <v>74</v>
      </c>
      <c r="BE64" t="s">
        <v>1552</v>
      </c>
      <c r="BF64" t="str">
        <f>HYPERLINK("http://dx.doi.org/10.1002/lno.11768","http://dx.doi.org/10.1002/lno.11768")</f>
        <v>http://dx.doi.org/10.1002/lno.11768</v>
      </c>
      <c r="BG64" t="s">
        <v>74</v>
      </c>
      <c r="BH64" t="s">
        <v>514</v>
      </c>
      <c r="BI64">
        <v>11</v>
      </c>
      <c r="BJ64" t="s">
        <v>1390</v>
      </c>
      <c r="BK64" t="s">
        <v>101</v>
      </c>
      <c r="BL64" t="s">
        <v>1391</v>
      </c>
      <c r="BM64" t="s">
        <v>1392</v>
      </c>
      <c r="BN64" t="s">
        <v>74</v>
      </c>
      <c r="BO64" t="s">
        <v>74</v>
      </c>
      <c r="BP64" t="s">
        <v>74</v>
      </c>
      <c r="BQ64" t="s">
        <v>74</v>
      </c>
      <c r="BR64" t="s">
        <v>104</v>
      </c>
      <c r="BS64" t="s">
        <v>1553</v>
      </c>
      <c r="BT64" t="str">
        <f>HYPERLINK("https%3A%2F%2Fwww.webofscience.com%2Fwos%2Fwoscc%2Ffull-record%2FWOS:000642455200001","View Full Record in Web of Science")</f>
        <v>View Full Record in Web of Science</v>
      </c>
    </row>
    <row r="65" spans="1:72" x14ac:dyDescent="0.15">
      <c r="A65" t="s">
        <v>72</v>
      </c>
      <c r="B65" t="s">
        <v>1554</v>
      </c>
      <c r="C65" t="s">
        <v>74</v>
      </c>
      <c r="D65" t="s">
        <v>74</v>
      </c>
      <c r="E65" t="s">
        <v>74</v>
      </c>
      <c r="F65" t="s">
        <v>1555</v>
      </c>
      <c r="G65" t="s">
        <v>74</v>
      </c>
      <c r="H65" t="s">
        <v>74</v>
      </c>
      <c r="I65" t="s">
        <v>1556</v>
      </c>
      <c r="J65" t="s">
        <v>1557</v>
      </c>
      <c r="K65" t="s">
        <v>74</v>
      </c>
      <c r="L65" t="s">
        <v>74</v>
      </c>
      <c r="M65" t="s">
        <v>78</v>
      </c>
      <c r="N65" t="s">
        <v>79</v>
      </c>
      <c r="O65" t="s">
        <v>74</v>
      </c>
      <c r="P65" t="s">
        <v>74</v>
      </c>
      <c r="Q65" t="s">
        <v>74</v>
      </c>
      <c r="R65" t="s">
        <v>74</v>
      </c>
      <c r="S65" t="s">
        <v>74</v>
      </c>
      <c r="T65" t="s">
        <v>74</v>
      </c>
      <c r="U65" t="s">
        <v>1558</v>
      </c>
      <c r="V65" t="s">
        <v>1559</v>
      </c>
      <c r="W65" t="s">
        <v>1560</v>
      </c>
      <c r="X65" t="s">
        <v>1561</v>
      </c>
      <c r="Y65" t="s">
        <v>1562</v>
      </c>
      <c r="Z65" t="s">
        <v>1563</v>
      </c>
      <c r="AA65" t="s">
        <v>1564</v>
      </c>
      <c r="AB65" t="s">
        <v>1565</v>
      </c>
      <c r="AC65" t="s">
        <v>1566</v>
      </c>
      <c r="AD65" t="s">
        <v>1567</v>
      </c>
      <c r="AE65" t="s">
        <v>1568</v>
      </c>
      <c r="AF65" t="s">
        <v>74</v>
      </c>
      <c r="AG65">
        <v>23</v>
      </c>
      <c r="AH65">
        <v>7</v>
      </c>
      <c r="AI65">
        <v>8</v>
      </c>
      <c r="AJ65">
        <v>3</v>
      </c>
      <c r="AK65">
        <v>5</v>
      </c>
      <c r="AL65" t="s">
        <v>1481</v>
      </c>
      <c r="AM65" t="s">
        <v>1482</v>
      </c>
      <c r="AN65" t="s">
        <v>1483</v>
      </c>
      <c r="AO65" t="s">
        <v>74</v>
      </c>
      <c r="AP65" t="s">
        <v>1569</v>
      </c>
      <c r="AQ65" t="s">
        <v>74</v>
      </c>
      <c r="AR65" t="s">
        <v>1557</v>
      </c>
      <c r="AS65" t="s">
        <v>1570</v>
      </c>
      <c r="AT65" t="s">
        <v>1487</v>
      </c>
      <c r="AU65">
        <v>2021</v>
      </c>
      <c r="AV65">
        <v>24</v>
      </c>
      <c r="AW65">
        <v>4</v>
      </c>
      <c r="AX65" t="s">
        <v>74</v>
      </c>
      <c r="AY65" t="s">
        <v>74</v>
      </c>
      <c r="AZ65" t="s">
        <v>74</v>
      </c>
      <c r="BA65" t="s">
        <v>74</v>
      </c>
      <c r="BB65" t="s">
        <v>74</v>
      </c>
      <c r="BC65" t="s">
        <v>74</v>
      </c>
      <c r="BD65">
        <v>102221</v>
      </c>
      <c r="BE65" t="s">
        <v>1571</v>
      </c>
      <c r="BF65" t="str">
        <f>HYPERLINK("http://dx.doi.org/10.1016/j.isci.2021.102221","http://dx.doi.org/10.1016/j.isci.2021.102221")</f>
        <v>http://dx.doi.org/10.1016/j.isci.2021.102221</v>
      </c>
      <c r="BG65" t="s">
        <v>74</v>
      </c>
      <c r="BH65" t="s">
        <v>74</v>
      </c>
      <c r="BI65">
        <v>13</v>
      </c>
      <c r="BJ65" t="s">
        <v>555</v>
      </c>
      <c r="BK65" t="s">
        <v>101</v>
      </c>
      <c r="BL65" t="s">
        <v>556</v>
      </c>
      <c r="BM65" t="s">
        <v>1572</v>
      </c>
      <c r="BN65">
        <v>33997664</v>
      </c>
      <c r="BO65" t="s">
        <v>1573</v>
      </c>
      <c r="BP65" t="s">
        <v>74</v>
      </c>
      <c r="BQ65" t="s">
        <v>74</v>
      </c>
      <c r="BR65" t="s">
        <v>104</v>
      </c>
      <c r="BS65" t="s">
        <v>1574</v>
      </c>
      <c r="BT65" t="str">
        <f>HYPERLINK("https%3A%2F%2Fwww.webofscience.com%2Fwos%2Fwoscc%2Ffull-record%2FWOS:000930312000001","View Full Record in Web of Science")</f>
        <v>View Full Record in Web of Science</v>
      </c>
    </row>
    <row r="66" spans="1:72" x14ac:dyDescent="0.15">
      <c r="A66" t="s">
        <v>72</v>
      </c>
      <c r="B66" t="s">
        <v>1575</v>
      </c>
      <c r="C66" t="s">
        <v>74</v>
      </c>
      <c r="D66" t="s">
        <v>74</v>
      </c>
      <c r="E66" t="s">
        <v>74</v>
      </c>
      <c r="F66" t="s">
        <v>1576</v>
      </c>
      <c r="G66" t="s">
        <v>74</v>
      </c>
      <c r="H66" t="s">
        <v>74</v>
      </c>
      <c r="I66" t="s">
        <v>1577</v>
      </c>
      <c r="J66" t="s">
        <v>1578</v>
      </c>
      <c r="K66" t="s">
        <v>74</v>
      </c>
      <c r="L66" t="s">
        <v>74</v>
      </c>
      <c r="M66" t="s">
        <v>78</v>
      </c>
      <c r="N66" t="s">
        <v>79</v>
      </c>
      <c r="O66" t="s">
        <v>74</v>
      </c>
      <c r="P66" t="s">
        <v>74</v>
      </c>
      <c r="Q66" t="s">
        <v>74</v>
      </c>
      <c r="R66" t="s">
        <v>74</v>
      </c>
      <c r="S66" t="s">
        <v>74</v>
      </c>
      <c r="T66" t="s">
        <v>1579</v>
      </c>
      <c r="U66" t="s">
        <v>74</v>
      </c>
      <c r="V66" t="s">
        <v>1580</v>
      </c>
      <c r="W66" t="s">
        <v>1581</v>
      </c>
      <c r="X66" t="s">
        <v>1582</v>
      </c>
      <c r="Y66" t="s">
        <v>1583</v>
      </c>
      <c r="Z66" t="s">
        <v>1584</v>
      </c>
      <c r="AA66" t="s">
        <v>1585</v>
      </c>
      <c r="AB66" t="s">
        <v>1586</v>
      </c>
      <c r="AC66" t="s">
        <v>1587</v>
      </c>
      <c r="AD66" t="s">
        <v>1588</v>
      </c>
      <c r="AE66" t="s">
        <v>1589</v>
      </c>
      <c r="AF66" t="s">
        <v>74</v>
      </c>
      <c r="AG66">
        <v>70</v>
      </c>
      <c r="AH66">
        <v>5</v>
      </c>
      <c r="AI66">
        <v>5</v>
      </c>
      <c r="AJ66">
        <v>2</v>
      </c>
      <c r="AK66">
        <v>22</v>
      </c>
      <c r="AL66" t="s">
        <v>1590</v>
      </c>
      <c r="AM66" t="s">
        <v>1591</v>
      </c>
      <c r="AN66" t="s">
        <v>1592</v>
      </c>
      <c r="AO66" t="s">
        <v>1593</v>
      </c>
      <c r="AP66" t="s">
        <v>1594</v>
      </c>
      <c r="AQ66" t="s">
        <v>74</v>
      </c>
      <c r="AR66" t="s">
        <v>1595</v>
      </c>
      <c r="AS66" t="s">
        <v>1596</v>
      </c>
      <c r="AT66" t="s">
        <v>1597</v>
      </c>
      <c r="AU66">
        <v>2022</v>
      </c>
      <c r="AV66">
        <v>45</v>
      </c>
      <c r="AW66">
        <v>1</v>
      </c>
      <c r="AX66" t="s">
        <v>74</v>
      </c>
      <c r="AY66" t="s">
        <v>74</v>
      </c>
      <c r="AZ66" t="s">
        <v>74</v>
      </c>
      <c r="BA66" t="s">
        <v>74</v>
      </c>
      <c r="BB66">
        <v>37</v>
      </c>
      <c r="BC66">
        <v>57</v>
      </c>
      <c r="BD66" t="s">
        <v>74</v>
      </c>
      <c r="BE66" t="s">
        <v>1598</v>
      </c>
      <c r="BF66" t="str">
        <f>HYPERLINK("http://dx.doi.org/10.1080/1088937X.2021.1918787","http://dx.doi.org/10.1080/1088937X.2021.1918787")</f>
        <v>http://dx.doi.org/10.1080/1088937X.2021.1918787</v>
      </c>
      <c r="BG66" t="s">
        <v>74</v>
      </c>
      <c r="BH66" t="s">
        <v>514</v>
      </c>
      <c r="BI66">
        <v>21</v>
      </c>
      <c r="BJ66" t="s">
        <v>1599</v>
      </c>
      <c r="BK66" t="s">
        <v>342</v>
      </c>
      <c r="BL66" t="s">
        <v>1600</v>
      </c>
      <c r="BM66" t="s">
        <v>1601</v>
      </c>
      <c r="BN66" t="s">
        <v>74</v>
      </c>
      <c r="BO66" t="s">
        <v>712</v>
      </c>
      <c r="BP66" t="s">
        <v>74</v>
      </c>
      <c r="BQ66" t="s">
        <v>74</v>
      </c>
      <c r="BR66" t="s">
        <v>104</v>
      </c>
      <c r="BS66" t="s">
        <v>1602</v>
      </c>
      <c r="BT66" t="str">
        <f>HYPERLINK("https%3A%2F%2Fwww.webofscience.com%2Fwos%2Fwoscc%2Ffull-record%2FWOS:000644662300001","View Full Record in Web of Science")</f>
        <v>View Full Record in Web of Science</v>
      </c>
    </row>
    <row r="67" spans="1:72" x14ac:dyDescent="0.15">
      <c r="A67" t="s">
        <v>72</v>
      </c>
      <c r="B67" t="s">
        <v>1603</v>
      </c>
      <c r="C67" t="s">
        <v>74</v>
      </c>
      <c r="D67" t="s">
        <v>74</v>
      </c>
      <c r="E67" t="s">
        <v>74</v>
      </c>
      <c r="F67" t="s">
        <v>1604</v>
      </c>
      <c r="G67" t="s">
        <v>74</v>
      </c>
      <c r="H67" t="s">
        <v>74</v>
      </c>
      <c r="I67" t="s">
        <v>1605</v>
      </c>
      <c r="J67" t="s">
        <v>1606</v>
      </c>
      <c r="K67" t="s">
        <v>74</v>
      </c>
      <c r="L67" t="s">
        <v>74</v>
      </c>
      <c r="M67" t="s">
        <v>78</v>
      </c>
      <c r="N67" t="s">
        <v>79</v>
      </c>
      <c r="O67" t="s">
        <v>74</v>
      </c>
      <c r="P67" t="s">
        <v>74</v>
      </c>
      <c r="Q67" t="s">
        <v>74</v>
      </c>
      <c r="R67" t="s">
        <v>74</v>
      </c>
      <c r="S67" t="s">
        <v>74</v>
      </c>
      <c r="T67" t="s">
        <v>1607</v>
      </c>
      <c r="U67" t="s">
        <v>1608</v>
      </c>
      <c r="V67" t="s">
        <v>1609</v>
      </c>
      <c r="W67" t="s">
        <v>1610</v>
      </c>
      <c r="X67" t="s">
        <v>1611</v>
      </c>
      <c r="Y67" t="s">
        <v>1612</v>
      </c>
      <c r="Z67" t="s">
        <v>1613</v>
      </c>
      <c r="AA67" t="s">
        <v>74</v>
      </c>
      <c r="AB67" t="s">
        <v>1614</v>
      </c>
      <c r="AC67" t="s">
        <v>1615</v>
      </c>
      <c r="AD67" t="s">
        <v>1616</v>
      </c>
      <c r="AE67" t="s">
        <v>1617</v>
      </c>
      <c r="AF67" t="s">
        <v>74</v>
      </c>
      <c r="AG67">
        <v>74</v>
      </c>
      <c r="AH67">
        <v>1</v>
      </c>
      <c r="AI67">
        <v>1</v>
      </c>
      <c r="AJ67">
        <v>1</v>
      </c>
      <c r="AK67">
        <v>3</v>
      </c>
      <c r="AL67" t="s">
        <v>576</v>
      </c>
      <c r="AM67" t="s">
        <v>577</v>
      </c>
      <c r="AN67" t="s">
        <v>578</v>
      </c>
      <c r="AO67" t="s">
        <v>1618</v>
      </c>
      <c r="AP67" t="s">
        <v>74</v>
      </c>
      <c r="AQ67" t="s">
        <v>74</v>
      </c>
      <c r="AR67" t="s">
        <v>1619</v>
      </c>
      <c r="AS67" t="s">
        <v>1620</v>
      </c>
      <c r="AT67" t="s">
        <v>707</v>
      </c>
      <c r="AU67">
        <v>2021</v>
      </c>
      <c r="AV67">
        <v>37</v>
      </c>
      <c r="AW67" t="s">
        <v>74</v>
      </c>
      <c r="AX67" t="s">
        <v>74</v>
      </c>
      <c r="AY67" t="s">
        <v>74</v>
      </c>
      <c r="AZ67" t="s">
        <v>74</v>
      </c>
      <c r="BA67" t="s">
        <v>74</v>
      </c>
      <c r="BB67" t="s">
        <v>74</v>
      </c>
      <c r="BC67" t="s">
        <v>74</v>
      </c>
      <c r="BD67">
        <v>102976</v>
      </c>
      <c r="BE67" t="s">
        <v>1621</v>
      </c>
      <c r="BF67" t="str">
        <f>HYPERLINK("http://dx.doi.org/10.1016/j.jasrep.2021.102976","http://dx.doi.org/10.1016/j.jasrep.2021.102976")</f>
        <v>http://dx.doi.org/10.1016/j.jasrep.2021.102976</v>
      </c>
      <c r="BG67" t="s">
        <v>74</v>
      </c>
      <c r="BH67" t="s">
        <v>514</v>
      </c>
      <c r="BI67">
        <v>13</v>
      </c>
      <c r="BJ67" t="s">
        <v>1622</v>
      </c>
      <c r="BK67" t="s">
        <v>1342</v>
      </c>
      <c r="BL67" t="s">
        <v>1622</v>
      </c>
      <c r="BM67" t="s">
        <v>1623</v>
      </c>
      <c r="BN67" t="s">
        <v>74</v>
      </c>
      <c r="BO67" t="s">
        <v>227</v>
      </c>
      <c r="BP67" t="s">
        <v>74</v>
      </c>
      <c r="BQ67" t="s">
        <v>74</v>
      </c>
      <c r="BR67" t="s">
        <v>104</v>
      </c>
      <c r="BS67" t="s">
        <v>1624</v>
      </c>
      <c r="BT67" t="str">
        <f>HYPERLINK("https%3A%2F%2Fwww.webofscience.com%2Fwos%2Fwoscc%2Ffull-record%2FWOS:000670147200005","View Full Record in Web of Science")</f>
        <v>View Full Record in Web of Science</v>
      </c>
    </row>
    <row r="68" spans="1:72" x14ac:dyDescent="0.15">
      <c r="A68" t="s">
        <v>72</v>
      </c>
      <c r="B68" t="s">
        <v>1625</v>
      </c>
      <c r="C68" t="s">
        <v>74</v>
      </c>
      <c r="D68" t="s">
        <v>74</v>
      </c>
      <c r="E68" t="s">
        <v>74</v>
      </c>
      <c r="F68" t="s">
        <v>1626</v>
      </c>
      <c r="G68" t="s">
        <v>74</v>
      </c>
      <c r="H68" t="s">
        <v>74</v>
      </c>
      <c r="I68" t="s">
        <v>1627</v>
      </c>
      <c r="J68" t="s">
        <v>1628</v>
      </c>
      <c r="K68" t="s">
        <v>74</v>
      </c>
      <c r="L68" t="s">
        <v>74</v>
      </c>
      <c r="M68" t="s">
        <v>78</v>
      </c>
      <c r="N68" t="s">
        <v>79</v>
      </c>
      <c r="O68" t="s">
        <v>74</v>
      </c>
      <c r="P68" t="s">
        <v>74</v>
      </c>
      <c r="Q68" t="s">
        <v>74</v>
      </c>
      <c r="R68" t="s">
        <v>74</v>
      </c>
      <c r="S68" t="s">
        <v>74</v>
      </c>
      <c r="T68" t="s">
        <v>1629</v>
      </c>
      <c r="U68" t="s">
        <v>1630</v>
      </c>
      <c r="V68" t="s">
        <v>1631</v>
      </c>
      <c r="W68" t="s">
        <v>1632</v>
      </c>
      <c r="X68" t="s">
        <v>1633</v>
      </c>
      <c r="Y68" t="s">
        <v>1634</v>
      </c>
      <c r="Z68" t="s">
        <v>1635</v>
      </c>
      <c r="AA68" t="s">
        <v>1636</v>
      </c>
      <c r="AB68" t="s">
        <v>1637</v>
      </c>
      <c r="AC68" t="s">
        <v>1638</v>
      </c>
      <c r="AD68" t="s">
        <v>1639</v>
      </c>
      <c r="AE68" t="s">
        <v>1640</v>
      </c>
      <c r="AF68" t="s">
        <v>74</v>
      </c>
      <c r="AG68">
        <v>78</v>
      </c>
      <c r="AH68">
        <v>5</v>
      </c>
      <c r="AI68">
        <v>5</v>
      </c>
      <c r="AJ68">
        <v>0</v>
      </c>
      <c r="AK68">
        <v>16</v>
      </c>
      <c r="AL68" t="s">
        <v>1058</v>
      </c>
      <c r="AM68" t="s">
        <v>891</v>
      </c>
      <c r="AN68" t="s">
        <v>1059</v>
      </c>
      <c r="AO68" t="s">
        <v>1641</v>
      </c>
      <c r="AP68" t="s">
        <v>1642</v>
      </c>
      <c r="AQ68" t="s">
        <v>74</v>
      </c>
      <c r="AR68" t="s">
        <v>1643</v>
      </c>
      <c r="AS68" t="s">
        <v>1644</v>
      </c>
      <c r="AT68" t="s">
        <v>1035</v>
      </c>
      <c r="AU68">
        <v>2021</v>
      </c>
      <c r="AV68">
        <v>168</v>
      </c>
      <c r="AW68" t="s">
        <v>74</v>
      </c>
      <c r="AX68" t="s">
        <v>74</v>
      </c>
      <c r="AY68" t="s">
        <v>74</v>
      </c>
      <c r="AZ68" t="s">
        <v>74</v>
      </c>
      <c r="BA68" t="s">
        <v>74</v>
      </c>
      <c r="BB68" t="s">
        <v>74</v>
      </c>
      <c r="BC68" t="s">
        <v>74</v>
      </c>
      <c r="BD68">
        <v>112396</v>
      </c>
      <c r="BE68" t="s">
        <v>1645</v>
      </c>
      <c r="BF68" t="str">
        <f>HYPERLINK("http://dx.doi.org/10.1016/j.marpolbul.2021.112396","http://dx.doi.org/10.1016/j.marpolbul.2021.112396")</f>
        <v>http://dx.doi.org/10.1016/j.marpolbul.2021.112396</v>
      </c>
      <c r="BG68" t="s">
        <v>74</v>
      </c>
      <c r="BH68" t="s">
        <v>514</v>
      </c>
      <c r="BI68">
        <v>7</v>
      </c>
      <c r="BJ68" t="s">
        <v>1646</v>
      </c>
      <c r="BK68" t="s">
        <v>101</v>
      </c>
      <c r="BL68" t="s">
        <v>710</v>
      </c>
      <c r="BM68" t="s">
        <v>1647</v>
      </c>
      <c r="BN68">
        <v>33894588</v>
      </c>
      <c r="BO68" t="s">
        <v>74</v>
      </c>
      <c r="BP68" t="s">
        <v>74</v>
      </c>
      <c r="BQ68" t="s">
        <v>74</v>
      </c>
      <c r="BR68" t="s">
        <v>104</v>
      </c>
      <c r="BS68" t="s">
        <v>1648</v>
      </c>
      <c r="BT68" t="str">
        <f>HYPERLINK("https%3A%2F%2Fwww.webofscience.com%2Fwos%2Fwoscc%2Ffull-record%2FWOS:000661856600010","View Full Record in Web of Science")</f>
        <v>View Full Record in Web of Science</v>
      </c>
    </row>
    <row r="69" spans="1:72" x14ac:dyDescent="0.15">
      <c r="A69" t="s">
        <v>72</v>
      </c>
      <c r="B69" t="s">
        <v>1649</v>
      </c>
      <c r="C69" t="s">
        <v>74</v>
      </c>
      <c r="D69" t="s">
        <v>74</v>
      </c>
      <c r="E69" t="s">
        <v>74</v>
      </c>
      <c r="F69" t="s">
        <v>1650</v>
      </c>
      <c r="G69" t="s">
        <v>74</v>
      </c>
      <c r="H69" t="s">
        <v>74</v>
      </c>
      <c r="I69" t="s">
        <v>1651</v>
      </c>
      <c r="J69" t="s">
        <v>563</v>
      </c>
      <c r="K69" t="s">
        <v>74</v>
      </c>
      <c r="L69" t="s">
        <v>74</v>
      </c>
      <c r="M69" t="s">
        <v>78</v>
      </c>
      <c r="N69" t="s">
        <v>1074</v>
      </c>
      <c r="O69" t="s">
        <v>74</v>
      </c>
      <c r="P69" t="s">
        <v>74</v>
      </c>
      <c r="Q69" t="s">
        <v>74</v>
      </c>
      <c r="R69" t="s">
        <v>74</v>
      </c>
      <c r="S69" t="s">
        <v>74</v>
      </c>
      <c r="T69" t="s">
        <v>1652</v>
      </c>
      <c r="U69" t="s">
        <v>1653</v>
      </c>
      <c r="V69" t="s">
        <v>1654</v>
      </c>
      <c r="W69" t="s">
        <v>1655</v>
      </c>
      <c r="X69" t="s">
        <v>74</v>
      </c>
      <c r="Y69" t="s">
        <v>1656</v>
      </c>
      <c r="Z69" t="s">
        <v>1657</v>
      </c>
      <c r="AA69" t="s">
        <v>74</v>
      </c>
      <c r="AB69" t="s">
        <v>1658</v>
      </c>
      <c r="AC69" t="s">
        <v>74</v>
      </c>
      <c r="AD69" t="s">
        <v>74</v>
      </c>
      <c r="AE69" t="s">
        <v>74</v>
      </c>
      <c r="AF69" t="s">
        <v>74</v>
      </c>
      <c r="AG69">
        <v>94</v>
      </c>
      <c r="AH69">
        <v>74</v>
      </c>
      <c r="AI69">
        <v>80</v>
      </c>
      <c r="AJ69">
        <v>34</v>
      </c>
      <c r="AK69">
        <v>221</v>
      </c>
      <c r="AL69" t="s">
        <v>576</v>
      </c>
      <c r="AM69" t="s">
        <v>577</v>
      </c>
      <c r="AN69" t="s">
        <v>578</v>
      </c>
      <c r="AO69" t="s">
        <v>579</v>
      </c>
      <c r="AP69" t="s">
        <v>580</v>
      </c>
      <c r="AQ69" t="s">
        <v>74</v>
      </c>
      <c r="AR69" t="s">
        <v>581</v>
      </c>
      <c r="AS69" t="s">
        <v>582</v>
      </c>
      <c r="AT69" t="s">
        <v>1659</v>
      </c>
      <c r="AU69">
        <v>2021</v>
      </c>
      <c r="AV69">
        <v>784</v>
      </c>
      <c r="AW69" t="s">
        <v>74</v>
      </c>
      <c r="AX69" t="s">
        <v>74</v>
      </c>
      <c r="AY69" t="s">
        <v>74</v>
      </c>
      <c r="AZ69" t="s">
        <v>74</v>
      </c>
      <c r="BA69" t="s">
        <v>74</v>
      </c>
      <c r="BB69" t="s">
        <v>74</v>
      </c>
      <c r="BC69" t="s">
        <v>74</v>
      </c>
      <c r="BD69">
        <v>147149</v>
      </c>
      <c r="BE69" t="s">
        <v>1660</v>
      </c>
      <c r="BF69" t="str">
        <f>HYPERLINK("http://dx.doi.org/10.1016/j.scitotenv.2021.147149","http://dx.doi.org/10.1016/j.scitotenv.2021.147149")</f>
        <v>http://dx.doi.org/10.1016/j.scitotenv.2021.147149</v>
      </c>
      <c r="BG69" t="s">
        <v>74</v>
      </c>
      <c r="BH69" t="s">
        <v>514</v>
      </c>
      <c r="BI69">
        <v>9</v>
      </c>
      <c r="BJ69" t="s">
        <v>224</v>
      </c>
      <c r="BK69" t="s">
        <v>101</v>
      </c>
      <c r="BL69" t="s">
        <v>225</v>
      </c>
      <c r="BM69" t="s">
        <v>1661</v>
      </c>
      <c r="BN69">
        <v>33895505</v>
      </c>
      <c r="BO69" t="s">
        <v>74</v>
      </c>
      <c r="BP69" t="s">
        <v>74</v>
      </c>
      <c r="BQ69" t="s">
        <v>74</v>
      </c>
      <c r="BR69" t="s">
        <v>104</v>
      </c>
      <c r="BS69" t="s">
        <v>1662</v>
      </c>
      <c r="BT69" t="str">
        <f>HYPERLINK("https%3A%2F%2Fwww.webofscience.com%2Fwos%2Fwoscc%2Ffull-record%2FWOS:000657595400011","View Full Record in Web of Science")</f>
        <v>View Full Record in Web of Science</v>
      </c>
    </row>
    <row r="70" spans="1:72" x14ac:dyDescent="0.15">
      <c r="A70" t="s">
        <v>72</v>
      </c>
      <c r="B70" t="s">
        <v>1663</v>
      </c>
      <c r="C70" t="s">
        <v>74</v>
      </c>
      <c r="D70" t="s">
        <v>74</v>
      </c>
      <c r="E70" t="s">
        <v>74</v>
      </c>
      <c r="F70" t="s">
        <v>1664</v>
      </c>
      <c r="G70" t="s">
        <v>74</v>
      </c>
      <c r="H70" t="s">
        <v>74</v>
      </c>
      <c r="I70" t="s">
        <v>1665</v>
      </c>
      <c r="J70" t="s">
        <v>1666</v>
      </c>
      <c r="K70" t="s">
        <v>74</v>
      </c>
      <c r="L70" t="s">
        <v>74</v>
      </c>
      <c r="M70" t="s">
        <v>78</v>
      </c>
      <c r="N70" t="s">
        <v>79</v>
      </c>
      <c r="O70" t="s">
        <v>74</v>
      </c>
      <c r="P70" t="s">
        <v>74</v>
      </c>
      <c r="Q70" t="s">
        <v>74</v>
      </c>
      <c r="R70" t="s">
        <v>74</v>
      </c>
      <c r="S70" t="s">
        <v>74</v>
      </c>
      <c r="T70" t="s">
        <v>1667</v>
      </c>
      <c r="U70" t="s">
        <v>1668</v>
      </c>
      <c r="V70" t="s">
        <v>1669</v>
      </c>
      <c r="W70" t="s">
        <v>1670</v>
      </c>
      <c r="X70" t="s">
        <v>1671</v>
      </c>
      <c r="Y70" t="s">
        <v>1672</v>
      </c>
      <c r="Z70" t="s">
        <v>1673</v>
      </c>
      <c r="AA70" t="s">
        <v>1674</v>
      </c>
      <c r="AB70" t="s">
        <v>1675</v>
      </c>
      <c r="AC70" t="s">
        <v>1676</v>
      </c>
      <c r="AD70" t="s">
        <v>1677</v>
      </c>
      <c r="AE70" t="s">
        <v>1678</v>
      </c>
      <c r="AF70" t="s">
        <v>74</v>
      </c>
      <c r="AG70">
        <v>109</v>
      </c>
      <c r="AH70">
        <v>5</v>
      </c>
      <c r="AI70">
        <v>5</v>
      </c>
      <c r="AJ70">
        <v>1</v>
      </c>
      <c r="AK70">
        <v>10</v>
      </c>
      <c r="AL70" t="s">
        <v>1058</v>
      </c>
      <c r="AM70" t="s">
        <v>891</v>
      </c>
      <c r="AN70" t="s">
        <v>1059</v>
      </c>
      <c r="AO70" t="s">
        <v>1679</v>
      </c>
      <c r="AP70" t="s">
        <v>1680</v>
      </c>
      <c r="AQ70" t="s">
        <v>74</v>
      </c>
      <c r="AR70" t="s">
        <v>1681</v>
      </c>
      <c r="AS70" t="s">
        <v>1682</v>
      </c>
      <c r="AT70" t="s">
        <v>1683</v>
      </c>
      <c r="AU70">
        <v>2021</v>
      </c>
      <c r="AV70">
        <v>261</v>
      </c>
      <c r="AW70" t="s">
        <v>74</v>
      </c>
      <c r="AX70" t="s">
        <v>74</v>
      </c>
      <c r="AY70" t="s">
        <v>74</v>
      </c>
      <c r="AZ70" t="s">
        <v>74</v>
      </c>
      <c r="BA70" t="s">
        <v>74</v>
      </c>
      <c r="BB70" t="s">
        <v>74</v>
      </c>
      <c r="BC70" t="s">
        <v>74</v>
      </c>
      <c r="BD70">
        <v>106939</v>
      </c>
      <c r="BE70" t="s">
        <v>1684</v>
      </c>
      <c r="BF70" t="str">
        <f>HYPERLINK("http://dx.doi.org/10.1016/j.quascirev.2021.106939","http://dx.doi.org/10.1016/j.quascirev.2021.106939")</f>
        <v>http://dx.doi.org/10.1016/j.quascirev.2021.106939</v>
      </c>
      <c r="BG70" t="s">
        <v>74</v>
      </c>
      <c r="BH70" t="s">
        <v>514</v>
      </c>
      <c r="BI70">
        <v>15</v>
      </c>
      <c r="BJ70" t="s">
        <v>1685</v>
      </c>
      <c r="BK70" t="s">
        <v>101</v>
      </c>
      <c r="BL70" t="s">
        <v>1686</v>
      </c>
      <c r="BM70" t="s">
        <v>1687</v>
      </c>
      <c r="BN70" t="s">
        <v>74</v>
      </c>
      <c r="BO70" t="s">
        <v>712</v>
      </c>
      <c r="BP70" t="s">
        <v>74</v>
      </c>
      <c r="BQ70" t="s">
        <v>74</v>
      </c>
      <c r="BR70" t="s">
        <v>104</v>
      </c>
      <c r="BS70" t="s">
        <v>1688</v>
      </c>
      <c r="BT70" t="str">
        <f>HYPERLINK("https%3A%2F%2Fwww.webofscience.com%2Fwos%2Fwoscc%2Ffull-record%2FWOS:000652624400004","View Full Record in Web of Science")</f>
        <v>View Full Record in Web of Science</v>
      </c>
    </row>
    <row r="71" spans="1:72" x14ac:dyDescent="0.15">
      <c r="A71" t="s">
        <v>72</v>
      </c>
      <c r="B71" t="s">
        <v>1689</v>
      </c>
      <c r="C71" t="s">
        <v>74</v>
      </c>
      <c r="D71" t="s">
        <v>74</v>
      </c>
      <c r="E71" t="s">
        <v>74</v>
      </c>
      <c r="F71" t="s">
        <v>1690</v>
      </c>
      <c r="G71" t="s">
        <v>74</v>
      </c>
      <c r="H71" t="s">
        <v>74</v>
      </c>
      <c r="I71" t="s">
        <v>1691</v>
      </c>
      <c r="J71" t="s">
        <v>1692</v>
      </c>
      <c r="K71" t="s">
        <v>74</v>
      </c>
      <c r="L71" t="s">
        <v>74</v>
      </c>
      <c r="M71" t="s">
        <v>78</v>
      </c>
      <c r="N71" t="s">
        <v>79</v>
      </c>
      <c r="O71" t="s">
        <v>74</v>
      </c>
      <c r="P71" t="s">
        <v>74</v>
      </c>
      <c r="Q71" t="s">
        <v>74</v>
      </c>
      <c r="R71" t="s">
        <v>74</v>
      </c>
      <c r="S71" t="s">
        <v>74</v>
      </c>
      <c r="T71" t="s">
        <v>74</v>
      </c>
      <c r="U71" t="s">
        <v>1693</v>
      </c>
      <c r="V71" t="s">
        <v>1694</v>
      </c>
      <c r="W71" t="s">
        <v>1695</v>
      </c>
      <c r="X71" t="s">
        <v>1696</v>
      </c>
      <c r="Y71" t="s">
        <v>1697</v>
      </c>
      <c r="Z71" t="s">
        <v>1698</v>
      </c>
      <c r="AA71" t="s">
        <v>1699</v>
      </c>
      <c r="AB71" t="s">
        <v>1700</v>
      </c>
      <c r="AC71" t="s">
        <v>1701</v>
      </c>
      <c r="AD71" t="s">
        <v>1702</v>
      </c>
      <c r="AE71" t="s">
        <v>1703</v>
      </c>
      <c r="AF71" t="s">
        <v>74</v>
      </c>
      <c r="AG71">
        <v>125</v>
      </c>
      <c r="AH71">
        <v>36</v>
      </c>
      <c r="AI71">
        <v>38</v>
      </c>
      <c r="AJ71">
        <v>15</v>
      </c>
      <c r="AK71">
        <v>111</v>
      </c>
      <c r="AL71" t="s">
        <v>861</v>
      </c>
      <c r="AM71" t="s">
        <v>862</v>
      </c>
      <c r="AN71" t="s">
        <v>863</v>
      </c>
      <c r="AO71" t="s">
        <v>74</v>
      </c>
      <c r="AP71" t="s">
        <v>1704</v>
      </c>
      <c r="AQ71" t="s">
        <v>74</v>
      </c>
      <c r="AR71" t="s">
        <v>1705</v>
      </c>
      <c r="AS71" t="s">
        <v>1706</v>
      </c>
      <c r="AT71" t="s">
        <v>1707</v>
      </c>
      <c r="AU71">
        <v>2021</v>
      </c>
      <c r="AV71">
        <v>12</v>
      </c>
      <c r="AW71">
        <v>1</v>
      </c>
      <c r="AX71" t="s">
        <v>74</v>
      </c>
      <c r="AY71" t="s">
        <v>74</v>
      </c>
      <c r="AZ71" t="s">
        <v>74</v>
      </c>
      <c r="BA71" t="s">
        <v>74</v>
      </c>
      <c r="BB71" t="s">
        <v>74</v>
      </c>
      <c r="BC71" t="s">
        <v>74</v>
      </c>
      <c r="BD71">
        <v>2395</v>
      </c>
      <c r="BE71" t="s">
        <v>1708</v>
      </c>
      <c r="BF71" t="str">
        <f>HYPERLINK("http://dx.doi.org/10.1038/s41467-021-22604-3","http://dx.doi.org/10.1038/s41467-021-22604-3")</f>
        <v>http://dx.doi.org/10.1038/s41467-021-22604-3</v>
      </c>
      <c r="BG71" t="s">
        <v>74</v>
      </c>
      <c r="BH71" t="s">
        <v>74</v>
      </c>
      <c r="BI71">
        <v>13</v>
      </c>
      <c r="BJ71" t="s">
        <v>555</v>
      </c>
      <c r="BK71" t="s">
        <v>101</v>
      </c>
      <c r="BL71" t="s">
        <v>556</v>
      </c>
      <c r="BM71" t="s">
        <v>1709</v>
      </c>
      <c r="BN71">
        <v>33888695</v>
      </c>
      <c r="BO71" t="s">
        <v>558</v>
      </c>
      <c r="BP71" t="s">
        <v>74</v>
      </c>
      <c r="BQ71" t="s">
        <v>74</v>
      </c>
      <c r="BR71" t="s">
        <v>104</v>
      </c>
      <c r="BS71" t="s">
        <v>1710</v>
      </c>
      <c r="BT71" t="str">
        <f>HYPERLINK("https%3A%2F%2Fwww.webofscience.com%2Fwos%2Fwoscc%2Ffull-record%2FWOS:000642744500028","View Full Record in Web of Science")</f>
        <v>View Full Record in Web of Science</v>
      </c>
    </row>
    <row r="72" spans="1:72" x14ac:dyDescent="0.15">
      <c r="A72" t="s">
        <v>72</v>
      </c>
      <c r="B72" t="s">
        <v>1711</v>
      </c>
      <c r="C72" t="s">
        <v>74</v>
      </c>
      <c r="D72" t="s">
        <v>74</v>
      </c>
      <c r="E72" t="s">
        <v>74</v>
      </c>
      <c r="F72" t="s">
        <v>1712</v>
      </c>
      <c r="G72" t="s">
        <v>74</v>
      </c>
      <c r="H72" t="s">
        <v>74</v>
      </c>
      <c r="I72" t="s">
        <v>1713</v>
      </c>
      <c r="J72" t="s">
        <v>1714</v>
      </c>
      <c r="K72" t="s">
        <v>74</v>
      </c>
      <c r="L72" t="s">
        <v>74</v>
      </c>
      <c r="M72" t="s">
        <v>78</v>
      </c>
      <c r="N72" t="s">
        <v>79</v>
      </c>
      <c r="O72" t="s">
        <v>74</v>
      </c>
      <c r="P72" t="s">
        <v>74</v>
      </c>
      <c r="Q72" t="s">
        <v>74</v>
      </c>
      <c r="R72" t="s">
        <v>74</v>
      </c>
      <c r="S72" t="s">
        <v>74</v>
      </c>
      <c r="T72" t="s">
        <v>1715</v>
      </c>
      <c r="U72" t="s">
        <v>1716</v>
      </c>
      <c r="V72" t="s">
        <v>1717</v>
      </c>
      <c r="W72" t="s">
        <v>1718</v>
      </c>
      <c r="X72" t="s">
        <v>1719</v>
      </c>
      <c r="Y72" t="s">
        <v>1720</v>
      </c>
      <c r="Z72" t="s">
        <v>1721</v>
      </c>
      <c r="AA72" t="s">
        <v>1722</v>
      </c>
      <c r="AB72" t="s">
        <v>1723</v>
      </c>
      <c r="AC72" t="s">
        <v>1724</v>
      </c>
      <c r="AD72" t="s">
        <v>1724</v>
      </c>
      <c r="AE72" t="s">
        <v>1725</v>
      </c>
      <c r="AF72" t="s">
        <v>74</v>
      </c>
      <c r="AG72">
        <v>62</v>
      </c>
      <c r="AH72">
        <v>6</v>
      </c>
      <c r="AI72">
        <v>6</v>
      </c>
      <c r="AJ72">
        <v>6</v>
      </c>
      <c r="AK72">
        <v>17</v>
      </c>
      <c r="AL72" t="s">
        <v>576</v>
      </c>
      <c r="AM72" t="s">
        <v>577</v>
      </c>
      <c r="AN72" t="s">
        <v>578</v>
      </c>
      <c r="AO72" t="s">
        <v>1726</v>
      </c>
      <c r="AP72" t="s">
        <v>1727</v>
      </c>
      <c r="AQ72" t="s">
        <v>74</v>
      </c>
      <c r="AR72" t="s">
        <v>1714</v>
      </c>
      <c r="AS72" t="s">
        <v>1728</v>
      </c>
      <c r="AT72" t="s">
        <v>1364</v>
      </c>
      <c r="AU72">
        <v>2021</v>
      </c>
      <c r="AV72">
        <v>203</v>
      </c>
      <c r="AW72" t="s">
        <v>74</v>
      </c>
      <c r="AX72" t="s">
        <v>74</v>
      </c>
      <c r="AY72" t="s">
        <v>74</v>
      </c>
      <c r="AZ72" t="s">
        <v>74</v>
      </c>
      <c r="BA72" t="s">
        <v>74</v>
      </c>
      <c r="BB72" t="s">
        <v>74</v>
      </c>
      <c r="BC72" t="s">
        <v>74</v>
      </c>
      <c r="BD72">
        <v>105341</v>
      </c>
      <c r="BE72" t="s">
        <v>1729</v>
      </c>
      <c r="BF72" t="str">
        <f>HYPERLINK("http://dx.doi.org/10.1016/j.catena.2021.105341","http://dx.doi.org/10.1016/j.catena.2021.105341")</f>
        <v>http://dx.doi.org/10.1016/j.catena.2021.105341</v>
      </c>
      <c r="BG72" t="s">
        <v>74</v>
      </c>
      <c r="BH72" t="s">
        <v>514</v>
      </c>
      <c r="BI72">
        <v>11</v>
      </c>
      <c r="BJ72" t="s">
        <v>1730</v>
      </c>
      <c r="BK72" t="s">
        <v>101</v>
      </c>
      <c r="BL72" t="s">
        <v>1731</v>
      </c>
      <c r="BM72" t="s">
        <v>1732</v>
      </c>
      <c r="BN72" t="s">
        <v>74</v>
      </c>
      <c r="BO72" t="s">
        <v>74</v>
      </c>
      <c r="BP72" t="s">
        <v>74</v>
      </c>
      <c r="BQ72" t="s">
        <v>74</v>
      </c>
      <c r="BR72" t="s">
        <v>104</v>
      </c>
      <c r="BS72" t="s">
        <v>1733</v>
      </c>
      <c r="BT72" t="str">
        <f>HYPERLINK("https%3A%2F%2Fwww.webofscience.com%2Fwos%2Fwoscc%2Ffull-record%2FWOS:000654354000040","View Full Record in Web of Science")</f>
        <v>View Full Record in Web of Science</v>
      </c>
    </row>
    <row r="73" spans="1:72" x14ac:dyDescent="0.15">
      <c r="A73" t="s">
        <v>72</v>
      </c>
      <c r="B73" t="s">
        <v>1734</v>
      </c>
      <c r="C73" t="s">
        <v>74</v>
      </c>
      <c r="D73" t="s">
        <v>74</v>
      </c>
      <c r="E73" t="s">
        <v>74</v>
      </c>
      <c r="F73" t="s">
        <v>1735</v>
      </c>
      <c r="G73" t="s">
        <v>74</v>
      </c>
      <c r="H73" t="s">
        <v>74</v>
      </c>
      <c r="I73" t="s">
        <v>1736</v>
      </c>
      <c r="J73" t="s">
        <v>1737</v>
      </c>
      <c r="K73" t="s">
        <v>74</v>
      </c>
      <c r="L73" t="s">
        <v>74</v>
      </c>
      <c r="M73" t="s">
        <v>78</v>
      </c>
      <c r="N73" t="s">
        <v>79</v>
      </c>
      <c r="O73" t="s">
        <v>74</v>
      </c>
      <c r="P73" t="s">
        <v>74</v>
      </c>
      <c r="Q73" t="s">
        <v>74</v>
      </c>
      <c r="R73" t="s">
        <v>74</v>
      </c>
      <c r="S73" t="s">
        <v>74</v>
      </c>
      <c r="T73" t="s">
        <v>1738</v>
      </c>
      <c r="U73" t="s">
        <v>1739</v>
      </c>
      <c r="V73" t="s">
        <v>1740</v>
      </c>
      <c r="W73" t="s">
        <v>1741</v>
      </c>
      <c r="X73" t="s">
        <v>1742</v>
      </c>
      <c r="Y73" t="s">
        <v>1743</v>
      </c>
      <c r="Z73" t="s">
        <v>1744</v>
      </c>
      <c r="AA73" t="s">
        <v>1745</v>
      </c>
      <c r="AB73" t="s">
        <v>74</v>
      </c>
      <c r="AC73" t="s">
        <v>1746</v>
      </c>
      <c r="AD73" t="s">
        <v>1747</v>
      </c>
      <c r="AE73" t="s">
        <v>1748</v>
      </c>
      <c r="AF73" t="s">
        <v>74</v>
      </c>
      <c r="AG73">
        <v>64</v>
      </c>
      <c r="AH73">
        <v>9</v>
      </c>
      <c r="AI73">
        <v>9</v>
      </c>
      <c r="AJ73">
        <v>0</v>
      </c>
      <c r="AK73">
        <v>16</v>
      </c>
      <c r="AL73" t="s">
        <v>890</v>
      </c>
      <c r="AM73" t="s">
        <v>891</v>
      </c>
      <c r="AN73" t="s">
        <v>892</v>
      </c>
      <c r="AO73" t="s">
        <v>1749</v>
      </c>
      <c r="AP73" t="s">
        <v>1750</v>
      </c>
      <c r="AQ73" t="s">
        <v>74</v>
      </c>
      <c r="AR73" t="s">
        <v>1751</v>
      </c>
      <c r="AS73" t="s">
        <v>1752</v>
      </c>
      <c r="AT73" t="s">
        <v>1462</v>
      </c>
      <c r="AU73">
        <v>2021</v>
      </c>
      <c r="AV73">
        <v>180</v>
      </c>
      <c r="AW73" t="s">
        <v>74</v>
      </c>
      <c r="AX73" t="s">
        <v>74</v>
      </c>
      <c r="AY73" t="s">
        <v>74</v>
      </c>
      <c r="AZ73" t="s">
        <v>74</v>
      </c>
      <c r="BA73" t="s">
        <v>74</v>
      </c>
      <c r="BB73" t="s">
        <v>74</v>
      </c>
      <c r="BC73" t="s">
        <v>74</v>
      </c>
      <c r="BD73">
        <v>108107</v>
      </c>
      <c r="BE73" t="s">
        <v>1753</v>
      </c>
      <c r="BF73" t="str">
        <f>HYPERLINK("http://dx.doi.org/10.1016/j.apacoust.2021.108107","http://dx.doi.org/10.1016/j.apacoust.2021.108107")</f>
        <v>http://dx.doi.org/10.1016/j.apacoust.2021.108107</v>
      </c>
      <c r="BG73" t="s">
        <v>74</v>
      </c>
      <c r="BH73" t="s">
        <v>514</v>
      </c>
      <c r="BI73">
        <v>14</v>
      </c>
      <c r="BJ73" t="s">
        <v>1754</v>
      </c>
      <c r="BK73" t="s">
        <v>101</v>
      </c>
      <c r="BL73" t="s">
        <v>1754</v>
      </c>
      <c r="BM73" t="s">
        <v>1755</v>
      </c>
      <c r="BN73" t="s">
        <v>74</v>
      </c>
      <c r="BO73" t="s">
        <v>1756</v>
      </c>
      <c r="BP73" t="s">
        <v>74</v>
      </c>
      <c r="BQ73" t="s">
        <v>74</v>
      </c>
      <c r="BR73" t="s">
        <v>104</v>
      </c>
      <c r="BS73" t="s">
        <v>1757</v>
      </c>
      <c r="BT73" t="str">
        <f>HYPERLINK("https%3A%2F%2Fwww.webofscience.com%2Fwos%2Fwoscc%2Ffull-record%2FWOS:000655494800043","View Full Record in Web of Science")</f>
        <v>View Full Record in Web of Science</v>
      </c>
    </row>
    <row r="74" spans="1:72" x14ac:dyDescent="0.15">
      <c r="A74" t="s">
        <v>72</v>
      </c>
      <c r="B74" t="s">
        <v>1758</v>
      </c>
      <c r="C74" t="s">
        <v>74</v>
      </c>
      <c r="D74" t="s">
        <v>74</v>
      </c>
      <c r="E74" t="s">
        <v>74</v>
      </c>
      <c r="F74" t="s">
        <v>1759</v>
      </c>
      <c r="G74" t="s">
        <v>74</v>
      </c>
      <c r="H74" t="s">
        <v>74</v>
      </c>
      <c r="I74" t="s">
        <v>1760</v>
      </c>
      <c r="J74" t="s">
        <v>1761</v>
      </c>
      <c r="K74" t="s">
        <v>74</v>
      </c>
      <c r="L74" t="s">
        <v>74</v>
      </c>
      <c r="M74" t="s">
        <v>78</v>
      </c>
      <c r="N74" t="s">
        <v>79</v>
      </c>
      <c r="O74" t="s">
        <v>74</v>
      </c>
      <c r="P74" t="s">
        <v>74</v>
      </c>
      <c r="Q74" t="s">
        <v>74</v>
      </c>
      <c r="R74" t="s">
        <v>74</v>
      </c>
      <c r="S74" t="s">
        <v>74</v>
      </c>
      <c r="T74" t="s">
        <v>74</v>
      </c>
      <c r="U74" t="s">
        <v>1762</v>
      </c>
      <c r="V74" t="s">
        <v>1763</v>
      </c>
      <c r="W74" t="s">
        <v>1764</v>
      </c>
      <c r="X74" t="s">
        <v>1765</v>
      </c>
      <c r="Y74" t="s">
        <v>1766</v>
      </c>
      <c r="Z74" t="s">
        <v>1767</v>
      </c>
      <c r="AA74" t="s">
        <v>1768</v>
      </c>
      <c r="AB74" t="s">
        <v>1769</v>
      </c>
      <c r="AC74" t="s">
        <v>1770</v>
      </c>
      <c r="AD74" t="s">
        <v>1771</v>
      </c>
      <c r="AE74" t="s">
        <v>1772</v>
      </c>
      <c r="AF74" t="s">
        <v>74</v>
      </c>
      <c r="AG74">
        <v>99</v>
      </c>
      <c r="AH74">
        <v>9</v>
      </c>
      <c r="AI74">
        <v>11</v>
      </c>
      <c r="AJ74">
        <v>0</v>
      </c>
      <c r="AK74">
        <v>7</v>
      </c>
      <c r="AL74" t="s">
        <v>1269</v>
      </c>
      <c r="AM74" t="s">
        <v>1270</v>
      </c>
      <c r="AN74" t="s">
        <v>1271</v>
      </c>
      <c r="AO74" t="s">
        <v>1773</v>
      </c>
      <c r="AP74" t="s">
        <v>1774</v>
      </c>
      <c r="AQ74" t="s">
        <v>74</v>
      </c>
      <c r="AR74" t="s">
        <v>1761</v>
      </c>
      <c r="AS74" t="s">
        <v>1775</v>
      </c>
      <c r="AT74" t="s">
        <v>1776</v>
      </c>
      <c r="AU74">
        <v>2021</v>
      </c>
      <c r="AV74">
        <v>15</v>
      </c>
      <c r="AW74">
        <v>4</v>
      </c>
      <c r="AX74" t="s">
        <v>74</v>
      </c>
      <c r="AY74" t="s">
        <v>74</v>
      </c>
      <c r="AZ74" t="s">
        <v>74</v>
      </c>
      <c r="BA74" t="s">
        <v>74</v>
      </c>
      <c r="BB74">
        <v>1931</v>
      </c>
      <c r="BC74">
        <v>1953</v>
      </c>
      <c r="BD74" t="s">
        <v>74</v>
      </c>
      <c r="BE74" t="s">
        <v>1777</v>
      </c>
      <c r="BF74" t="str">
        <f>HYPERLINK("http://dx.doi.org/10.5194/tc-15-1931-2021","http://dx.doi.org/10.5194/tc-15-1931-2021")</f>
        <v>http://dx.doi.org/10.5194/tc-15-1931-2021</v>
      </c>
      <c r="BG74" t="s">
        <v>74</v>
      </c>
      <c r="BH74" t="s">
        <v>74</v>
      </c>
      <c r="BI74">
        <v>23</v>
      </c>
      <c r="BJ74" t="s">
        <v>1685</v>
      </c>
      <c r="BK74" t="s">
        <v>101</v>
      </c>
      <c r="BL74" t="s">
        <v>1686</v>
      </c>
      <c r="BM74" t="s">
        <v>1778</v>
      </c>
      <c r="BN74" t="s">
        <v>74</v>
      </c>
      <c r="BO74" t="s">
        <v>1779</v>
      </c>
      <c r="BP74" t="s">
        <v>74</v>
      </c>
      <c r="BQ74" t="s">
        <v>74</v>
      </c>
      <c r="BR74" t="s">
        <v>104</v>
      </c>
      <c r="BS74" t="s">
        <v>1780</v>
      </c>
      <c r="BT74" t="str">
        <f>HYPERLINK("https%3A%2F%2Fwww.webofscience.com%2Fwos%2Fwoscc%2Ffull-record%2FWOS:000643525100001","View Full Record in Web of Science")</f>
        <v>View Full Record in Web of Science</v>
      </c>
    </row>
    <row r="75" spans="1:72" x14ac:dyDescent="0.15">
      <c r="A75" t="s">
        <v>72</v>
      </c>
      <c r="B75" t="s">
        <v>1781</v>
      </c>
      <c r="C75" t="s">
        <v>74</v>
      </c>
      <c r="D75" t="s">
        <v>74</v>
      </c>
      <c r="E75" t="s">
        <v>74</v>
      </c>
      <c r="F75" t="s">
        <v>1782</v>
      </c>
      <c r="G75" t="s">
        <v>74</v>
      </c>
      <c r="H75" t="s">
        <v>74</v>
      </c>
      <c r="I75" t="s">
        <v>1783</v>
      </c>
      <c r="J75" t="s">
        <v>1421</v>
      </c>
      <c r="K75" t="s">
        <v>74</v>
      </c>
      <c r="L75" t="s">
        <v>74</v>
      </c>
      <c r="M75" t="s">
        <v>78</v>
      </c>
      <c r="N75" t="s">
        <v>79</v>
      </c>
      <c r="O75" t="s">
        <v>74</v>
      </c>
      <c r="P75" t="s">
        <v>74</v>
      </c>
      <c r="Q75" t="s">
        <v>74</v>
      </c>
      <c r="R75" t="s">
        <v>74</v>
      </c>
      <c r="S75" t="s">
        <v>74</v>
      </c>
      <c r="T75" t="s">
        <v>1784</v>
      </c>
      <c r="U75" t="s">
        <v>74</v>
      </c>
      <c r="V75" t="s">
        <v>1785</v>
      </c>
      <c r="W75" t="s">
        <v>1786</v>
      </c>
      <c r="X75" t="s">
        <v>1787</v>
      </c>
      <c r="Y75" t="s">
        <v>1788</v>
      </c>
      <c r="Z75" t="s">
        <v>1789</v>
      </c>
      <c r="AA75" t="s">
        <v>74</v>
      </c>
      <c r="AB75" t="s">
        <v>74</v>
      </c>
      <c r="AC75" t="s">
        <v>1790</v>
      </c>
      <c r="AD75" t="s">
        <v>1791</v>
      </c>
      <c r="AE75" t="s">
        <v>1792</v>
      </c>
      <c r="AF75" t="s">
        <v>74</v>
      </c>
      <c r="AG75">
        <v>34</v>
      </c>
      <c r="AH75">
        <v>3</v>
      </c>
      <c r="AI75">
        <v>3</v>
      </c>
      <c r="AJ75">
        <v>2</v>
      </c>
      <c r="AK75">
        <v>15</v>
      </c>
      <c r="AL75" t="s">
        <v>166</v>
      </c>
      <c r="AM75" t="s">
        <v>167</v>
      </c>
      <c r="AN75" t="s">
        <v>168</v>
      </c>
      <c r="AO75" t="s">
        <v>1433</v>
      </c>
      <c r="AP75" t="s">
        <v>1434</v>
      </c>
      <c r="AQ75" t="s">
        <v>74</v>
      </c>
      <c r="AR75" t="s">
        <v>1435</v>
      </c>
      <c r="AS75" t="s">
        <v>1436</v>
      </c>
      <c r="AT75" t="s">
        <v>707</v>
      </c>
      <c r="AU75">
        <v>2021</v>
      </c>
      <c r="AV75">
        <v>44</v>
      </c>
      <c r="AW75">
        <v>6</v>
      </c>
      <c r="AX75" t="s">
        <v>74</v>
      </c>
      <c r="AY75" t="s">
        <v>74</v>
      </c>
      <c r="AZ75" t="s">
        <v>74</v>
      </c>
      <c r="BA75" t="s">
        <v>74</v>
      </c>
      <c r="BB75">
        <v>1069</v>
      </c>
      <c r="BC75">
        <v>1081</v>
      </c>
      <c r="BD75" t="s">
        <v>74</v>
      </c>
      <c r="BE75" t="s">
        <v>1793</v>
      </c>
      <c r="BF75" t="str">
        <f>HYPERLINK("http://dx.doi.org/10.1007/s00300-021-02862-z","http://dx.doi.org/10.1007/s00300-021-02862-z")</f>
        <v>http://dx.doi.org/10.1007/s00300-021-02862-z</v>
      </c>
      <c r="BG75" t="s">
        <v>74</v>
      </c>
      <c r="BH75" t="s">
        <v>514</v>
      </c>
      <c r="BI75">
        <v>13</v>
      </c>
      <c r="BJ75" t="s">
        <v>1438</v>
      </c>
      <c r="BK75" t="s">
        <v>101</v>
      </c>
      <c r="BL75" t="s">
        <v>1439</v>
      </c>
      <c r="BM75" t="s">
        <v>1440</v>
      </c>
      <c r="BN75" t="s">
        <v>74</v>
      </c>
      <c r="BO75" t="s">
        <v>74</v>
      </c>
      <c r="BP75" t="s">
        <v>74</v>
      </c>
      <c r="BQ75" t="s">
        <v>74</v>
      </c>
      <c r="BR75" t="s">
        <v>104</v>
      </c>
      <c r="BS75" t="s">
        <v>1794</v>
      </c>
      <c r="BT75" t="str">
        <f>HYPERLINK("https%3A%2F%2Fwww.webofscience.com%2Fwos%2Fwoscc%2Ffull-record%2FWOS:000642055800001","View Full Record in Web of Science")</f>
        <v>View Full Record in Web of Science</v>
      </c>
    </row>
    <row r="76" spans="1:72" x14ac:dyDescent="0.15">
      <c r="A76" t="s">
        <v>72</v>
      </c>
      <c r="B76" t="s">
        <v>1795</v>
      </c>
      <c r="C76" t="s">
        <v>74</v>
      </c>
      <c r="D76" t="s">
        <v>74</v>
      </c>
      <c r="E76" t="s">
        <v>74</v>
      </c>
      <c r="F76" t="s">
        <v>1796</v>
      </c>
      <c r="G76" t="s">
        <v>74</v>
      </c>
      <c r="H76" t="s">
        <v>74</v>
      </c>
      <c r="I76" t="s">
        <v>1797</v>
      </c>
      <c r="J76" t="s">
        <v>1798</v>
      </c>
      <c r="K76" t="s">
        <v>74</v>
      </c>
      <c r="L76" t="s">
        <v>74</v>
      </c>
      <c r="M76" t="s">
        <v>78</v>
      </c>
      <c r="N76" t="s">
        <v>1799</v>
      </c>
      <c r="O76" t="s">
        <v>74</v>
      </c>
      <c r="P76" t="s">
        <v>74</v>
      </c>
      <c r="Q76" t="s">
        <v>74</v>
      </c>
      <c r="R76" t="s">
        <v>74</v>
      </c>
      <c r="S76" t="s">
        <v>74</v>
      </c>
      <c r="T76" t="s">
        <v>74</v>
      </c>
      <c r="U76" t="s">
        <v>74</v>
      </c>
      <c r="V76" t="s">
        <v>74</v>
      </c>
      <c r="W76" t="s">
        <v>1800</v>
      </c>
      <c r="X76" t="s">
        <v>1801</v>
      </c>
      <c r="Y76" t="s">
        <v>1802</v>
      </c>
      <c r="Z76" t="s">
        <v>1803</v>
      </c>
      <c r="AA76" t="s">
        <v>74</v>
      </c>
      <c r="AB76" t="s">
        <v>1804</v>
      </c>
      <c r="AC76" t="s">
        <v>74</v>
      </c>
      <c r="AD76" t="s">
        <v>74</v>
      </c>
      <c r="AE76" t="s">
        <v>74</v>
      </c>
      <c r="AF76" t="s">
        <v>74</v>
      </c>
      <c r="AG76">
        <v>0</v>
      </c>
      <c r="AH76">
        <v>8</v>
      </c>
      <c r="AI76">
        <v>8</v>
      </c>
      <c r="AJ76">
        <v>0</v>
      </c>
      <c r="AK76">
        <v>2</v>
      </c>
      <c r="AL76" t="s">
        <v>166</v>
      </c>
      <c r="AM76" t="s">
        <v>192</v>
      </c>
      <c r="AN76" t="s">
        <v>193</v>
      </c>
      <c r="AO76" t="s">
        <v>1805</v>
      </c>
      <c r="AP76" t="s">
        <v>1806</v>
      </c>
      <c r="AQ76" t="s">
        <v>74</v>
      </c>
      <c r="AR76" t="s">
        <v>1807</v>
      </c>
      <c r="AS76" t="s">
        <v>1808</v>
      </c>
      <c r="AT76" t="s">
        <v>1809</v>
      </c>
      <c r="AU76">
        <v>2022</v>
      </c>
      <c r="AV76">
        <v>32</v>
      </c>
      <c r="AW76">
        <v>1</v>
      </c>
      <c r="AX76" t="s">
        <v>74</v>
      </c>
      <c r="AY76" t="s">
        <v>74</v>
      </c>
      <c r="AZ76" t="s">
        <v>803</v>
      </c>
      <c r="BA76" t="s">
        <v>74</v>
      </c>
      <c r="BB76">
        <v>9</v>
      </c>
      <c r="BC76">
        <v>16</v>
      </c>
      <c r="BD76" t="s">
        <v>74</v>
      </c>
      <c r="BE76" t="s">
        <v>1810</v>
      </c>
      <c r="BF76" t="str">
        <f>HYPERLINK("http://dx.doi.org/10.1007/s11160-021-09655-x","http://dx.doi.org/10.1007/s11160-021-09655-x")</f>
        <v>http://dx.doi.org/10.1007/s11160-021-09655-x</v>
      </c>
      <c r="BG76" t="s">
        <v>74</v>
      </c>
      <c r="BH76" t="s">
        <v>514</v>
      </c>
      <c r="BI76">
        <v>8</v>
      </c>
      <c r="BJ76" t="s">
        <v>1811</v>
      </c>
      <c r="BK76" t="s">
        <v>101</v>
      </c>
      <c r="BL76" t="s">
        <v>1811</v>
      </c>
      <c r="BM76" t="s">
        <v>1812</v>
      </c>
      <c r="BN76" t="s">
        <v>74</v>
      </c>
      <c r="BO76" t="s">
        <v>148</v>
      </c>
      <c r="BP76" t="s">
        <v>74</v>
      </c>
      <c r="BQ76" t="s">
        <v>74</v>
      </c>
      <c r="BR76" t="s">
        <v>104</v>
      </c>
      <c r="BS76" t="s">
        <v>1813</v>
      </c>
      <c r="BT76" t="str">
        <f>HYPERLINK("https%3A%2F%2Fwww.webofscience.com%2Fwos%2Fwoscc%2Ffull-record%2FWOS:000641641500001","View Full Record in Web of Science")</f>
        <v>View Full Record in Web of Science</v>
      </c>
    </row>
    <row r="77" spans="1:72" x14ac:dyDescent="0.15">
      <c r="A77" t="s">
        <v>72</v>
      </c>
      <c r="B77" t="s">
        <v>1814</v>
      </c>
      <c r="C77" t="s">
        <v>74</v>
      </c>
      <c r="D77" t="s">
        <v>74</v>
      </c>
      <c r="E77" t="s">
        <v>74</v>
      </c>
      <c r="F77" t="s">
        <v>1815</v>
      </c>
      <c r="G77" t="s">
        <v>74</v>
      </c>
      <c r="H77" t="s">
        <v>74</v>
      </c>
      <c r="I77" t="s">
        <v>1816</v>
      </c>
      <c r="J77" t="s">
        <v>1421</v>
      </c>
      <c r="K77" t="s">
        <v>74</v>
      </c>
      <c r="L77" t="s">
        <v>74</v>
      </c>
      <c r="M77" t="s">
        <v>78</v>
      </c>
      <c r="N77" t="s">
        <v>79</v>
      </c>
      <c r="O77" t="s">
        <v>74</v>
      </c>
      <c r="P77" t="s">
        <v>74</v>
      </c>
      <c r="Q77" t="s">
        <v>74</v>
      </c>
      <c r="R77" t="s">
        <v>74</v>
      </c>
      <c r="S77" t="s">
        <v>74</v>
      </c>
      <c r="T77" t="s">
        <v>1817</v>
      </c>
      <c r="U77" t="s">
        <v>1818</v>
      </c>
      <c r="V77" t="s">
        <v>1819</v>
      </c>
      <c r="W77" t="s">
        <v>1820</v>
      </c>
      <c r="X77" t="s">
        <v>1289</v>
      </c>
      <c r="Y77" t="s">
        <v>1821</v>
      </c>
      <c r="Z77" t="s">
        <v>1822</v>
      </c>
      <c r="AA77" t="s">
        <v>1823</v>
      </c>
      <c r="AB77" t="s">
        <v>1824</v>
      </c>
      <c r="AC77" t="s">
        <v>1825</v>
      </c>
      <c r="AD77" t="s">
        <v>1826</v>
      </c>
      <c r="AE77" t="s">
        <v>1827</v>
      </c>
      <c r="AF77" t="s">
        <v>74</v>
      </c>
      <c r="AG77">
        <v>90</v>
      </c>
      <c r="AH77">
        <v>4</v>
      </c>
      <c r="AI77">
        <v>5</v>
      </c>
      <c r="AJ77">
        <v>0</v>
      </c>
      <c r="AK77">
        <v>5</v>
      </c>
      <c r="AL77" t="s">
        <v>166</v>
      </c>
      <c r="AM77" t="s">
        <v>167</v>
      </c>
      <c r="AN77" t="s">
        <v>168</v>
      </c>
      <c r="AO77" t="s">
        <v>1433</v>
      </c>
      <c r="AP77" t="s">
        <v>1434</v>
      </c>
      <c r="AQ77" t="s">
        <v>74</v>
      </c>
      <c r="AR77" t="s">
        <v>1435</v>
      </c>
      <c r="AS77" t="s">
        <v>1436</v>
      </c>
      <c r="AT77" t="s">
        <v>707</v>
      </c>
      <c r="AU77">
        <v>2021</v>
      </c>
      <c r="AV77">
        <v>44</v>
      </c>
      <c r="AW77">
        <v>6</v>
      </c>
      <c r="AX77" t="s">
        <v>74</v>
      </c>
      <c r="AY77" t="s">
        <v>74</v>
      </c>
      <c r="AZ77" t="s">
        <v>74</v>
      </c>
      <c r="BA77" t="s">
        <v>74</v>
      </c>
      <c r="BB77">
        <v>1055</v>
      </c>
      <c r="BC77">
        <v>1067</v>
      </c>
      <c r="BD77" t="s">
        <v>74</v>
      </c>
      <c r="BE77" t="s">
        <v>1828</v>
      </c>
      <c r="BF77" t="str">
        <f>HYPERLINK("http://dx.doi.org/10.1007/s00300-021-02852-1","http://dx.doi.org/10.1007/s00300-021-02852-1")</f>
        <v>http://dx.doi.org/10.1007/s00300-021-02852-1</v>
      </c>
      <c r="BG77" t="s">
        <v>74</v>
      </c>
      <c r="BH77" t="s">
        <v>514</v>
      </c>
      <c r="BI77">
        <v>13</v>
      </c>
      <c r="BJ77" t="s">
        <v>1438</v>
      </c>
      <c r="BK77" t="s">
        <v>101</v>
      </c>
      <c r="BL77" t="s">
        <v>1439</v>
      </c>
      <c r="BM77" t="s">
        <v>1440</v>
      </c>
      <c r="BN77" t="s">
        <v>74</v>
      </c>
      <c r="BO77" t="s">
        <v>74</v>
      </c>
      <c r="BP77" t="s">
        <v>74</v>
      </c>
      <c r="BQ77" t="s">
        <v>74</v>
      </c>
      <c r="BR77" t="s">
        <v>104</v>
      </c>
      <c r="BS77" t="s">
        <v>1829</v>
      </c>
      <c r="BT77" t="str">
        <f>HYPERLINK("https%3A%2F%2Fwww.webofscience.com%2Fwos%2Fwoscc%2Ffull-record%2FWOS:000642055800002","View Full Record in Web of Science")</f>
        <v>View Full Record in Web of Science</v>
      </c>
    </row>
    <row r="78" spans="1:72" x14ac:dyDescent="0.15">
      <c r="A78" t="s">
        <v>72</v>
      </c>
      <c r="B78" t="s">
        <v>1830</v>
      </c>
      <c r="C78" t="s">
        <v>74</v>
      </c>
      <c r="D78" t="s">
        <v>74</v>
      </c>
      <c r="E78" t="s">
        <v>74</v>
      </c>
      <c r="F78" t="s">
        <v>1831</v>
      </c>
      <c r="G78" t="s">
        <v>74</v>
      </c>
      <c r="H78" t="s">
        <v>74</v>
      </c>
      <c r="I78" t="s">
        <v>1832</v>
      </c>
      <c r="J78" t="s">
        <v>1833</v>
      </c>
      <c r="K78" t="s">
        <v>74</v>
      </c>
      <c r="L78" t="s">
        <v>74</v>
      </c>
      <c r="M78" t="s">
        <v>78</v>
      </c>
      <c r="N78" t="s">
        <v>79</v>
      </c>
      <c r="O78" t="s">
        <v>74</v>
      </c>
      <c r="P78" t="s">
        <v>74</v>
      </c>
      <c r="Q78" t="s">
        <v>74</v>
      </c>
      <c r="R78" t="s">
        <v>74</v>
      </c>
      <c r="S78" t="s">
        <v>74</v>
      </c>
      <c r="T78" t="s">
        <v>1834</v>
      </c>
      <c r="U78" t="s">
        <v>1835</v>
      </c>
      <c r="V78" t="s">
        <v>1836</v>
      </c>
      <c r="W78" t="s">
        <v>1837</v>
      </c>
      <c r="X78" t="s">
        <v>1838</v>
      </c>
      <c r="Y78" t="s">
        <v>1839</v>
      </c>
      <c r="Z78" t="s">
        <v>1840</v>
      </c>
      <c r="AA78" t="s">
        <v>1841</v>
      </c>
      <c r="AB78" t="s">
        <v>1842</v>
      </c>
      <c r="AC78" t="s">
        <v>1843</v>
      </c>
      <c r="AD78" t="s">
        <v>1844</v>
      </c>
      <c r="AE78" t="s">
        <v>1845</v>
      </c>
      <c r="AF78" t="s">
        <v>74</v>
      </c>
      <c r="AG78">
        <v>77</v>
      </c>
      <c r="AH78">
        <v>21</v>
      </c>
      <c r="AI78">
        <v>23</v>
      </c>
      <c r="AJ78">
        <v>0</v>
      </c>
      <c r="AK78">
        <v>5</v>
      </c>
      <c r="AL78" t="s">
        <v>917</v>
      </c>
      <c r="AM78" t="s">
        <v>390</v>
      </c>
      <c r="AN78" t="s">
        <v>918</v>
      </c>
      <c r="AO78" t="s">
        <v>1846</v>
      </c>
      <c r="AP78" t="s">
        <v>1847</v>
      </c>
      <c r="AQ78" t="s">
        <v>74</v>
      </c>
      <c r="AR78" t="s">
        <v>1848</v>
      </c>
      <c r="AS78" t="s">
        <v>1849</v>
      </c>
      <c r="AT78" t="s">
        <v>1850</v>
      </c>
      <c r="AU78">
        <v>2021</v>
      </c>
      <c r="AV78">
        <v>126</v>
      </c>
      <c r="AW78">
        <v>8</v>
      </c>
      <c r="AX78" t="s">
        <v>74</v>
      </c>
      <c r="AY78" t="s">
        <v>74</v>
      </c>
      <c r="AZ78" t="s">
        <v>74</v>
      </c>
      <c r="BA78" t="s">
        <v>74</v>
      </c>
      <c r="BB78" t="s">
        <v>74</v>
      </c>
      <c r="BC78" t="s">
        <v>74</v>
      </c>
      <c r="BD78" t="s">
        <v>1851</v>
      </c>
      <c r="BE78" t="s">
        <v>1852</v>
      </c>
      <c r="BF78" t="str">
        <f>HYPERLINK("http://dx.doi.org/10.1029/2020JD033626","http://dx.doi.org/10.1029/2020JD033626")</f>
        <v>http://dx.doi.org/10.1029/2020JD033626</v>
      </c>
      <c r="BG78" t="s">
        <v>74</v>
      </c>
      <c r="BH78" t="s">
        <v>74</v>
      </c>
      <c r="BI78">
        <v>20</v>
      </c>
      <c r="BJ78" t="s">
        <v>129</v>
      </c>
      <c r="BK78" t="s">
        <v>101</v>
      </c>
      <c r="BL78" t="s">
        <v>129</v>
      </c>
      <c r="BM78" t="s">
        <v>1853</v>
      </c>
      <c r="BN78" t="s">
        <v>74</v>
      </c>
      <c r="BO78" t="s">
        <v>899</v>
      </c>
      <c r="BP78" t="s">
        <v>74</v>
      </c>
      <c r="BQ78" t="s">
        <v>74</v>
      </c>
      <c r="BR78" t="s">
        <v>104</v>
      </c>
      <c r="BS78" t="s">
        <v>1854</v>
      </c>
      <c r="BT78" t="str">
        <f>HYPERLINK("https%3A%2F%2Fwww.webofscience.com%2Fwos%2Fwoscc%2Ffull-record%2FWOS:000664863900003","View Full Record in Web of Science")</f>
        <v>View Full Record in Web of Science</v>
      </c>
    </row>
    <row r="79" spans="1:72" x14ac:dyDescent="0.15">
      <c r="A79" t="s">
        <v>72</v>
      </c>
      <c r="B79" t="s">
        <v>1855</v>
      </c>
      <c r="C79" t="s">
        <v>74</v>
      </c>
      <c r="D79" t="s">
        <v>74</v>
      </c>
      <c r="E79" t="s">
        <v>74</v>
      </c>
      <c r="F79" t="s">
        <v>1856</v>
      </c>
      <c r="G79" t="s">
        <v>74</v>
      </c>
      <c r="H79" t="s">
        <v>74</v>
      </c>
      <c r="I79" t="s">
        <v>1857</v>
      </c>
      <c r="J79" t="s">
        <v>1833</v>
      </c>
      <c r="K79" t="s">
        <v>74</v>
      </c>
      <c r="L79" t="s">
        <v>74</v>
      </c>
      <c r="M79" t="s">
        <v>78</v>
      </c>
      <c r="N79" t="s">
        <v>79</v>
      </c>
      <c r="O79" t="s">
        <v>74</v>
      </c>
      <c r="P79" t="s">
        <v>74</v>
      </c>
      <c r="Q79" t="s">
        <v>74</v>
      </c>
      <c r="R79" t="s">
        <v>74</v>
      </c>
      <c r="S79" t="s">
        <v>74</v>
      </c>
      <c r="T79" t="s">
        <v>1858</v>
      </c>
      <c r="U79" t="s">
        <v>1859</v>
      </c>
      <c r="V79" t="s">
        <v>1860</v>
      </c>
      <c r="W79" t="s">
        <v>1861</v>
      </c>
      <c r="X79" t="s">
        <v>1862</v>
      </c>
      <c r="Y79" t="s">
        <v>1863</v>
      </c>
      <c r="Z79" t="s">
        <v>1864</v>
      </c>
      <c r="AA79" t="s">
        <v>1865</v>
      </c>
      <c r="AB79" t="s">
        <v>1866</v>
      </c>
      <c r="AC79" t="s">
        <v>1867</v>
      </c>
      <c r="AD79" t="s">
        <v>1868</v>
      </c>
      <c r="AE79" t="s">
        <v>1869</v>
      </c>
      <c r="AF79" t="s">
        <v>74</v>
      </c>
      <c r="AG79">
        <v>35</v>
      </c>
      <c r="AH79">
        <v>8</v>
      </c>
      <c r="AI79">
        <v>8</v>
      </c>
      <c r="AJ79">
        <v>4</v>
      </c>
      <c r="AK79">
        <v>22</v>
      </c>
      <c r="AL79" t="s">
        <v>917</v>
      </c>
      <c r="AM79" t="s">
        <v>390</v>
      </c>
      <c r="AN79" t="s">
        <v>918</v>
      </c>
      <c r="AO79" t="s">
        <v>1846</v>
      </c>
      <c r="AP79" t="s">
        <v>1847</v>
      </c>
      <c r="AQ79" t="s">
        <v>74</v>
      </c>
      <c r="AR79" t="s">
        <v>1848</v>
      </c>
      <c r="AS79" t="s">
        <v>1849</v>
      </c>
      <c r="AT79" t="s">
        <v>1850</v>
      </c>
      <c r="AU79">
        <v>2021</v>
      </c>
      <c r="AV79">
        <v>126</v>
      </c>
      <c r="AW79">
        <v>8</v>
      </c>
      <c r="AX79" t="s">
        <v>74</v>
      </c>
      <c r="AY79" t="s">
        <v>74</v>
      </c>
      <c r="AZ79" t="s">
        <v>74</v>
      </c>
      <c r="BA79" t="s">
        <v>74</v>
      </c>
      <c r="BB79" t="s">
        <v>74</v>
      </c>
      <c r="BC79" t="s">
        <v>74</v>
      </c>
      <c r="BD79" t="s">
        <v>1870</v>
      </c>
      <c r="BE79" t="s">
        <v>1871</v>
      </c>
      <c r="BF79" t="str">
        <f>HYPERLINK("http://dx.doi.org/10.1029/2021JD034589","http://dx.doi.org/10.1029/2021JD034589")</f>
        <v>http://dx.doi.org/10.1029/2021JD034589</v>
      </c>
      <c r="BG79" t="s">
        <v>74</v>
      </c>
      <c r="BH79" t="s">
        <v>74</v>
      </c>
      <c r="BI79">
        <v>11</v>
      </c>
      <c r="BJ79" t="s">
        <v>129</v>
      </c>
      <c r="BK79" t="s">
        <v>101</v>
      </c>
      <c r="BL79" t="s">
        <v>129</v>
      </c>
      <c r="BM79" t="s">
        <v>1853</v>
      </c>
      <c r="BN79" t="s">
        <v>74</v>
      </c>
      <c r="BO79" t="s">
        <v>1872</v>
      </c>
      <c r="BP79" t="s">
        <v>74</v>
      </c>
      <c r="BQ79" t="s">
        <v>74</v>
      </c>
      <c r="BR79" t="s">
        <v>104</v>
      </c>
      <c r="BS79" t="s">
        <v>1873</v>
      </c>
      <c r="BT79" t="str">
        <f>HYPERLINK("https%3A%2F%2Fwww.webofscience.com%2Fwos%2Fwoscc%2Ffull-record%2FWOS:000664863900041","View Full Record in Web of Science")</f>
        <v>View Full Record in Web of Science</v>
      </c>
    </row>
    <row r="80" spans="1:72" x14ac:dyDescent="0.15">
      <c r="A80" t="s">
        <v>72</v>
      </c>
      <c r="B80" t="s">
        <v>1874</v>
      </c>
      <c r="C80" t="s">
        <v>74</v>
      </c>
      <c r="D80" t="s">
        <v>74</v>
      </c>
      <c r="E80" t="s">
        <v>74</v>
      </c>
      <c r="F80" t="s">
        <v>1875</v>
      </c>
      <c r="G80" t="s">
        <v>74</v>
      </c>
      <c r="H80" t="s">
        <v>74</v>
      </c>
      <c r="I80" t="s">
        <v>1876</v>
      </c>
      <c r="J80" t="s">
        <v>1833</v>
      </c>
      <c r="K80" t="s">
        <v>74</v>
      </c>
      <c r="L80" t="s">
        <v>74</v>
      </c>
      <c r="M80" t="s">
        <v>78</v>
      </c>
      <c r="N80" t="s">
        <v>79</v>
      </c>
      <c r="O80" t="s">
        <v>74</v>
      </c>
      <c r="P80" t="s">
        <v>74</v>
      </c>
      <c r="Q80" t="s">
        <v>74</v>
      </c>
      <c r="R80" t="s">
        <v>74</v>
      </c>
      <c r="S80" t="s">
        <v>74</v>
      </c>
      <c r="T80" t="s">
        <v>1877</v>
      </c>
      <c r="U80" t="s">
        <v>1878</v>
      </c>
      <c r="V80" t="s">
        <v>1879</v>
      </c>
      <c r="W80" t="s">
        <v>1880</v>
      </c>
      <c r="X80" t="s">
        <v>1881</v>
      </c>
      <c r="Y80" t="s">
        <v>1882</v>
      </c>
      <c r="Z80" t="s">
        <v>1883</v>
      </c>
      <c r="AA80" t="s">
        <v>1884</v>
      </c>
      <c r="AB80" t="s">
        <v>1885</v>
      </c>
      <c r="AC80" t="s">
        <v>1886</v>
      </c>
      <c r="AD80" t="s">
        <v>1887</v>
      </c>
      <c r="AE80" t="s">
        <v>1888</v>
      </c>
      <c r="AF80" t="s">
        <v>74</v>
      </c>
      <c r="AG80">
        <v>93</v>
      </c>
      <c r="AH80">
        <v>69</v>
      </c>
      <c r="AI80">
        <v>69</v>
      </c>
      <c r="AJ80">
        <v>4</v>
      </c>
      <c r="AK80">
        <v>30</v>
      </c>
      <c r="AL80" t="s">
        <v>917</v>
      </c>
      <c r="AM80" t="s">
        <v>390</v>
      </c>
      <c r="AN80" t="s">
        <v>918</v>
      </c>
      <c r="AO80" t="s">
        <v>1846</v>
      </c>
      <c r="AP80" t="s">
        <v>1847</v>
      </c>
      <c r="AQ80" t="s">
        <v>74</v>
      </c>
      <c r="AR80" t="s">
        <v>1848</v>
      </c>
      <c r="AS80" t="s">
        <v>1849</v>
      </c>
      <c r="AT80" t="s">
        <v>1850</v>
      </c>
      <c r="AU80">
        <v>2021</v>
      </c>
      <c r="AV80">
        <v>126</v>
      </c>
      <c r="AW80">
        <v>8</v>
      </c>
      <c r="AX80" t="s">
        <v>74</v>
      </c>
      <c r="AY80" t="s">
        <v>74</v>
      </c>
      <c r="AZ80" t="s">
        <v>74</v>
      </c>
      <c r="BA80" t="s">
        <v>74</v>
      </c>
      <c r="BB80" t="s">
        <v>74</v>
      </c>
      <c r="BC80" t="s">
        <v>74</v>
      </c>
      <c r="BD80" t="s">
        <v>1889</v>
      </c>
      <c r="BE80" t="s">
        <v>1890</v>
      </c>
      <c r="BF80" t="str">
        <f>HYPERLINK("http://dx.doi.org/10.1029/2020JD033788","http://dx.doi.org/10.1029/2020JD033788")</f>
        <v>http://dx.doi.org/10.1029/2020JD033788</v>
      </c>
      <c r="BG80" t="s">
        <v>74</v>
      </c>
      <c r="BH80" t="s">
        <v>74</v>
      </c>
      <c r="BI80">
        <v>20</v>
      </c>
      <c r="BJ80" t="s">
        <v>129</v>
      </c>
      <c r="BK80" t="s">
        <v>101</v>
      </c>
      <c r="BL80" t="s">
        <v>129</v>
      </c>
      <c r="BM80" t="s">
        <v>1853</v>
      </c>
      <c r="BN80" t="s">
        <v>74</v>
      </c>
      <c r="BO80" t="s">
        <v>398</v>
      </c>
      <c r="BP80" t="s">
        <v>74</v>
      </c>
      <c r="BQ80" t="s">
        <v>74</v>
      </c>
      <c r="BR80" t="s">
        <v>104</v>
      </c>
      <c r="BS80" t="s">
        <v>1891</v>
      </c>
      <c r="BT80" t="str">
        <f>HYPERLINK("https%3A%2F%2Fwww.webofscience.com%2Fwos%2Fwoscc%2Ffull-record%2FWOS:000664863900019","View Full Record in Web of Science")</f>
        <v>View Full Record in Web of Science</v>
      </c>
    </row>
    <row r="81" spans="1:72" x14ac:dyDescent="0.15">
      <c r="A81" t="s">
        <v>72</v>
      </c>
      <c r="B81" t="s">
        <v>1892</v>
      </c>
      <c r="C81" t="s">
        <v>74</v>
      </c>
      <c r="D81" t="s">
        <v>74</v>
      </c>
      <c r="E81" t="s">
        <v>74</v>
      </c>
      <c r="F81" t="s">
        <v>1893</v>
      </c>
      <c r="G81" t="s">
        <v>74</v>
      </c>
      <c r="H81" t="s">
        <v>74</v>
      </c>
      <c r="I81" t="s">
        <v>1894</v>
      </c>
      <c r="J81" t="s">
        <v>1895</v>
      </c>
      <c r="K81" t="s">
        <v>74</v>
      </c>
      <c r="L81" t="s">
        <v>74</v>
      </c>
      <c r="M81" t="s">
        <v>78</v>
      </c>
      <c r="N81" t="s">
        <v>79</v>
      </c>
      <c r="O81" t="s">
        <v>74</v>
      </c>
      <c r="P81" t="s">
        <v>74</v>
      </c>
      <c r="Q81" t="s">
        <v>74</v>
      </c>
      <c r="R81" t="s">
        <v>74</v>
      </c>
      <c r="S81" t="s">
        <v>74</v>
      </c>
      <c r="T81" t="s">
        <v>1896</v>
      </c>
      <c r="U81" t="s">
        <v>1897</v>
      </c>
      <c r="V81" t="s">
        <v>1898</v>
      </c>
      <c r="W81" t="s">
        <v>1899</v>
      </c>
      <c r="X81" t="s">
        <v>1900</v>
      </c>
      <c r="Y81" t="s">
        <v>1901</v>
      </c>
      <c r="Z81" t="s">
        <v>1902</v>
      </c>
      <c r="AA81" t="s">
        <v>1903</v>
      </c>
      <c r="AB81" t="s">
        <v>1904</v>
      </c>
      <c r="AC81" t="s">
        <v>1905</v>
      </c>
      <c r="AD81" t="s">
        <v>1906</v>
      </c>
      <c r="AE81" t="s">
        <v>1907</v>
      </c>
      <c r="AF81" t="s">
        <v>74</v>
      </c>
      <c r="AG81">
        <v>26</v>
      </c>
      <c r="AH81">
        <v>4</v>
      </c>
      <c r="AI81">
        <v>4</v>
      </c>
      <c r="AJ81">
        <v>4</v>
      </c>
      <c r="AK81">
        <v>18</v>
      </c>
      <c r="AL81" t="s">
        <v>1908</v>
      </c>
      <c r="AM81" t="s">
        <v>1909</v>
      </c>
      <c r="AN81" t="s">
        <v>1910</v>
      </c>
      <c r="AO81" t="s">
        <v>1911</v>
      </c>
      <c r="AP81" t="s">
        <v>1912</v>
      </c>
      <c r="AQ81" t="s">
        <v>74</v>
      </c>
      <c r="AR81" t="s">
        <v>1913</v>
      </c>
      <c r="AS81" t="s">
        <v>1914</v>
      </c>
      <c r="AT81" t="s">
        <v>127</v>
      </c>
      <c r="AU81">
        <v>2022</v>
      </c>
      <c r="AV81">
        <v>21</v>
      </c>
      <c r="AW81">
        <v>3</v>
      </c>
      <c r="AX81" t="s">
        <v>74</v>
      </c>
      <c r="AY81" t="s">
        <v>74</v>
      </c>
      <c r="AZ81" t="s">
        <v>74</v>
      </c>
      <c r="BA81" t="s">
        <v>74</v>
      </c>
      <c r="BB81">
        <v>757</v>
      </c>
      <c r="BC81">
        <v>769</v>
      </c>
      <c r="BD81">
        <v>1.4759217211004232E+16</v>
      </c>
      <c r="BE81" t="s">
        <v>1915</v>
      </c>
      <c r="BF81" t="str">
        <f>HYPERLINK("http://dx.doi.org/10.1177/14759217211004232","http://dx.doi.org/10.1177/14759217211004232")</f>
        <v>http://dx.doi.org/10.1177/14759217211004232</v>
      </c>
      <c r="BG81" t="s">
        <v>74</v>
      </c>
      <c r="BH81" t="s">
        <v>514</v>
      </c>
      <c r="BI81">
        <v>13</v>
      </c>
      <c r="BJ81" t="s">
        <v>1916</v>
      </c>
      <c r="BK81" t="s">
        <v>101</v>
      </c>
      <c r="BL81" t="s">
        <v>1917</v>
      </c>
      <c r="BM81" t="s">
        <v>1918</v>
      </c>
      <c r="BN81" t="s">
        <v>74</v>
      </c>
      <c r="BO81" t="s">
        <v>74</v>
      </c>
      <c r="BP81" t="s">
        <v>74</v>
      </c>
      <c r="BQ81" t="s">
        <v>74</v>
      </c>
      <c r="BR81" t="s">
        <v>104</v>
      </c>
      <c r="BS81" t="s">
        <v>1919</v>
      </c>
      <c r="BT81" t="str">
        <f>HYPERLINK("https%3A%2F%2Fwww.webofscience.com%2Fwos%2Fwoscc%2Ffull-record%2FWOS:000656003500001","View Full Record in Web of Science")</f>
        <v>View Full Record in Web of Science</v>
      </c>
    </row>
    <row r="82" spans="1:72" x14ac:dyDescent="0.15">
      <c r="A82" t="s">
        <v>72</v>
      </c>
      <c r="B82" t="s">
        <v>1920</v>
      </c>
      <c r="C82" t="s">
        <v>74</v>
      </c>
      <c r="D82" t="s">
        <v>74</v>
      </c>
      <c r="E82" t="s">
        <v>74</v>
      </c>
      <c r="F82" t="s">
        <v>1921</v>
      </c>
      <c r="G82" t="s">
        <v>74</v>
      </c>
      <c r="H82" t="s">
        <v>74</v>
      </c>
      <c r="I82" t="s">
        <v>1922</v>
      </c>
      <c r="J82" t="s">
        <v>1923</v>
      </c>
      <c r="K82" t="s">
        <v>74</v>
      </c>
      <c r="L82" t="s">
        <v>74</v>
      </c>
      <c r="M82" t="s">
        <v>78</v>
      </c>
      <c r="N82" t="s">
        <v>79</v>
      </c>
      <c r="O82" t="s">
        <v>74</v>
      </c>
      <c r="P82" t="s">
        <v>74</v>
      </c>
      <c r="Q82" t="s">
        <v>74</v>
      </c>
      <c r="R82" t="s">
        <v>74</v>
      </c>
      <c r="S82" t="s">
        <v>74</v>
      </c>
      <c r="T82" t="s">
        <v>1924</v>
      </c>
      <c r="U82" t="s">
        <v>74</v>
      </c>
      <c r="V82" t="s">
        <v>1925</v>
      </c>
      <c r="W82" t="s">
        <v>1926</v>
      </c>
      <c r="X82" t="s">
        <v>1927</v>
      </c>
      <c r="Y82" t="s">
        <v>1928</v>
      </c>
      <c r="Z82" t="s">
        <v>1929</v>
      </c>
      <c r="AA82" t="s">
        <v>74</v>
      </c>
      <c r="AB82" t="s">
        <v>1930</v>
      </c>
      <c r="AC82" t="s">
        <v>1931</v>
      </c>
      <c r="AD82" t="s">
        <v>1932</v>
      </c>
      <c r="AE82" t="s">
        <v>1933</v>
      </c>
      <c r="AF82" t="s">
        <v>74</v>
      </c>
      <c r="AG82">
        <v>36</v>
      </c>
      <c r="AH82">
        <v>9</v>
      </c>
      <c r="AI82">
        <v>9</v>
      </c>
      <c r="AJ82">
        <v>0</v>
      </c>
      <c r="AK82">
        <v>6</v>
      </c>
      <c r="AL82" t="s">
        <v>1934</v>
      </c>
      <c r="AM82" t="s">
        <v>1935</v>
      </c>
      <c r="AN82" t="s">
        <v>1936</v>
      </c>
      <c r="AO82" t="s">
        <v>1937</v>
      </c>
      <c r="AP82" t="s">
        <v>1938</v>
      </c>
      <c r="AQ82" t="s">
        <v>74</v>
      </c>
      <c r="AR82" t="s">
        <v>1923</v>
      </c>
      <c r="AS82" t="s">
        <v>1939</v>
      </c>
      <c r="AT82" t="s">
        <v>1850</v>
      </c>
      <c r="AU82">
        <v>2021</v>
      </c>
      <c r="AV82">
        <v>4963</v>
      </c>
      <c r="AW82">
        <v>3</v>
      </c>
      <c r="AX82" t="s">
        <v>74</v>
      </c>
      <c r="AY82" t="s">
        <v>74</v>
      </c>
      <c r="AZ82" t="s">
        <v>74</v>
      </c>
      <c r="BA82" t="s">
        <v>74</v>
      </c>
      <c r="BB82">
        <v>505</v>
      </c>
      <c r="BC82">
        <v>529</v>
      </c>
      <c r="BD82" t="s">
        <v>74</v>
      </c>
      <c r="BE82" t="s">
        <v>1940</v>
      </c>
      <c r="BF82" t="str">
        <f>HYPERLINK("http://dx.doi.org/10.11646/zootaxa.4963.3.6","http://dx.doi.org/10.11646/zootaxa.4963.3.6")</f>
        <v>http://dx.doi.org/10.11646/zootaxa.4963.3.6</v>
      </c>
      <c r="BG82" t="s">
        <v>74</v>
      </c>
      <c r="BH82" t="s">
        <v>74</v>
      </c>
      <c r="BI82">
        <v>25</v>
      </c>
      <c r="BJ82" t="s">
        <v>1229</v>
      </c>
      <c r="BK82" t="s">
        <v>101</v>
      </c>
      <c r="BL82" t="s">
        <v>1229</v>
      </c>
      <c r="BM82" t="s">
        <v>1941</v>
      </c>
      <c r="BN82">
        <v>33903543</v>
      </c>
      <c r="BO82" t="s">
        <v>74</v>
      </c>
      <c r="BP82" t="s">
        <v>74</v>
      </c>
      <c r="BQ82" t="s">
        <v>74</v>
      </c>
      <c r="BR82" t="s">
        <v>104</v>
      </c>
      <c r="BS82" t="s">
        <v>1942</v>
      </c>
      <c r="BT82" t="str">
        <f>HYPERLINK("https%3A%2F%2Fwww.webofscience.com%2Fwos%2Fwoscc%2Ffull-record%2FWOS:000642083000001","View Full Record in Web of Science")</f>
        <v>View Full Record in Web of Science</v>
      </c>
    </row>
    <row r="83" spans="1:72" x14ac:dyDescent="0.15">
      <c r="A83" t="s">
        <v>72</v>
      </c>
      <c r="B83" t="s">
        <v>1943</v>
      </c>
      <c r="C83" t="s">
        <v>74</v>
      </c>
      <c r="D83" t="s">
        <v>74</v>
      </c>
      <c r="E83" t="s">
        <v>74</v>
      </c>
      <c r="F83" t="s">
        <v>1944</v>
      </c>
      <c r="G83" t="s">
        <v>74</v>
      </c>
      <c r="H83" t="s">
        <v>74</v>
      </c>
      <c r="I83" t="s">
        <v>1945</v>
      </c>
      <c r="J83" t="s">
        <v>1923</v>
      </c>
      <c r="K83" t="s">
        <v>74</v>
      </c>
      <c r="L83" t="s">
        <v>74</v>
      </c>
      <c r="M83" t="s">
        <v>78</v>
      </c>
      <c r="N83" t="s">
        <v>79</v>
      </c>
      <c r="O83" t="s">
        <v>74</v>
      </c>
      <c r="P83" t="s">
        <v>74</v>
      </c>
      <c r="Q83" t="s">
        <v>74</v>
      </c>
      <c r="R83" t="s">
        <v>74</v>
      </c>
      <c r="S83" t="s">
        <v>74</v>
      </c>
      <c r="T83" t="s">
        <v>1946</v>
      </c>
      <c r="U83" t="s">
        <v>1947</v>
      </c>
      <c r="V83" t="s">
        <v>1948</v>
      </c>
      <c r="W83" t="s">
        <v>1949</v>
      </c>
      <c r="X83" t="s">
        <v>1950</v>
      </c>
      <c r="Y83" t="s">
        <v>1951</v>
      </c>
      <c r="Z83" t="s">
        <v>1952</v>
      </c>
      <c r="AA83" t="s">
        <v>74</v>
      </c>
      <c r="AB83" t="s">
        <v>1953</v>
      </c>
      <c r="AC83" t="s">
        <v>1954</v>
      </c>
      <c r="AD83" t="s">
        <v>459</v>
      </c>
      <c r="AE83" t="s">
        <v>1955</v>
      </c>
      <c r="AF83" t="s">
        <v>74</v>
      </c>
      <c r="AG83">
        <v>43</v>
      </c>
      <c r="AH83">
        <v>1</v>
      </c>
      <c r="AI83">
        <v>1</v>
      </c>
      <c r="AJ83">
        <v>1</v>
      </c>
      <c r="AK83">
        <v>2</v>
      </c>
      <c r="AL83" t="s">
        <v>1934</v>
      </c>
      <c r="AM83" t="s">
        <v>1935</v>
      </c>
      <c r="AN83" t="s">
        <v>1956</v>
      </c>
      <c r="AO83" t="s">
        <v>1937</v>
      </c>
      <c r="AP83" t="s">
        <v>1938</v>
      </c>
      <c r="AQ83" t="s">
        <v>74</v>
      </c>
      <c r="AR83" t="s">
        <v>1923</v>
      </c>
      <c r="AS83" t="s">
        <v>1939</v>
      </c>
      <c r="AT83" t="s">
        <v>1850</v>
      </c>
      <c r="AU83">
        <v>2021</v>
      </c>
      <c r="AV83">
        <v>4963</v>
      </c>
      <c r="AW83">
        <v>3</v>
      </c>
      <c r="AX83" t="s">
        <v>74</v>
      </c>
      <c r="AY83" t="s">
        <v>74</v>
      </c>
      <c r="AZ83" t="s">
        <v>74</v>
      </c>
      <c r="BA83" t="s">
        <v>74</v>
      </c>
      <c r="BB83">
        <v>530</v>
      </c>
      <c r="BC83">
        <v>544</v>
      </c>
      <c r="BD83" t="s">
        <v>74</v>
      </c>
      <c r="BE83" t="s">
        <v>1957</v>
      </c>
      <c r="BF83" t="str">
        <f>HYPERLINK("http://dx.doi.org/10.11646/zootaxa.4963.3.7","http://dx.doi.org/10.11646/zootaxa.4963.3.7")</f>
        <v>http://dx.doi.org/10.11646/zootaxa.4963.3.7</v>
      </c>
      <c r="BG83" t="s">
        <v>74</v>
      </c>
      <c r="BH83" t="s">
        <v>74</v>
      </c>
      <c r="BI83">
        <v>15</v>
      </c>
      <c r="BJ83" t="s">
        <v>1229</v>
      </c>
      <c r="BK83" t="s">
        <v>101</v>
      </c>
      <c r="BL83" t="s">
        <v>1229</v>
      </c>
      <c r="BM83" t="s">
        <v>1941</v>
      </c>
      <c r="BN83">
        <v>33903544</v>
      </c>
      <c r="BO83" t="s">
        <v>74</v>
      </c>
      <c r="BP83" t="s">
        <v>74</v>
      </c>
      <c r="BQ83" t="s">
        <v>74</v>
      </c>
      <c r="BR83" t="s">
        <v>104</v>
      </c>
      <c r="BS83" t="s">
        <v>1958</v>
      </c>
      <c r="BT83" t="str">
        <f>HYPERLINK("https%3A%2F%2Fwww.webofscience.com%2Fwos%2Fwoscc%2Ffull-record%2FWOS:000642083000002","View Full Record in Web of Science")</f>
        <v>View Full Record in Web of Science</v>
      </c>
    </row>
    <row r="84" spans="1:72" x14ac:dyDescent="0.15">
      <c r="A84" t="s">
        <v>72</v>
      </c>
      <c r="B84" t="s">
        <v>1959</v>
      </c>
      <c r="C84" t="s">
        <v>74</v>
      </c>
      <c r="D84" t="s">
        <v>74</v>
      </c>
      <c r="E84" t="s">
        <v>74</v>
      </c>
      <c r="F84" t="s">
        <v>1960</v>
      </c>
      <c r="G84" t="s">
        <v>74</v>
      </c>
      <c r="H84" t="s">
        <v>74</v>
      </c>
      <c r="I84" t="s">
        <v>1961</v>
      </c>
      <c r="J84" t="s">
        <v>590</v>
      </c>
      <c r="K84" t="s">
        <v>74</v>
      </c>
      <c r="L84" t="s">
        <v>74</v>
      </c>
      <c r="M84" t="s">
        <v>78</v>
      </c>
      <c r="N84" t="s">
        <v>79</v>
      </c>
      <c r="O84" t="s">
        <v>74</v>
      </c>
      <c r="P84" t="s">
        <v>74</v>
      </c>
      <c r="Q84" t="s">
        <v>74</v>
      </c>
      <c r="R84" t="s">
        <v>74</v>
      </c>
      <c r="S84" t="s">
        <v>74</v>
      </c>
      <c r="T84" t="s">
        <v>1962</v>
      </c>
      <c r="U84" t="s">
        <v>1963</v>
      </c>
      <c r="V84" t="s">
        <v>1964</v>
      </c>
      <c r="W84" t="s">
        <v>1965</v>
      </c>
      <c r="X84" t="s">
        <v>1966</v>
      </c>
      <c r="Y84" t="s">
        <v>1967</v>
      </c>
      <c r="Z84" t="s">
        <v>1968</v>
      </c>
      <c r="AA84" t="s">
        <v>1969</v>
      </c>
      <c r="AB84" t="s">
        <v>1970</v>
      </c>
      <c r="AC84" t="s">
        <v>1971</v>
      </c>
      <c r="AD84" t="s">
        <v>1972</v>
      </c>
      <c r="AE84" t="s">
        <v>1973</v>
      </c>
      <c r="AF84" t="s">
        <v>74</v>
      </c>
      <c r="AG84">
        <v>46</v>
      </c>
      <c r="AH84">
        <v>11</v>
      </c>
      <c r="AI84">
        <v>11</v>
      </c>
      <c r="AJ84">
        <v>4</v>
      </c>
      <c r="AK84">
        <v>22</v>
      </c>
      <c r="AL84" t="s">
        <v>603</v>
      </c>
      <c r="AM84" t="s">
        <v>604</v>
      </c>
      <c r="AN84" t="s">
        <v>605</v>
      </c>
      <c r="AO84" t="s">
        <v>74</v>
      </c>
      <c r="AP84" t="s">
        <v>606</v>
      </c>
      <c r="AQ84" t="s">
        <v>74</v>
      </c>
      <c r="AR84" t="s">
        <v>607</v>
      </c>
      <c r="AS84" t="s">
        <v>608</v>
      </c>
      <c r="AT84" t="s">
        <v>1850</v>
      </c>
      <c r="AU84">
        <v>2021</v>
      </c>
      <c r="AV84">
        <v>9</v>
      </c>
      <c r="AW84" t="s">
        <v>74</v>
      </c>
      <c r="AX84" t="s">
        <v>74</v>
      </c>
      <c r="AY84" t="s">
        <v>74</v>
      </c>
      <c r="AZ84" t="s">
        <v>74</v>
      </c>
      <c r="BA84" t="s">
        <v>74</v>
      </c>
      <c r="BB84" t="s">
        <v>74</v>
      </c>
      <c r="BC84" t="s">
        <v>74</v>
      </c>
      <c r="BD84">
        <v>649743</v>
      </c>
      <c r="BE84" t="s">
        <v>1974</v>
      </c>
      <c r="BF84" t="str">
        <f>HYPERLINK("http://dx.doi.org/10.3389/feart.2021.649743","http://dx.doi.org/10.3389/feart.2021.649743")</f>
        <v>http://dx.doi.org/10.3389/feart.2021.649743</v>
      </c>
      <c r="BG84" t="s">
        <v>74</v>
      </c>
      <c r="BH84" t="s">
        <v>74</v>
      </c>
      <c r="BI84">
        <v>17</v>
      </c>
      <c r="BJ84" t="s">
        <v>100</v>
      </c>
      <c r="BK84" t="s">
        <v>101</v>
      </c>
      <c r="BL84" t="s">
        <v>102</v>
      </c>
      <c r="BM84" t="s">
        <v>1975</v>
      </c>
      <c r="BN84" t="s">
        <v>74</v>
      </c>
      <c r="BO84" t="s">
        <v>317</v>
      </c>
      <c r="BP84" t="s">
        <v>74</v>
      </c>
      <c r="BQ84" t="s">
        <v>74</v>
      </c>
      <c r="BR84" t="s">
        <v>104</v>
      </c>
      <c r="BS84" t="s">
        <v>1976</v>
      </c>
      <c r="BT84" t="str">
        <f>HYPERLINK("https%3A%2F%2Fwww.webofscience.com%2Fwos%2Fwoscc%2Ffull-record%2FWOS:000647213300001","View Full Record in Web of Science")</f>
        <v>View Full Record in Web of Science</v>
      </c>
    </row>
    <row r="85" spans="1:72" x14ac:dyDescent="0.15">
      <c r="A85" t="s">
        <v>72</v>
      </c>
      <c r="B85" t="s">
        <v>1977</v>
      </c>
      <c r="C85" t="s">
        <v>74</v>
      </c>
      <c r="D85" t="s">
        <v>74</v>
      </c>
      <c r="E85" t="s">
        <v>74</v>
      </c>
      <c r="F85" t="s">
        <v>1978</v>
      </c>
      <c r="G85" t="s">
        <v>74</v>
      </c>
      <c r="H85" t="s">
        <v>74</v>
      </c>
      <c r="I85" t="s">
        <v>1979</v>
      </c>
      <c r="J85" t="s">
        <v>1980</v>
      </c>
      <c r="K85" t="s">
        <v>74</v>
      </c>
      <c r="L85" t="s">
        <v>74</v>
      </c>
      <c r="M85" t="s">
        <v>78</v>
      </c>
      <c r="N85" t="s">
        <v>79</v>
      </c>
      <c r="O85" t="s">
        <v>74</v>
      </c>
      <c r="P85" t="s">
        <v>74</v>
      </c>
      <c r="Q85" t="s">
        <v>74</v>
      </c>
      <c r="R85" t="s">
        <v>74</v>
      </c>
      <c r="S85" t="s">
        <v>74</v>
      </c>
      <c r="T85" t="s">
        <v>74</v>
      </c>
      <c r="U85" t="s">
        <v>1981</v>
      </c>
      <c r="V85" t="s">
        <v>1982</v>
      </c>
      <c r="W85" t="s">
        <v>1983</v>
      </c>
      <c r="X85" t="s">
        <v>1984</v>
      </c>
      <c r="Y85" t="s">
        <v>1985</v>
      </c>
      <c r="Z85" t="s">
        <v>1986</v>
      </c>
      <c r="AA85" t="s">
        <v>1987</v>
      </c>
      <c r="AB85" t="s">
        <v>1988</v>
      </c>
      <c r="AC85" t="s">
        <v>1989</v>
      </c>
      <c r="AD85" t="s">
        <v>1990</v>
      </c>
      <c r="AE85" t="s">
        <v>1991</v>
      </c>
      <c r="AF85" t="s">
        <v>74</v>
      </c>
      <c r="AG85">
        <v>81</v>
      </c>
      <c r="AH85">
        <v>8</v>
      </c>
      <c r="AI85">
        <v>8</v>
      </c>
      <c r="AJ85">
        <v>0</v>
      </c>
      <c r="AK85">
        <v>15</v>
      </c>
      <c r="AL85" t="s">
        <v>1269</v>
      </c>
      <c r="AM85" t="s">
        <v>1270</v>
      </c>
      <c r="AN85" t="s">
        <v>1271</v>
      </c>
      <c r="AO85" t="s">
        <v>1992</v>
      </c>
      <c r="AP85" t="s">
        <v>1993</v>
      </c>
      <c r="AQ85" t="s">
        <v>74</v>
      </c>
      <c r="AR85" t="s">
        <v>1994</v>
      </c>
      <c r="AS85" t="s">
        <v>1995</v>
      </c>
      <c r="AT85" t="s">
        <v>1850</v>
      </c>
      <c r="AU85">
        <v>2021</v>
      </c>
      <c r="AV85">
        <v>21</v>
      </c>
      <c r="AW85">
        <v>8</v>
      </c>
      <c r="AX85" t="s">
        <v>74</v>
      </c>
      <c r="AY85" t="s">
        <v>74</v>
      </c>
      <c r="AZ85" t="s">
        <v>74</v>
      </c>
      <c r="BA85" t="s">
        <v>74</v>
      </c>
      <c r="BB85">
        <v>5883</v>
      </c>
      <c r="BC85">
        <v>5903</v>
      </c>
      <c r="BD85" t="s">
        <v>74</v>
      </c>
      <c r="BE85" t="s">
        <v>1996</v>
      </c>
      <c r="BF85" t="str">
        <f>HYPERLINK("http://dx.doi.org/10.5194/acp-21-5883-2021","http://dx.doi.org/10.5194/acp-21-5883-2021")</f>
        <v>http://dx.doi.org/10.5194/acp-21-5883-2021</v>
      </c>
      <c r="BG85" t="s">
        <v>74</v>
      </c>
      <c r="BH85" t="s">
        <v>74</v>
      </c>
      <c r="BI85">
        <v>21</v>
      </c>
      <c r="BJ85" t="s">
        <v>199</v>
      </c>
      <c r="BK85" t="s">
        <v>101</v>
      </c>
      <c r="BL85" t="s">
        <v>200</v>
      </c>
      <c r="BM85" t="s">
        <v>1997</v>
      </c>
      <c r="BN85" t="s">
        <v>74</v>
      </c>
      <c r="BO85" t="s">
        <v>1998</v>
      </c>
      <c r="BP85" t="s">
        <v>74</v>
      </c>
      <c r="BQ85" t="s">
        <v>74</v>
      </c>
      <c r="BR85" t="s">
        <v>104</v>
      </c>
      <c r="BS85" t="s">
        <v>1999</v>
      </c>
      <c r="BT85" t="str">
        <f>HYPERLINK("https%3A%2F%2Fwww.webofscience.com%2Fwos%2Fwoscc%2Ffull-record%2FWOS:000642112300001","View Full Record in Web of Science")</f>
        <v>View Full Record in Web of Science</v>
      </c>
    </row>
    <row r="86" spans="1:72" x14ac:dyDescent="0.15">
      <c r="A86" t="s">
        <v>72</v>
      </c>
      <c r="B86" t="s">
        <v>2000</v>
      </c>
      <c r="C86" t="s">
        <v>74</v>
      </c>
      <c r="D86" t="s">
        <v>74</v>
      </c>
      <c r="E86" t="s">
        <v>74</v>
      </c>
      <c r="F86" t="s">
        <v>2001</v>
      </c>
      <c r="G86" t="s">
        <v>74</v>
      </c>
      <c r="H86" t="s">
        <v>74</v>
      </c>
      <c r="I86" t="s">
        <v>2002</v>
      </c>
      <c r="J86" t="s">
        <v>1833</v>
      </c>
      <c r="K86" t="s">
        <v>74</v>
      </c>
      <c r="L86" t="s">
        <v>74</v>
      </c>
      <c r="M86" t="s">
        <v>78</v>
      </c>
      <c r="N86" t="s">
        <v>79</v>
      </c>
      <c r="O86" t="s">
        <v>74</v>
      </c>
      <c r="P86" t="s">
        <v>74</v>
      </c>
      <c r="Q86" t="s">
        <v>74</v>
      </c>
      <c r="R86" t="s">
        <v>74</v>
      </c>
      <c r="S86" t="s">
        <v>74</v>
      </c>
      <c r="T86" t="s">
        <v>2003</v>
      </c>
      <c r="U86" t="s">
        <v>2004</v>
      </c>
      <c r="V86" t="s">
        <v>2005</v>
      </c>
      <c r="W86" t="s">
        <v>2006</v>
      </c>
      <c r="X86" t="s">
        <v>2007</v>
      </c>
      <c r="Y86" t="s">
        <v>2008</v>
      </c>
      <c r="Z86" t="s">
        <v>2009</v>
      </c>
      <c r="AA86" t="s">
        <v>2010</v>
      </c>
      <c r="AB86" t="s">
        <v>2011</v>
      </c>
      <c r="AC86" t="s">
        <v>2012</v>
      </c>
      <c r="AD86" t="s">
        <v>2013</v>
      </c>
      <c r="AE86" t="s">
        <v>2014</v>
      </c>
      <c r="AF86" t="s">
        <v>74</v>
      </c>
      <c r="AG86">
        <v>87</v>
      </c>
      <c r="AH86">
        <v>11</v>
      </c>
      <c r="AI86">
        <v>11</v>
      </c>
      <c r="AJ86">
        <v>5</v>
      </c>
      <c r="AK86">
        <v>16</v>
      </c>
      <c r="AL86" t="s">
        <v>917</v>
      </c>
      <c r="AM86" t="s">
        <v>390</v>
      </c>
      <c r="AN86" t="s">
        <v>918</v>
      </c>
      <c r="AO86" t="s">
        <v>1846</v>
      </c>
      <c r="AP86" t="s">
        <v>1847</v>
      </c>
      <c r="AQ86" t="s">
        <v>74</v>
      </c>
      <c r="AR86" t="s">
        <v>1848</v>
      </c>
      <c r="AS86" t="s">
        <v>1849</v>
      </c>
      <c r="AT86" t="s">
        <v>1850</v>
      </c>
      <c r="AU86">
        <v>2021</v>
      </c>
      <c r="AV86">
        <v>126</v>
      </c>
      <c r="AW86">
        <v>8</v>
      </c>
      <c r="AX86" t="s">
        <v>74</v>
      </c>
      <c r="AY86" t="s">
        <v>74</v>
      </c>
      <c r="AZ86" t="s">
        <v>74</v>
      </c>
      <c r="BA86" t="s">
        <v>74</v>
      </c>
      <c r="BB86" t="s">
        <v>74</v>
      </c>
      <c r="BC86" t="s">
        <v>74</v>
      </c>
      <c r="BD86" t="s">
        <v>2015</v>
      </c>
      <c r="BE86" t="s">
        <v>2016</v>
      </c>
      <c r="BF86" t="str">
        <f>HYPERLINK("http://dx.doi.org/10.1029/2020JD034365","http://dx.doi.org/10.1029/2020JD034365")</f>
        <v>http://dx.doi.org/10.1029/2020JD034365</v>
      </c>
      <c r="BG86" t="s">
        <v>74</v>
      </c>
      <c r="BH86" t="s">
        <v>74</v>
      </c>
      <c r="BI86">
        <v>19</v>
      </c>
      <c r="BJ86" t="s">
        <v>129</v>
      </c>
      <c r="BK86" t="s">
        <v>101</v>
      </c>
      <c r="BL86" t="s">
        <v>129</v>
      </c>
      <c r="BM86" t="s">
        <v>1853</v>
      </c>
      <c r="BN86" t="s">
        <v>74</v>
      </c>
      <c r="BO86" t="s">
        <v>398</v>
      </c>
      <c r="BP86" t="s">
        <v>74</v>
      </c>
      <c r="BQ86" t="s">
        <v>74</v>
      </c>
      <c r="BR86" t="s">
        <v>104</v>
      </c>
      <c r="BS86" t="s">
        <v>2017</v>
      </c>
      <c r="BT86" t="str">
        <f>HYPERLINK("https%3A%2F%2Fwww.webofscience.com%2Fwos%2Fwoscc%2Ffull-record%2FWOS:000664863900038","View Full Record in Web of Science")</f>
        <v>View Full Record in Web of Science</v>
      </c>
    </row>
    <row r="87" spans="1:72" x14ac:dyDescent="0.15">
      <c r="A87" t="s">
        <v>72</v>
      </c>
      <c r="B87" t="s">
        <v>2018</v>
      </c>
      <c r="C87" t="s">
        <v>74</v>
      </c>
      <c r="D87" t="s">
        <v>74</v>
      </c>
      <c r="E87" t="s">
        <v>74</v>
      </c>
      <c r="F87" t="s">
        <v>2019</v>
      </c>
      <c r="G87" t="s">
        <v>74</v>
      </c>
      <c r="H87" t="s">
        <v>74</v>
      </c>
      <c r="I87" t="s">
        <v>2020</v>
      </c>
      <c r="J87" t="s">
        <v>2021</v>
      </c>
      <c r="K87" t="s">
        <v>74</v>
      </c>
      <c r="L87" t="s">
        <v>74</v>
      </c>
      <c r="M87" t="s">
        <v>78</v>
      </c>
      <c r="N87" t="s">
        <v>79</v>
      </c>
      <c r="O87" t="s">
        <v>74</v>
      </c>
      <c r="P87" t="s">
        <v>74</v>
      </c>
      <c r="Q87" t="s">
        <v>74</v>
      </c>
      <c r="R87" t="s">
        <v>74</v>
      </c>
      <c r="S87" t="s">
        <v>74</v>
      </c>
      <c r="T87" t="s">
        <v>74</v>
      </c>
      <c r="U87" t="s">
        <v>2022</v>
      </c>
      <c r="V87" t="s">
        <v>2023</v>
      </c>
      <c r="W87" t="s">
        <v>2024</v>
      </c>
      <c r="X87" t="s">
        <v>2025</v>
      </c>
      <c r="Y87" t="s">
        <v>2026</v>
      </c>
      <c r="Z87" t="s">
        <v>2027</v>
      </c>
      <c r="AA87" t="s">
        <v>2028</v>
      </c>
      <c r="AB87" t="s">
        <v>2029</v>
      </c>
      <c r="AC87" t="s">
        <v>2030</v>
      </c>
      <c r="AD87" t="s">
        <v>2031</v>
      </c>
      <c r="AE87" t="s">
        <v>2032</v>
      </c>
      <c r="AF87" t="s">
        <v>74</v>
      </c>
      <c r="AG87">
        <v>94</v>
      </c>
      <c r="AH87">
        <v>7</v>
      </c>
      <c r="AI87">
        <v>7</v>
      </c>
      <c r="AJ87">
        <v>2</v>
      </c>
      <c r="AK87">
        <v>9</v>
      </c>
      <c r="AL87" t="s">
        <v>861</v>
      </c>
      <c r="AM87" t="s">
        <v>862</v>
      </c>
      <c r="AN87" t="s">
        <v>863</v>
      </c>
      <c r="AO87" t="s">
        <v>2033</v>
      </c>
      <c r="AP87" t="s">
        <v>74</v>
      </c>
      <c r="AQ87" t="s">
        <v>74</v>
      </c>
      <c r="AR87" t="s">
        <v>2034</v>
      </c>
      <c r="AS87" t="s">
        <v>2035</v>
      </c>
      <c r="AT87" t="s">
        <v>2036</v>
      </c>
      <c r="AU87">
        <v>2021</v>
      </c>
      <c r="AV87">
        <v>11</v>
      </c>
      <c r="AW87">
        <v>1</v>
      </c>
      <c r="AX87" t="s">
        <v>74</v>
      </c>
      <c r="AY87" t="s">
        <v>74</v>
      </c>
      <c r="AZ87" t="s">
        <v>74</v>
      </c>
      <c r="BA87" t="s">
        <v>74</v>
      </c>
      <c r="BB87" t="s">
        <v>74</v>
      </c>
      <c r="BC87" t="s">
        <v>74</v>
      </c>
      <c r="BD87">
        <v>8473</v>
      </c>
      <c r="BE87" t="s">
        <v>2037</v>
      </c>
      <c r="BF87" t="str">
        <f>HYPERLINK("http://dx.doi.org/10.1038/s41598-021-87244-5","http://dx.doi.org/10.1038/s41598-021-87244-5")</f>
        <v>http://dx.doi.org/10.1038/s41598-021-87244-5</v>
      </c>
      <c r="BG87" t="s">
        <v>74</v>
      </c>
      <c r="BH87" t="s">
        <v>74</v>
      </c>
      <c r="BI87">
        <v>14</v>
      </c>
      <c r="BJ87" t="s">
        <v>555</v>
      </c>
      <c r="BK87" t="s">
        <v>101</v>
      </c>
      <c r="BL87" t="s">
        <v>556</v>
      </c>
      <c r="BM87" t="s">
        <v>2038</v>
      </c>
      <c r="BN87">
        <v>33875688</v>
      </c>
      <c r="BO87" t="s">
        <v>558</v>
      </c>
      <c r="BP87" t="s">
        <v>74</v>
      </c>
      <c r="BQ87" t="s">
        <v>74</v>
      </c>
      <c r="BR87" t="s">
        <v>104</v>
      </c>
      <c r="BS87" t="s">
        <v>2039</v>
      </c>
      <c r="BT87" t="str">
        <f>HYPERLINK("https%3A%2F%2Fwww.webofscience.com%2Fwos%2Fwoscc%2Ffull-record%2FWOS:000642580700007","View Full Record in Web of Science")</f>
        <v>View Full Record in Web of Science</v>
      </c>
    </row>
    <row r="88" spans="1:72" x14ac:dyDescent="0.15">
      <c r="A88" t="s">
        <v>72</v>
      </c>
      <c r="B88" t="s">
        <v>2040</v>
      </c>
      <c r="C88" t="s">
        <v>74</v>
      </c>
      <c r="D88" t="s">
        <v>74</v>
      </c>
      <c r="E88" t="s">
        <v>74</v>
      </c>
      <c r="F88" t="s">
        <v>2041</v>
      </c>
      <c r="G88" t="s">
        <v>74</v>
      </c>
      <c r="H88" t="s">
        <v>74</v>
      </c>
      <c r="I88" t="s">
        <v>2042</v>
      </c>
      <c r="J88" t="s">
        <v>1761</v>
      </c>
      <c r="K88" t="s">
        <v>74</v>
      </c>
      <c r="L88" t="s">
        <v>74</v>
      </c>
      <c r="M88" t="s">
        <v>78</v>
      </c>
      <c r="N88" t="s">
        <v>79</v>
      </c>
      <c r="O88" t="s">
        <v>74</v>
      </c>
      <c r="P88" t="s">
        <v>74</v>
      </c>
      <c r="Q88" t="s">
        <v>74</v>
      </c>
      <c r="R88" t="s">
        <v>74</v>
      </c>
      <c r="S88" t="s">
        <v>74</v>
      </c>
      <c r="T88" t="s">
        <v>74</v>
      </c>
      <c r="U88" t="s">
        <v>2043</v>
      </c>
      <c r="V88" t="s">
        <v>2044</v>
      </c>
      <c r="W88" t="s">
        <v>2045</v>
      </c>
      <c r="X88" t="s">
        <v>2046</v>
      </c>
      <c r="Y88" t="s">
        <v>2047</v>
      </c>
      <c r="Z88" t="s">
        <v>2048</v>
      </c>
      <c r="AA88" t="s">
        <v>2049</v>
      </c>
      <c r="AB88" t="s">
        <v>2050</v>
      </c>
      <c r="AC88" t="s">
        <v>2051</v>
      </c>
      <c r="AD88" t="s">
        <v>2052</v>
      </c>
      <c r="AE88" t="s">
        <v>2053</v>
      </c>
      <c r="AF88" t="s">
        <v>74</v>
      </c>
      <c r="AG88">
        <v>67</v>
      </c>
      <c r="AH88">
        <v>5</v>
      </c>
      <c r="AI88">
        <v>5</v>
      </c>
      <c r="AJ88">
        <v>0</v>
      </c>
      <c r="AK88">
        <v>3</v>
      </c>
      <c r="AL88" t="s">
        <v>1269</v>
      </c>
      <c r="AM88" t="s">
        <v>1270</v>
      </c>
      <c r="AN88" t="s">
        <v>1271</v>
      </c>
      <c r="AO88" t="s">
        <v>1773</v>
      </c>
      <c r="AP88" t="s">
        <v>1774</v>
      </c>
      <c r="AQ88" t="s">
        <v>74</v>
      </c>
      <c r="AR88" t="s">
        <v>1761</v>
      </c>
      <c r="AS88" t="s">
        <v>1775</v>
      </c>
      <c r="AT88" t="s">
        <v>2036</v>
      </c>
      <c r="AU88">
        <v>2021</v>
      </c>
      <c r="AV88">
        <v>15</v>
      </c>
      <c r="AW88">
        <v>4</v>
      </c>
      <c r="AX88" t="s">
        <v>74</v>
      </c>
      <c r="AY88" t="s">
        <v>74</v>
      </c>
      <c r="AZ88" t="s">
        <v>74</v>
      </c>
      <c r="BA88" t="s">
        <v>74</v>
      </c>
      <c r="BB88">
        <v>1863</v>
      </c>
      <c r="BC88">
        <v>1880</v>
      </c>
      <c r="BD88" t="s">
        <v>74</v>
      </c>
      <c r="BE88" t="s">
        <v>2054</v>
      </c>
      <c r="BF88" t="str">
        <f>HYPERLINK("http://dx.doi.org/10.5194/tc-15-1863-2021","http://dx.doi.org/10.5194/tc-15-1863-2021")</f>
        <v>http://dx.doi.org/10.5194/tc-15-1863-2021</v>
      </c>
      <c r="BG88" t="s">
        <v>74</v>
      </c>
      <c r="BH88" t="s">
        <v>74</v>
      </c>
      <c r="BI88">
        <v>18</v>
      </c>
      <c r="BJ88" t="s">
        <v>1685</v>
      </c>
      <c r="BK88" t="s">
        <v>101</v>
      </c>
      <c r="BL88" t="s">
        <v>1686</v>
      </c>
      <c r="BM88" t="s">
        <v>2055</v>
      </c>
      <c r="BN88" t="s">
        <v>74</v>
      </c>
      <c r="BO88" t="s">
        <v>1779</v>
      </c>
      <c r="BP88" t="s">
        <v>74</v>
      </c>
      <c r="BQ88" t="s">
        <v>74</v>
      </c>
      <c r="BR88" t="s">
        <v>104</v>
      </c>
      <c r="BS88" t="s">
        <v>2056</v>
      </c>
      <c r="BT88" t="str">
        <f>HYPERLINK("https%3A%2F%2Fwww.webofscience.com%2Fwos%2Fwoscc%2Ffull-record%2FWOS:000641966600001","View Full Record in Web of Science")</f>
        <v>View Full Record in Web of Science</v>
      </c>
    </row>
    <row r="89" spans="1:72" x14ac:dyDescent="0.15">
      <c r="A89" t="s">
        <v>72</v>
      </c>
      <c r="B89" t="s">
        <v>2057</v>
      </c>
      <c r="C89" t="s">
        <v>74</v>
      </c>
      <c r="D89" t="s">
        <v>74</v>
      </c>
      <c r="E89" t="s">
        <v>74</v>
      </c>
      <c r="F89" t="s">
        <v>2058</v>
      </c>
      <c r="G89" t="s">
        <v>74</v>
      </c>
      <c r="H89" t="s">
        <v>74</v>
      </c>
      <c r="I89" t="s">
        <v>2059</v>
      </c>
      <c r="J89" t="s">
        <v>1761</v>
      </c>
      <c r="K89" t="s">
        <v>74</v>
      </c>
      <c r="L89" t="s">
        <v>74</v>
      </c>
      <c r="M89" t="s">
        <v>78</v>
      </c>
      <c r="N89" t="s">
        <v>79</v>
      </c>
      <c r="O89" t="s">
        <v>74</v>
      </c>
      <c r="P89" t="s">
        <v>74</v>
      </c>
      <c r="Q89" t="s">
        <v>74</v>
      </c>
      <c r="R89" t="s">
        <v>74</v>
      </c>
      <c r="S89" t="s">
        <v>74</v>
      </c>
      <c r="T89" t="s">
        <v>74</v>
      </c>
      <c r="U89" t="s">
        <v>2060</v>
      </c>
      <c r="V89" t="s">
        <v>2061</v>
      </c>
      <c r="W89" t="s">
        <v>2062</v>
      </c>
      <c r="X89" t="s">
        <v>2063</v>
      </c>
      <c r="Y89" t="s">
        <v>2064</v>
      </c>
      <c r="Z89" t="s">
        <v>2065</v>
      </c>
      <c r="AA89" t="s">
        <v>2066</v>
      </c>
      <c r="AB89" t="s">
        <v>2067</v>
      </c>
      <c r="AC89" t="s">
        <v>2068</v>
      </c>
      <c r="AD89" t="s">
        <v>2069</v>
      </c>
      <c r="AE89" t="s">
        <v>2070</v>
      </c>
      <c r="AF89" t="s">
        <v>74</v>
      </c>
      <c r="AG89">
        <v>23</v>
      </c>
      <c r="AH89">
        <v>17</v>
      </c>
      <c r="AI89">
        <v>19</v>
      </c>
      <c r="AJ89">
        <v>2</v>
      </c>
      <c r="AK89">
        <v>21</v>
      </c>
      <c r="AL89" t="s">
        <v>1269</v>
      </c>
      <c r="AM89" t="s">
        <v>1270</v>
      </c>
      <c r="AN89" t="s">
        <v>1271</v>
      </c>
      <c r="AO89" t="s">
        <v>1773</v>
      </c>
      <c r="AP89" t="s">
        <v>1774</v>
      </c>
      <c r="AQ89" t="s">
        <v>74</v>
      </c>
      <c r="AR89" t="s">
        <v>1761</v>
      </c>
      <c r="AS89" t="s">
        <v>1775</v>
      </c>
      <c r="AT89" t="s">
        <v>2036</v>
      </c>
      <c r="AU89">
        <v>2021</v>
      </c>
      <c r="AV89">
        <v>15</v>
      </c>
      <c r="AW89">
        <v>4</v>
      </c>
      <c r="AX89" t="s">
        <v>74</v>
      </c>
      <c r="AY89" t="s">
        <v>74</v>
      </c>
      <c r="AZ89" t="s">
        <v>74</v>
      </c>
      <c r="BA89" t="s">
        <v>74</v>
      </c>
      <c r="BB89">
        <v>1881</v>
      </c>
      <c r="BC89">
        <v>1888</v>
      </c>
      <c r="BD89" t="s">
        <v>74</v>
      </c>
      <c r="BE89" t="s">
        <v>2071</v>
      </c>
      <c r="BF89" t="str">
        <f>HYPERLINK("http://dx.doi.org/10.5194/tc-15-1881-2021","http://dx.doi.org/10.5194/tc-15-1881-2021")</f>
        <v>http://dx.doi.org/10.5194/tc-15-1881-2021</v>
      </c>
      <c r="BG89" t="s">
        <v>74</v>
      </c>
      <c r="BH89" t="s">
        <v>74</v>
      </c>
      <c r="BI89">
        <v>8</v>
      </c>
      <c r="BJ89" t="s">
        <v>1685</v>
      </c>
      <c r="BK89" t="s">
        <v>101</v>
      </c>
      <c r="BL89" t="s">
        <v>1686</v>
      </c>
      <c r="BM89" t="s">
        <v>2055</v>
      </c>
      <c r="BN89" t="s">
        <v>74</v>
      </c>
      <c r="BO89" t="s">
        <v>1998</v>
      </c>
      <c r="BP89" t="s">
        <v>74</v>
      </c>
      <c r="BQ89" t="s">
        <v>74</v>
      </c>
      <c r="BR89" t="s">
        <v>104</v>
      </c>
      <c r="BS89" t="s">
        <v>2072</v>
      </c>
      <c r="BT89" t="str">
        <f>HYPERLINK("https%3A%2F%2Fwww.webofscience.com%2Fwos%2Fwoscc%2Ffull-record%2FWOS:000641966600002","View Full Record in Web of Science")</f>
        <v>View Full Record in Web of Science</v>
      </c>
    </row>
    <row r="90" spans="1:72" x14ac:dyDescent="0.15">
      <c r="A90" t="s">
        <v>72</v>
      </c>
      <c r="B90" t="s">
        <v>2073</v>
      </c>
      <c r="C90" t="s">
        <v>74</v>
      </c>
      <c r="D90" t="s">
        <v>74</v>
      </c>
      <c r="E90" t="s">
        <v>74</v>
      </c>
      <c r="F90" t="s">
        <v>2074</v>
      </c>
      <c r="G90" t="s">
        <v>74</v>
      </c>
      <c r="H90" t="s">
        <v>74</v>
      </c>
      <c r="I90" t="s">
        <v>2075</v>
      </c>
      <c r="J90" t="s">
        <v>1980</v>
      </c>
      <c r="K90" t="s">
        <v>74</v>
      </c>
      <c r="L90" t="s">
        <v>74</v>
      </c>
      <c r="M90" t="s">
        <v>78</v>
      </c>
      <c r="N90" t="s">
        <v>79</v>
      </c>
      <c r="O90" t="s">
        <v>74</v>
      </c>
      <c r="P90" t="s">
        <v>74</v>
      </c>
      <c r="Q90" t="s">
        <v>74</v>
      </c>
      <c r="R90" t="s">
        <v>74</v>
      </c>
      <c r="S90" t="s">
        <v>74</v>
      </c>
      <c r="T90" t="s">
        <v>74</v>
      </c>
      <c r="U90" t="s">
        <v>2076</v>
      </c>
      <c r="V90" t="s">
        <v>2077</v>
      </c>
      <c r="W90" t="s">
        <v>2078</v>
      </c>
      <c r="X90" t="s">
        <v>2079</v>
      </c>
      <c r="Y90" t="s">
        <v>2080</v>
      </c>
      <c r="Z90" t="s">
        <v>2081</v>
      </c>
      <c r="AA90" t="s">
        <v>2082</v>
      </c>
      <c r="AB90" t="s">
        <v>2083</v>
      </c>
      <c r="AC90" t="s">
        <v>2084</v>
      </c>
      <c r="AD90" t="s">
        <v>2085</v>
      </c>
      <c r="AE90" t="s">
        <v>2086</v>
      </c>
      <c r="AF90" t="s">
        <v>74</v>
      </c>
      <c r="AG90">
        <v>101</v>
      </c>
      <c r="AH90">
        <v>15</v>
      </c>
      <c r="AI90">
        <v>17</v>
      </c>
      <c r="AJ90">
        <v>2</v>
      </c>
      <c r="AK90">
        <v>21</v>
      </c>
      <c r="AL90" t="s">
        <v>1269</v>
      </c>
      <c r="AM90" t="s">
        <v>1270</v>
      </c>
      <c r="AN90" t="s">
        <v>1271</v>
      </c>
      <c r="AO90" t="s">
        <v>1992</v>
      </c>
      <c r="AP90" t="s">
        <v>1993</v>
      </c>
      <c r="AQ90" t="s">
        <v>74</v>
      </c>
      <c r="AR90" t="s">
        <v>1994</v>
      </c>
      <c r="AS90" t="s">
        <v>1995</v>
      </c>
      <c r="AT90" t="s">
        <v>2036</v>
      </c>
      <c r="AU90">
        <v>2021</v>
      </c>
      <c r="AV90">
        <v>21</v>
      </c>
      <c r="AW90">
        <v>8</v>
      </c>
      <c r="AX90" t="s">
        <v>74</v>
      </c>
      <c r="AY90" t="s">
        <v>74</v>
      </c>
      <c r="AZ90" t="s">
        <v>74</v>
      </c>
      <c r="BA90" t="s">
        <v>74</v>
      </c>
      <c r="BB90">
        <v>5777</v>
      </c>
      <c r="BC90">
        <v>5806</v>
      </c>
      <c r="BD90" t="s">
        <v>74</v>
      </c>
      <c r="BE90" t="s">
        <v>2087</v>
      </c>
      <c r="BF90" t="str">
        <f>HYPERLINK("http://dx.doi.org/10.5194/acp-21-5777-2021","http://dx.doi.org/10.5194/acp-21-5777-2021")</f>
        <v>http://dx.doi.org/10.5194/acp-21-5777-2021</v>
      </c>
      <c r="BG90" t="s">
        <v>74</v>
      </c>
      <c r="BH90" t="s">
        <v>74</v>
      </c>
      <c r="BI90">
        <v>30</v>
      </c>
      <c r="BJ90" t="s">
        <v>199</v>
      </c>
      <c r="BK90" t="s">
        <v>101</v>
      </c>
      <c r="BL90" t="s">
        <v>200</v>
      </c>
      <c r="BM90" t="s">
        <v>2088</v>
      </c>
      <c r="BN90" t="s">
        <v>74</v>
      </c>
      <c r="BO90" t="s">
        <v>2089</v>
      </c>
      <c r="BP90" t="s">
        <v>74</v>
      </c>
      <c r="BQ90" t="s">
        <v>74</v>
      </c>
      <c r="BR90" t="s">
        <v>104</v>
      </c>
      <c r="BS90" t="s">
        <v>2090</v>
      </c>
      <c r="BT90" t="str">
        <f>HYPERLINK("https%3A%2F%2Fwww.webofscience.com%2Fwos%2Fwoscc%2Ffull-record%2FWOS:000641964500001","View Full Record in Web of Science")</f>
        <v>View Full Record in Web of Science</v>
      </c>
    </row>
    <row r="91" spans="1:72" x14ac:dyDescent="0.15">
      <c r="A91" t="s">
        <v>72</v>
      </c>
      <c r="B91" t="s">
        <v>2091</v>
      </c>
      <c r="C91" t="s">
        <v>74</v>
      </c>
      <c r="D91" t="s">
        <v>74</v>
      </c>
      <c r="E91" t="s">
        <v>74</v>
      </c>
      <c r="F91" t="s">
        <v>2092</v>
      </c>
      <c r="G91" t="s">
        <v>74</v>
      </c>
      <c r="H91" t="s">
        <v>74</v>
      </c>
      <c r="I91" t="s">
        <v>2093</v>
      </c>
      <c r="J91" t="s">
        <v>2094</v>
      </c>
      <c r="K91" t="s">
        <v>74</v>
      </c>
      <c r="L91" t="s">
        <v>74</v>
      </c>
      <c r="M91" t="s">
        <v>78</v>
      </c>
      <c r="N91" t="s">
        <v>79</v>
      </c>
      <c r="O91" t="s">
        <v>74</v>
      </c>
      <c r="P91" t="s">
        <v>74</v>
      </c>
      <c r="Q91" t="s">
        <v>74</v>
      </c>
      <c r="R91" t="s">
        <v>74</v>
      </c>
      <c r="S91" t="s">
        <v>74</v>
      </c>
      <c r="T91" t="s">
        <v>2095</v>
      </c>
      <c r="U91" t="s">
        <v>74</v>
      </c>
      <c r="V91" t="s">
        <v>2096</v>
      </c>
      <c r="W91" t="s">
        <v>2097</v>
      </c>
      <c r="X91" t="s">
        <v>2098</v>
      </c>
      <c r="Y91" t="s">
        <v>2099</v>
      </c>
      <c r="Z91" t="s">
        <v>2100</v>
      </c>
      <c r="AA91" t="s">
        <v>74</v>
      </c>
      <c r="AB91" t="s">
        <v>2101</v>
      </c>
      <c r="AC91" t="s">
        <v>2102</v>
      </c>
      <c r="AD91" t="s">
        <v>2103</v>
      </c>
      <c r="AE91" t="s">
        <v>2104</v>
      </c>
      <c r="AF91" t="s">
        <v>74</v>
      </c>
      <c r="AG91">
        <v>46</v>
      </c>
      <c r="AH91">
        <v>0</v>
      </c>
      <c r="AI91">
        <v>0</v>
      </c>
      <c r="AJ91">
        <v>0</v>
      </c>
      <c r="AK91">
        <v>9</v>
      </c>
      <c r="AL91" t="s">
        <v>2105</v>
      </c>
      <c r="AM91" t="s">
        <v>2106</v>
      </c>
      <c r="AN91" t="s">
        <v>2107</v>
      </c>
      <c r="AO91" t="s">
        <v>2108</v>
      </c>
      <c r="AP91" t="s">
        <v>2109</v>
      </c>
      <c r="AQ91" t="s">
        <v>74</v>
      </c>
      <c r="AR91" t="s">
        <v>2110</v>
      </c>
      <c r="AS91" t="s">
        <v>2111</v>
      </c>
      <c r="AT91" t="s">
        <v>2112</v>
      </c>
      <c r="AU91">
        <v>2021</v>
      </c>
      <c r="AV91">
        <v>25</v>
      </c>
      <c r="AW91">
        <v>6</v>
      </c>
      <c r="AX91" t="s">
        <v>74</v>
      </c>
      <c r="AY91" t="s">
        <v>74</v>
      </c>
      <c r="AZ91" t="s">
        <v>74</v>
      </c>
      <c r="BA91" t="s">
        <v>74</v>
      </c>
      <c r="BB91">
        <v>799</v>
      </c>
      <c r="BC91">
        <v>811</v>
      </c>
      <c r="BD91" t="s">
        <v>74</v>
      </c>
      <c r="BE91" t="s">
        <v>2113</v>
      </c>
      <c r="BF91" t="str">
        <f>HYPERLINK("http://dx.doi.org/10.1007/s12303-021-0005-7","http://dx.doi.org/10.1007/s12303-021-0005-7")</f>
        <v>http://dx.doi.org/10.1007/s12303-021-0005-7</v>
      </c>
      <c r="BG91" t="s">
        <v>74</v>
      </c>
      <c r="BH91" t="s">
        <v>514</v>
      </c>
      <c r="BI91">
        <v>13</v>
      </c>
      <c r="BJ91" t="s">
        <v>100</v>
      </c>
      <c r="BK91" t="s">
        <v>101</v>
      </c>
      <c r="BL91" t="s">
        <v>102</v>
      </c>
      <c r="BM91" t="s">
        <v>2114</v>
      </c>
      <c r="BN91" t="s">
        <v>74</v>
      </c>
      <c r="BO91" t="s">
        <v>74</v>
      </c>
      <c r="BP91" t="s">
        <v>74</v>
      </c>
      <c r="BQ91" t="s">
        <v>74</v>
      </c>
      <c r="BR91" t="s">
        <v>104</v>
      </c>
      <c r="BS91" t="s">
        <v>2115</v>
      </c>
      <c r="BT91" t="str">
        <f>HYPERLINK("https%3A%2F%2Fwww.webofscience.com%2Fwos%2Fwoscc%2Ffull-record%2FWOS:000640948000001","View Full Record in Web of Science")</f>
        <v>View Full Record in Web of Science</v>
      </c>
    </row>
    <row r="92" spans="1:72" x14ac:dyDescent="0.15">
      <c r="A92" t="s">
        <v>72</v>
      </c>
      <c r="B92" t="s">
        <v>2116</v>
      </c>
      <c r="C92" t="s">
        <v>74</v>
      </c>
      <c r="D92" t="s">
        <v>74</v>
      </c>
      <c r="E92" t="s">
        <v>74</v>
      </c>
      <c r="F92" t="s">
        <v>2117</v>
      </c>
      <c r="G92" t="s">
        <v>74</v>
      </c>
      <c r="H92" t="s">
        <v>74</v>
      </c>
      <c r="I92" t="s">
        <v>2118</v>
      </c>
      <c r="J92" t="s">
        <v>2119</v>
      </c>
      <c r="K92" t="s">
        <v>74</v>
      </c>
      <c r="L92" t="s">
        <v>74</v>
      </c>
      <c r="M92" t="s">
        <v>78</v>
      </c>
      <c r="N92" t="s">
        <v>1074</v>
      </c>
      <c r="O92" t="s">
        <v>74</v>
      </c>
      <c r="P92" t="s">
        <v>74</v>
      </c>
      <c r="Q92" t="s">
        <v>74</v>
      </c>
      <c r="R92" t="s">
        <v>74</v>
      </c>
      <c r="S92" t="s">
        <v>74</v>
      </c>
      <c r="T92" t="s">
        <v>2120</v>
      </c>
      <c r="U92" t="s">
        <v>2121</v>
      </c>
      <c r="V92" t="s">
        <v>2122</v>
      </c>
      <c r="W92" t="s">
        <v>2123</v>
      </c>
      <c r="X92" t="s">
        <v>2124</v>
      </c>
      <c r="Y92" t="s">
        <v>2125</v>
      </c>
      <c r="Z92" t="s">
        <v>2126</v>
      </c>
      <c r="AA92" t="s">
        <v>2127</v>
      </c>
      <c r="AB92" t="s">
        <v>2128</v>
      </c>
      <c r="AC92" t="s">
        <v>74</v>
      </c>
      <c r="AD92" t="s">
        <v>74</v>
      </c>
      <c r="AE92" t="s">
        <v>74</v>
      </c>
      <c r="AF92" t="s">
        <v>74</v>
      </c>
      <c r="AG92">
        <v>67</v>
      </c>
      <c r="AH92">
        <v>16</v>
      </c>
      <c r="AI92">
        <v>16</v>
      </c>
      <c r="AJ92">
        <v>3</v>
      </c>
      <c r="AK92">
        <v>14</v>
      </c>
      <c r="AL92" t="s">
        <v>1058</v>
      </c>
      <c r="AM92" t="s">
        <v>891</v>
      </c>
      <c r="AN92" t="s">
        <v>1059</v>
      </c>
      <c r="AO92" t="s">
        <v>2129</v>
      </c>
      <c r="AP92" t="s">
        <v>2130</v>
      </c>
      <c r="AQ92" t="s">
        <v>74</v>
      </c>
      <c r="AR92" t="s">
        <v>2131</v>
      </c>
      <c r="AS92" t="s">
        <v>2132</v>
      </c>
      <c r="AT92" t="s">
        <v>707</v>
      </c>
      <c r="AU92">
        <v>2021</v>
      </c>
      <c r="AV92">
        <v>194</v>
      </c>
      <c r="AW92" t="s">
        <v>74</v>
      </c>
      <c r="AX92" t="s">
        <v>74</v>
      </c>
      <c r="AY92" t="s">
        <v>74</v>
      </c>
      <c r="AZ92" t="s">
        <v>74</v>
      </c>
      <c r="BA92" t="s">
        <v>74</v>
      </c>
      <c r="BB92" t="s">
        <v>74</v>
      </c>
      <c r="BC92" t="s">
        <v>74</v>
      </c>
      <c r="BD92">
        <v>102569</v>
      </c>
      <c r="BE92" t="s">
        <v>2133</v>
      </c>
      <c r="BF92" t="str">
        <f>HYPERLINK("http://dx.doi.org/10.1016/j.pocean.2021.102569","http://dx.doi.org/10.1016/j.pocean.2021.102569")</f>
        <v>http://dx.doi.org/10.1016/j.pocean.2021.102569</v>
      </c>
      <c r="BG92" t="s">
        <v>74</v>
      </c>
      <c r="BH92" t="s">
        <v>514</v>
      </c>
      <c r="BI92">
        <v>13</v>
      </c>
      <c r="BJ92" t="s">
        <v>369</v>
      </c>
      <c r="BK92" t="s">
        <v>101</v>
      </c>
      <c r="BL92" t="s">
        <v>369</v>
      </c>
      <c r="BM92" t="s">
        <v>2134</v>
      </c>
      <c r="BN92" t="s">
        <v>74</v>
      </c>
      <c r="BO92" t="s">
        <v>712</v>
      </c>
      <c r="BP92" t="s">
        <v>74</v>
      </c>
      <c r="BQ92" t="s">
        <v>74</v>
      </c>
      <c r="BR92" t="s">
        <v>104</v>
      </c>
      <c r="BS92" t="s">
        <v>2135</v>
      </c>
      <c r="BT92" t="str">
        <f>HYPERLINK("https%3A%2F%2Fwww.webofscience.com%2Fwos%2Fwoscc%2Ffull-record%2FWOS:000653103500001","View Full Record in Web of Science")</f>
        <v>View Full Record in Web of Science</v>
      </c>
    </row>
    <row r="93" spans="1:72" x14ac:dyDescent="0.15">
      <c r="A93" t="s">
        <v>72</v>
      </c>
      <c r="B93" t="s">
        <v>2136</v>
      </c>
      <c r="C93" t="s">
        <v>74</v>
      </c>
      <c r="D93" t="s">
        <v>74</v>
      </c>
      <c r="E93" t="s">
        <v>74</v>
      </c>
      <c r="F93" t="s">
        <v>2137</v>
      </c>
      <c r="G93" t="s">
        <v>74</v>
      </c>
      <c r="H93" t="s">
        <v>74</v>
      </c>
      <c r="I93" t="s">
        <v>2138</v>
      </c>
      <c r="J93" t="s">
        <v>1421</v>
      </c>
      <c r="K93" t="s">
        <v>74</v>
      </c>
      <c r="L93" t="s">
        <v>74</v>
      </c>
      <c r="M93" t="s">
        <v>78</v>
      </c>
      <c r="N93" t="s">
        <v>79</v>
      </c>
      <c r="O93" t="s">
        <v>74</v>
      </c>
      <c r="P93" t="s">
        <v>74</v>
      </c>
      <c r="Q93" t="s">
        <v>74</v>
      </c>
      <c r="R93" t="s">
        <v>74</v>
      </c>
      <c r="S93" t="s">
        <v>74</v>
      </c>
      <c r="T93" t="s">
        <v>2139</v>
      </c>
      <c r="U93" t="s">
        <v>74</v>
      </c>
      <c r="V93" t="s">
        <v>2140</v>
      </c>
      <c r="W93" t="s">
        <v>2141</v>
      </c>
      <c r="X93" t="s">
        <v>2142</v>
      </c>
      <c r="Y93" t="s">
        <v>2143</v>
      </c>
      <c r="Z93" t="s">
        <v>2144</v>
      </c>
      <c r="AA93" t="s">
        <v>74</v>
      </c>
      <c r="AB93" t="s">
        <v>2145</v>
      </c>
      <c r="AC93" t="s">
        <v>2146</v>
      </c>
      <c r="AD93" t="s">
        <v>2147</v>
      </c>
      <c r="AE93" t="s">
        <v>2148</v>
      </c>
      <c r="AF93" t="s">
        <v>74</v>
      </c>
      <c r="AG93">
        <v>34</v>
      </c>
      <c r="AH93">
        <v>3</v>
      </c>
      <c r="AI93">
        <v>3</v>
      </c>
      <c r="AJ93">
        <v>1</v>
      </c>
      <c r="AK93">
        <v>6</v>
      </c>
      <c r="AL93" t="s">
        <v>166</v>
      </c>
      <c r="AM93" t="s">
        <v>167</v>
      </c>
      <c r="AN93" t="s">
        <v>168</v>
      </c>
      <c r="AO93" t="s">
        <v>1433</v>
      </c>
      <c r="AP93" t="s">
        <v>1434</v>
      </c>
      <c r="AQ93" t="s">
        <v>74</v>
      </c>
      <c r="AR93" t="s">
        <v>1435</v>
      </c>
      <c r="AS93" t="s">
        <v>1436</v>
      </c>
      <c r="AT93" t="s">
        <v>127</v>
      </c>
      <c r="AU93">
        <v>2021</v>
      </c>
      <c r="AV93">
        <v>44</v>
      </c>
      <c r="AW93">
        <v>5</v>
      </c>
      <c r="AX93" t="s">
        <v>74</v>
      </c>
      <c r="AY93" t="s">
        <v>74</v>
      </c>
      <c r="AZ93" t="s">
        <v>74</v>
      </c>
      <c r="BA93" t="s">
        <v>74</v>
      </c>
      <c r="BB93">
        <v>1029</v>
      </c>
      <c r="BC93">
        <v>1036</v>
      </c>
      <c r="BD93" t="s">
        <v>74</v>
      </c>
      <c r="BE93" t="s">
        <v>2149</v>
      </c>
      <c r="BF93" t="str">
        <f>HYPERLINK("http://dx.doi.org/10.1007/s00300-021-02860-1","http://dx.doi.org/10.1007/s00300-021-02860-1")</f>
        <v>http://dx.doi.org/10.1007/s00300-021-02860-1</v>
      </c>
      <c r="BG93" t="s">
        <v>74</v>
      </c>
      <c r="BH93" t="s">
        <v>514</v>
      </c>
      <c r="BI93">
        <v>8</v>
      </c>
      <c r="BJ93" t="s">
        <v>1438</v>
      </c>
      <c r="BK93" t="s">
        <v>101</v>
      </c>
      <c r="BL93" t="s">
        <v>1439</v>
      </c>
      <c r="BM93" t="s">
        <v>2150</v>
      </c>
      <c r="BN93" t="s">
        <v>74</v>
      </c>
      <c r="BO93" t="s">
        <v>74</v>
      </c>
      <c r="BP93" t="s">
        <v>74</v>
      </c>
      <c r="BQ93" t="s">
        <v>74</v>
      </c>
      <c r="BR93" t="s">
        <v>104</v>
      </c>
      <c r="BS93" t="s">
        <v>2151</v>
      </c>
      <c r="BT93" t="str">
        <f>HYPERLINK("https%3A%2F%2Fwww.webofscience.com%2Fwos%2Fwoscc%2Ffull-record%2FWOS:000640863200001","View Full Record in Web of Science")</f>
        <v>View Full Record in Web of Science</v>
      </c>
    </row>
    <row r="94" spans="1:72" x14ac:dyDescent="0.15">
      <c r="A94" t="s">
        <v>72</v>
      </c>
      <c r="B94" t="s">
        <v>2152</v>
      </c>
      <c r="C94" t="s">
        <v>74</v>
      </c>
      <c r="D94" t="s">
        <v>74</v>
      </c>
      <c r="E94" t="s">
        <v>74</v>
      </c>
      <c r="F94" t="s">
        <v>2153</v>
      </c>
      <c r="G94" t="s">
        <v>74</v>
      </c>
      <c r="H94" t="s">
        <v>74</v>
      </c>
      <c r="I94" t="s">
        <v>2154</v>
      </c>
      <c r="J94" t="s">
        <v>2155</v>
      </c>
      <c r="K94" t="s">
        <v>74</v>
      </c>
      <c r="L94" t="s">
        <v>74</v>
      </c>
      <c r="M94" t="s">
        <v>78</v>
      </c>
      <c r="N94" t="s">
        <v>79</v>
      </c>
      <c r="O94" t="s">
        <v>74</v>
      </c>
      <c r="P94" t="s">
        <v>74</v>
      </c>
      <c r="Q94" t="s">
        <v>74</v>
      </c>
      <c r="R94" t="s">
        <v>74</v>
      </c>
      <c r="S94" t="s">
        <v>74</v>
      </c>
      <c r="T94" t="s">
        <v>2156</v>
      </c>
      <c r="U94" t="s">
        <v>2157</v>
      </c>
      <c r="V94" t="s">
        <v>2158</v>
      </c>
      <c r="W94" t="s">
        <v>2159</v>
      </c>
      <c r="X94" t="s">
        <v>2160</v>
      </c>
      <c r="Y94" t="s">
        <v>2161</v>
      </c>
      <c r="Z94" t="s">
        <v>2162</v>
      </c>
      <c r="AA94" t="s">
        <v>2163</v>
      </c>
      <c r="AB94" t="s">
        <v>2164</v>
      </c>
      <c r="AC94" t="s">
        <v>2165</v>
      </c>
      <c r="AD94" t="s">
        <v>2166</v>
      </c>
      <c r="AE94" t="s">
        <v>2167</v>
      </c>
      <c r="AF94" t="s">
        <v>74</v>
      </c>
      <c r="AG94">
        <v>69</v>
      </c>
      <c r="AH94">
        <v>10</v>
      </c>
      <c r="AI94">
        <v>10</v>
      </c>
      <c r="AJ94">
        <v>0</v>
      </c>
      <c r="AK94">
        <v>7</v>
      </c>
      <c r="AL94" t="s">
        <v>795</v>
      </c>
      <c r="AM94" t="s">
        <v>796</v>
      </c>
      <c r="AN94" t="s">
        <v>797</v>
      </c>
      <c r="AO94" t="s">
        <v>2168</v>
      </c>
      <c r="AP94" t="s">
        <v>2169</v>
      </c>
      <c r="AQ94" t="s">
        <v>74</v>
      </c>
      <c r="AR94" t="s">
        <v>2170</v>
      </c>
      <c r="AS94" t="s">
        <v>2171</v>
      </c>
      <c r="AT94" t="s">
        <v>1462</v>
      </c>
      <c r="AU94">
        <v>2021</v>
      </c>
      <c r="AV94">
        <v>50</v>
      </c>
      <c r="AW94">
        <v>5</v>
      </c>
      <c r="AX94" t="s">
        <v>74</v>
      </c>
      <c r="AY94" t="s">
        <v>74</v>
      </c>
      <c r="AZ94" t="s">
        <v>74</v>
      </c>
      <c r="BA94" t="s">
        <v>74</v>
      </c>
      <c r="BB94">
        <v>647</v>
      </c>
      <c r="BC94">
        <v>657</v>
      </c>
      <c r="BD94" t="s">
        <v>74</v>
      </c>
      <c r="BE94" t="s">
        <v>2172</v>
      </c>
      <c r="BF94" t="str">
        <f>HYPERLINK("http://dx.doi.org/10.1111/zsc.12490","http://dx.doi.org/10.1111/zsc.12490")</f>
        <v>http://dx.doi.org/10.1111/zsc.12490</v>
      </c>
      <c r="BG94" t="s">
        <v>74</v>
      </c>
      <c r="BH94" t="s">
        <v>514</v>
      </c>
      <c r="BI94">
        <v>11</v>
      </c>
      <c r="BJ94" t="s">
        <v>2173</v>
      </c>
      <c r="BK94" t="s">
        <v>101</v>
      </c>
      <c r="BL94" t="s">
        <v>2173</v>
      </c>
      <c r="BM94" t="s">
        <v>2174</v>
      </c>
      <c r="BN94" t="s">
        <v>74</v>
      </c>
      <c r="BO94" t="s">
        <v>74</v>
      </c>
      <c r="BP94" t="s">
        <v>74</v>
      </c>
      <c r="BQ94" t="s">
        <v>74</v>
      </c>
      <c r="BR94" t="s">
        <v>104</v>
      </c>
      <c r="BS94" t="s">
        <v>2175</v>
      </c>
      <c r="BT94" t="str">
        <f>HYPERLINK("https%3A%2F%2Fwww.webofscience.com%2Fwos%2Fwoscc%2Ffull-record%2FWOS:000640808800001","View Full Record in Web of Science")</f>
        <v>View Full Record in Web of Science</v>
      </c>
    </row>
    <row r="95" spans="1:72" x14ac:dyDescent="0.15">
      <c r="A95" t="s">
        <v>72</v>
      </c>
      <c r="B95" t="s">
        <v>2176</v>
      </c>
      <c r="C95" t="s">
        <v>74</v>
      </c>
      <c r="D95" t="s">
        <v>74</v>
      </c>
      <c r="E95" t="s">
        <v>74</v>
      </c>
      <c r="F95" t="s">
        <v>2177</v>
      </c>
      <c r="G95" t="s">
        <v>74</v>
      </c>
      <c r="H95" t="s">
        <v>74</v>
      </c>
      <c r="I95" t="s">
        <v>2178</v>
      </c>
      <c r="J95" t="s">
        <v>1628</v>
      </c>
      <c r="K95" t="s">
        <v>74</v>
      </c>
      <c r="L95" t="s">
        <v>74</v>
      </c>
      <c r="M95" t="s">
        <v>78</v>
      </c>
      <c r="N95" t="s">
        <v>79</v>
      </c>
      <c r="O95" t="s">
        <v>74</v>
      </c>
      <c r="P95" t="s">
        <v>74</v>
      </c>
      <c r="Q95" t="s">
        <v>74</v>
      </c>
      <c r="R95" t="s">
        <v>74</v>
      </c>
      <c r="S95" t="s">
        <v>74</v>
      </c>
      <c r="T95" t="s">
        <v>2179</v>
      </c>
      <c r="U95" t="s">
        <v>2180</v>
      </c>
      <c r="V95" t="s">
        <v>2181</v>
      </c>
      <c r="W95" t="s">
        <v>2182</v>
      </c>
      <c r="X95" t="s">
        <v>2183</v>
      </c>
      <c r="Y95" t="s">
        <v>2184</v>
      </c>
      <c r="Z95" t="s">
        <v>2185</v>
      </c>
      <c r="AA95" t="s">
        <v>2186</v>
      </c>
      <c r="AB95" t="s">
        <v>2187</v>
      </c>
      <c r="AC95" t="s">
        <v>2188</v>
      </c>
      <c r="AD95" t="s">
        <v>2188</v>
      </c>
      <c r="AE95" t="s">
        <v>2189</v>
      </c>
      <c r="AF95" t="s">
        <v>74</v>
      </c>
      <c r="AG95">
        <v>94</v>
      </c>
      <c r="AH95">
        <v>18</v>
      </c>
      <c r="AI95">
        <v>19</v>
      </c>
      <c r="AJ95">
        <v>7</v>
      </c>
      <c r="AK95">
        <v>64</v>
      </c>
      <c r="AL95" t="s">
        <v>1058</v>
      </c>
      <c r="AM95" t="s">
        <v>891</v>
      </c>
      <c r="AN95" t="s">
        <v>1059</v>
      </c>
      <c r="AO95" t="s">
        <v>1641</v>
      </c>
      <c r="AP95" t="s">
        <v>1642</v>
      </c>
      <c r="AQ95" t="s">
        <v>74</v>
      </c>
      <c r="AR95" t="s">
        <v>1643</v>
      </c>
      <c r="AS95" t="s">
        <v>1644</v>
      </c>
      <c r="AT95" t="s">
        <v>707</v>
      </c>
      <c r="AU95">
        <v>2021</v>
      </c>
      <c r="AV95">
        <v>167</v>
      </c>
      <c r="AW95" t="s">
        <v>74</v>
      </c>
      <c r="AX95" t="s">
        <v>74</v>
      </c>
      <c r="AY95" t="s">
        <v>74</v>
      </c>
      <c r="AZ95" t="s">
        <v>74</v>
      </c>
      <c r="BA95" t="s">
        <v>74</v>
      </c>
      <c r="BB95" t="s">
        <v>74</v>
      </c>
      <c r="BC95" t="s">
        <v>74</v>
      </c>
      <c r="BD95">
        <v>112366</v>
      </c>
      <c r="BE95" t="s">
        <v>2190</v>
      </c>
      <c r="BF95" t="str">
        <f>HYPERLINK("http://dx.doi.org/10.1016/j.marpolbul.2021.112366","http://dx.doi.org/10.1016/j.marpolbul.2021.112366")</f>
        <v>http://dx.doi.org/10.1016/j.marpolbul.2021.112366</v>
      </c>
      <c r="BG95" t="s">
        <v>74</v>
      </c>
      <c r="BH95" t="s">
        <v>514</v>
      </c>
      <c r="BI95">
        <v>9</v>
      </c>
      <c r="BJ95" t="s">
        <v>1646</v>
      </c>
      <c r="BK95" t="s">
        <v>101</v>
      </c>
      <c r="BL95" t="s">
        <v>710</v>
      </c>
      <c r="BM95" t="s">
        <v>2191</v>
      </c>
      <c r="BN95">
        <v>33866204</v>
      </c>
      <c r="BO95" t="s">
        <v>663</v>
      </c>
      <c r="BP95" t="s">
        <v>74</v>
      </c>
      <c r="BQ95" t="s">
        <v>74</v>
      </c>
      <c r="BR95" t="s">
        <v>104</v>
      </c>
      <c r="BS95" t="s">
        <v>2192</v>
      </c>
      <c r="BT95" t="str">
        <f>HYPERLINK("https%3A%2F%2Fwww.webofscience.com%2Fwos%2Fwoscc%2Ffull-record%2FWOS:000655695600005","View Full Record in Web of Science")</f>
        <v>View Full Record in Web of Science</v>
      </c>
    </row>
    <row r="96" spans="1:72" x14ac:dyDescent="0.15">
      <c r="A96" t="s">
        <v>72</v>
      </c>
      <c r="B96" t="s">
        <v>2193</v>
      </c>
      <c r="C96" t="s">
        <v>74</v>
      </c>
      <c r="D96" t="s">
        <v>74</v>
      </c>
      <c r="E96" t="s">
        <v>74</v>
      </c>
      <c r="F96" t="s">
        <v>2194</v>
      </c>
      <c r="G96" t="s">
        <v>74</v>
      </c>
      <c r="H96" t="s">
        <v>74</v>
      </c>
      <c r="I96" t="s">
        <v>2195</v>
      </c>
      <c r="J96" t="s">
        <v>1666</v>
      </c>
      <c r="K96" t="s">
        <v>74</v>
      </c>
      <c r="L96" t="s">
        <v>74</v>
      </c>
      <c r="M96" t="s">
        <v>78</v>
      </c>
      <c r="N96" t="s">
        <v>79</v>
      </c>
      <c r="O96" t="s">
        <v>74</v>
      </c>
      <c r="P96" t="s">
        <v>74</v>
      </c>
      <c r="Q96" t="s">
        <v>74</v>
      </c>
      <c r="R96" t="s">
        <v>74</v>
      </c>
      <c r="S96" t="s">
        <v>74</v>
      </c>
      <c r="T96" t="s">
        <v>2196</v>
      </c>
      <c r="U96" t="s">
        <v>2197</v>
      </c>
      <c r="V96" t="s">
        <v>2198</v>
      </c>
      <c r="W96" t="s">
        <v>2199</v>
      </c>
      <c r="X96" t="s">
        <v>2200</v>
      </c>
      <c r="Y96" t="s">
        <v>2201</v>
      </c>
      <c r="Z96" t="s">
        <v>2202</v>
      </c>
      <c r="AA96" t="s">
        <v>2203</v>
      </c>
      <c r="AB96" t="s">
        <v>2204</v>
      </c>
      <c r="AC96" t="s">
        <v>2205</v>
      </c>
      <c r="AD96" t="s">
        <v>2206</v>
      </c>
      <c r="AE96" t="s">
        <v>2207</v>
      </c>
      <c r="AF96" t="s">
        <v>74</v>
      </c>
      <c r="AG96">
        <v>82</v>
      </c>
      <c r="AH96">
        <v>9</v>
      </c>
      <c r="AI96">
        <v>9</v>
      </c>
      <c r="AJ96">
        <v>1</v>
      </c>
      <c r="AK96">
        <v>11</v>
      </c>
      <c r="AL96" t="s">
        <v>1058</v>
      </c>
      <c r="AM96" t="s">
        <v>891</v>
      </c>
      <c r="AN96" t="s">
        <v>1059</v>
      </c>
      <c r="AO96" t="s">
        <v>1679</v>
      </c>
      <c r="AP96" t="s">
        <v>1680</v>
      </c>
      <c r="AQ96" t="s">
        <v>74</v>
      </c>
      <c r="AR96" t="s">
        <v>1681</v>
      </c>
      <c r="AS96" t="s">
        <v>1682</v>
      </c>
      <c r="AT96" t="s">
        <v>2208</v>
      </c>
      <c r="AU96">
        <v>2021</v>
      </c>
      <c r="AV96">
        <v>260</v>
      </c>
      <c r="AW96" t="s">
        <v>74</v>
      </c>
      <c r="AX96" t="s">
        <v>74</v>
      </c>
      <c r="AY96" t="s">
        <v>74</v>
      </c>
      <c r="AZ96" t="s">
        <v>74</v>
      </c>
      <c r="BA96" t="s">
        <v>74</v>
      </c>
      <c r="BB96" t="s">
        <v>74</v>
      </c>
      <c r="BC96" t="s">
        <v>74</v>
      </c>
      <c r="BD96">
        <v>106924</v>
      </c>
      <c r="BE96" t="s">
        <v>2209</v>
      </c>
      <c r="BF96" t="str">
        <f>HYPERLINK("http://dx.doi.org/10.1016/j.quascirev.2021.106924","http://dx.doi.org/10.1016/j.quascirev.2021.106924")</f>
        <v>http://dx.doi.org/10.1016/j.quascirev.2021.106924</v>
      </c>
      <c r="BG96" t="s">
        <v>74</v>
      </c>
      <c r="BH96" t="s">
        <v>514</v>
      </c>
      <c r="BI96">
        <v>18</v>
      </c>
      <c r="BJ96" t="s">
        <v>1685</v>
      </c>
      <c r="BK96" t="s">
        <v>101</v>
      </c>
      <c r="BL96" t="s">
        <v>1686</v>
      </c>
      <c r="BM96" t="s">
        <v>2210</v>
      </c>
      <c r="BN96" t="s">
        <v>74</v>
      </c>
      <c r="BO96" t="s">
        <v>74</v>
      </c>
      <c r="BP96" t="s">
        <v>74</v>
      </c>
      <c r="BQ96" t="s">
        <v>74</v>
      </c>
      <c r="BR96" t="s">
        <v>104</v>
      </c>
      <c r="BS96" t="s">
        <v>2211</v>
      </c>
      <c r="BT96" t="str">
        <f>HYPERLINK("https%3A%2F%2Fwww.webofscience.com%2Fwos%2Fwoscc%2Ffull-record%2FWOS:000649726600003","View Full Record in Web of Science")</f>
        <v>View Full Record in Web of Science</v>
      </c>
    </row>
    <row r="97" spans="1:72" x14ac:dyDescent="0.15">
      <c r="A97" t="s">
        <v>72</v>
      </c>
      <c r="B97" t="s">
        <v>2212</v>
      </c>
      <c r="C97" t="s">
        <v>74</v>
      </c>
      <c r="D97" t="s">
        <v>74</v>
      </c>
      <c r="E97" t="s">
        <v>74</v>
      </c>
      <c r="F97" t="s">
        <v>2213</v>
      </c>
      <c r="G97" t="s">
        <v>74</v>
      </c>
      <c r="H97" t="s">
        <v>2214</v>
      </c>
      <c r="I97" t="s">
        <v>2215</v>
      </c>
      <c r="J97" t="s">
        <v>2216</v>
      </c>
      <c r="K97" t="s">
        <v>74</v>
      </c>
      <c r="L97" t="s">
        <v>74</v>
      </c>
      <c r="M97" t="s">
        <v>78</v>
      </c>
      <c r="N97" t="s">
        <v>79</v>
      </c>
      <c r="O97" t="s">
        <v>74</v>
      </c>
      <c r="P97" t="s">
        <v>74</v>
      </c>
      <c r="Q97" t="s">
        <v>74</v>
      </c>
      <c r="R97" t="s">
        <v>74</v>
      </c>
      <c r="S97" t="s">
        <v>74</v>
      </c>
      <c r="T97" t="s">
        <v>2217</v>
      </c>
      <c r="U97" t="s">
        <v>2218</v>
      </c>
      <c r="V97" t="s">
        <v>2219</v>
      </c>
      <c r="W97" t="s">
        <v>2220</v>
      </c>
      <c r="X97" t="s">
        <v>2221</v>
      </c>
      <c r="Y97" t="s">
        <v>2222</v>
      </c>
      <c r="Z97" t="s">
        <v>2223</v>
      </c>
      <c r="AA97" t="s">
        <v>2224</v>
      </c>
      <c r="AB97" t="s">
        <v>2225</v>
      </c>
      <c r="AC97" t="s">
        <v>2226</v>
      </c>
      <c r="AD97" t="s">
        <v>2227</v>
      </c>
      <c r="AE97" t="s">
        <v>2228</v>
      </c>
      <c r="AF97" t="s">
        <v>74</v>
      </c>
      <c r="AG97">
        <v>106</v>
      </c>
      <c r="AH97">
        <v>10</v>
      </c>
      <c r="AI97">
        <v>10</v>
      </c>
      <c r="AJ97">
        <v>2</v>
      </c>
      <c r="AK97">
        <v>14</v>
      </c>
      <c r="AL97" t="s">
        <v>576</v>
      </c>
      <c r="AM97" t="s">
        <v>577</v>
      </c>
      <c r="AN97" t="s">
        <v>578</v>
      </c>
      <c r="AO97" t="s">
        <v>2229</v>
      </c>
      <c r="AP97" t="s">
        <v>2230</v>
      </c>
      <c r="AQ97" t="s">
        <v>74</v>
      </c>
      <c r="AR97" t="s">
        <v>2216</v>
      </c>
      <c r="AS97" t="s">
        <v>2231</v>
      </c>
      <c r="AT97" t="s">
        <v>2232</v>
      </c>
      <c r="AU97">
        <v>2021</v>
      </c>
      <c r="AV97">
        <v>385</v>
      </c>
      <c r="AW97" t="s">
        <v>74</v>
      </c>
      <c r="AX97" t="s">
        <v>74</v>
      </c>
      <c r="AY97" t="s">
        <v>74</v>
      </c>
      <c r="AZ97" t="s">
        <v>74</v>
      </c>
      <c r="BA97" t="s">
        <v>74</v>
      </c>
      <c r="BB97" t="s">
        <v>74</v>
      </c>
      <c r="BC97" t="s">
        <v>74</v>
      </c>
      <c r="BD97">
        <v>107735</v>
      </c>
      <c r="BE97" t="s">
        <v>2233</v>
      </c>
      <c r="BF97" t="str">
        <f>HYPERLINK("http://dx.doi.org/10.1016/j.geomorph.2021.107735","http://dx.doi.org/10.1016/j.geomorph.2021.107735")</f>
        <v>http://dx.doi.org/10.1016/j.geomorph.2021.107735</v>
      </c>
      <c r="BG97" t="s">
        <v>74</v>
      </c>
      <c r="BH97" t="s">
        <v>514</v>
      </c>
      <c r="BI97">
        <v>18</v>
      </c>
      <c r="BJ97" t="s">
        <v>1685</v>
      </c>
      <c r="BK97" t="s">
        <v>101</v>
      </c>
      <c r="BL97" t="s">
        <v>1686</v>
      </c>
      <c r="BM97" t="s">
        <v>2234</v>
      </c>
      <c r="BN97" t="s">
        <v>74</v>
      </c>
      <c r="BO97" t="s">
        <v>1756</v>
      </c>
      <c r="BP97" t="s">
        <v>74</v>
      </c>
      <c r="BQ97" t="s">
        <v>74</v>
      </c>
      <c r="BR97" t="s">
        <v>104</v>
      </c>
      <c r="BS97" t="s">
        <v>2235</v>
      </c>
      <c r="BT97" t="str">
        <f>HYPERLINK("https%3A%2F%2Fwww.webofscience.com%2Fwos%2Fwoscc%2Ffull-record%2FWOS:000648853800001","View Full Record in Web of Science")</f>
        <v>View Full Record in Web of Science</v>
      </c>
    </row>
    <row r="98" spans="1:72" x14ac:dyDescent="0.15">
      <c r="A98" t="s">
        <v>72</v>
      </c>
      <c r="B98" t="s">
        <v>2236</v>
      </c>
      <c r="C98" t="s">
        <v>74</v>
      </c>
      <c r="D98" t="s">
        <v>74</v>
      </c>
      <c r="E98" t="s">
        <v>74</v>
      </c>
      <c r="F98" t="s">
        <v>2237</v>
      </c>
      <c r="G98" t="s">
        <v>74</v>
      </c>
      <c r="H98" t="s">
        <v>74</v>
      </c>
      <c r="I98" t="s">
        <v>2238</v>
      </c>
      <c r="J98" t="s">
        <v>904</v>
      </c>
      <c r="K98" t="s">
        <v>74</v>
      </c>
      <c r="L98" t="s">
        <v>74</v>
      </c>
      <c r="M98" t="s">
        <v>78</v>
      </c>
      <c r="N98" t="s">
        <v>79</v>
      </c>
      <c r="O98" t="s">
        <v>74</v>
      </c>
      <c r="P98" t="s">
        <v>74</v>
      </c>
      <c r="Q98" t="s">
        <v>74</v>
      </c>
      <c r="R98" t="s">
        <v>74</v>
      </c>
      <c r="S98" t="s">
        <v>74</v>
      </c>
      <c r="T98" t="s">
        <v>2239</v>
      </c>
      <c r="U98" t="s">
        <v>2240</v>
      </c>
      <c r="V98" t="s">
        <v>2241</v>
      </c>
      <c r="W98" t="s">
        <v>2242</v>
      </c>
      <c r="X98" t="s">
        <v>2243</v>
      </c>
      <c r="Y98" t="s">
        <v>2244</v>
      </c>
      <c r="Z98" t="s">
        <v>2245</v>
      </c>
      <c r="AA98" t="s">
        <v>2246</v>
      </c>
      <c r="AB98" t="s">
        <v>2247</v>
      </c>
      <c r="AC98" t="s">
        <v>2248</v>
      </c>
      <c r="AD98" t="s">
        <v>2249</v>
      </c>
      <c r="AE98" t="s">
        <v>2250</v>
      </c>
      <c r="AF98" t="s">
        <v>74</v>
      </c>
      <c r="AG98">
        <v>67</v>
      </c>
      <c r="AH98">
        <v>1</v>
      </c>
      <c r="AI98">
        <v>2</v>
      </c>
      <c r="AJ98">
        <v>3</v>
      </c>
      <c r="AK98">
        <v>25</v>
      </c>
      <c r="AL98" t="s">
        <v>917</v>
      </c>
      <c r="AM98" t="s">
        <v>390</v>
      </c>
      <c r="AN98" t="s">
        <v>918</v>
      </c>
      <c r="AO98" t="s">
        <v>919</v>
      </c>
      <c r="AP98" t="s">
        <v>920</v>
      </c>
      <c r="AQ98" t="s">
        <v>74</v>
      </c>
      <c r="AR98" t="s">
        <v>921</v>
      </c>
      <c r="AS98" t="s">
        <v>922</v>
      </c>
      <c r="AT98" t="s">
        <v>2251</v>
      </c>
      <c r="AU98">
        <v>2021</v>
      </c>
      <c r="AV98">
        <v>48</v>
      </c>
      <c r="AW98">
        <v>7</v>
      </c>
      <c r="AX98" t="s">
        <v>74</v>
      </c>
      <c r="AY98" t="s">
        <v>74</v>
      </c>
      <c r="AZ98" t="s">
        <v>74</v>
      </c>
      <c r="BA98" t="s">
        <v>74</v>
      </c>
      <c r="BB98" t="s">
        <v>74</v>
      </c>
      <c r="BC98" t="s">
        <v>74</v>
      </c>
      <c r="BD98" t="s">
        <v>2252</v>
      </c>
      <c r="BE98" t="s">
        <v>2253</v>
      </c>
      <c r="BF98" t="str">
        <f>HYPERLINK("http://dx.doi.org/10.1029/2021GL092923","http://dx.doi.org/10.1029/2021GL092923")</f>
        <v>http://dx.doi.org/10.1029/2021GL092923</v>
      </c>
      <c r="BG98" t="s">
        <v>74</v>
      </c>
      <c r="BH98" t="s">
        <v>74</v>
      </c>
      <c r="BI98">
        <v>11</v>
      </c>
      <c r="BJ98" t="s">
        <v>100</v>
      </c>
      <c r="BK98" t="s">
        <v>101</v>
      </c>
      <c r="BL98" t="s">
        <v>102</v>
      </c>
      <c r="BM98" t="s">
        <v>2254</v>
      </c>
      <c r="BN98" t="s">
        <v>74</v>
      </c>
      <c r="BO98" t="s">
        <v>1492</v>
      </c>
      <c r="BP98" t="s">
        <v>74</v>
      </c>
      <c r="BQ98" t="s">
        <v>74</v>
      </c>
      <c r="BR98" t="s">
        <v>104</v>
      </c>
      <c r="BS98" t="s">
        <v>2255</v>
      </c>
      <c r="BT98" t="str">
        <f>HYPERLINK("https%3A%2F%2Fwww.webofscience.com%2Fwos%2Fwoscc%2Ffull-record%2FWOS:000641974600001","View Full Record in Web of Science")</f>
        <v>View Full Record in Web of Science</v>
      </c>
    </row>
    <row r="99" spans="1:72" x14ac:dyDescent="0.15">
      <c r="A99" t="s">
        <v>72</v>
      </c>
      <c r="B99" t="s">
        <v>2256</v>
      </c>
      <c r="C99" t="s">
        <v>74</v>
      </c>
      <c r="D99" t="s">
        <v>74</v>
      </c>
      <c r="E99" t="s">
        <v>74</v>
      </c>
      <c r="F99" t="s">
        <v>2257</v>
      </c>
      <c r="G99" t="s">
        <v>74</v>
      </c>
      <c r="H99" t="s">
        <v>74</v>
      </c>
      <c r="I99" t="s">
        <v>2258</v>
      </c>
      <c r="J99" t="s">
        <v>2259</v>
      </c>
      <c r="K99" t="s">
        <v>74</v>
      </c>
      <c r="L99" t="s">
        <v>74</v>
      </c>
      <c r="M99" t="s">
        <v>78</v>
      </c>
      <c r="N99" t="s">
        <v>79</v>
      </c>
      <c r="O99" t="s">
        <v>74</v>
      </c>
      <c r="P99" t="s">
        <v>74</v>
      </c>
      <c r="Q99" t="s">
        <v>74</v>
      </c>
      <c r="R99" t="s">
        <v>74</v>
      </c>
      <c r="S99" t="s">
        <v>74</v>
      </c>
      <c r="T99" t="s">
        <v>2260</v>
      </c>
      <c r="U99" t="s">
        <v>2261</v>
      </c>
      <c r="V99" t="s">
        <v>2262</v>
      </c>
      <c r="W99" t="s">
        <v>2263</v>
      </c>
      <c r="X99" t="s">
        <v>2264</v>
      </c>
      <c r="Y99" t="s">
        <v>2265</v>
      </c>
      <c r="Z99" t="s">
        <v>2266</v>
      </c>
      <c r="AA99" t="s">
        <v>2267</v>
      </c>
      <c r="AB99" t="s">
        <v>2268</v>
      </c>
      <c r="AC99" t="s">
        <v>74</v>
      </c>
      <c r="AD99" t="s">
        <v>74</v>
      </c>
      <c r="AE99" t="s">
        <v>74</v>
      </c>
      <c r="AF99" t="s">
        <v>74</v>
      </c>
      <c r="AG99">
        <v>106</v>
      </c>
      <c r="AH99">
        <v>23</v>
      </c>
      <c r="AI99">
        <v>24</v>
      </c>
      <c r="AJ99">
        <v>5</v>
      </c>
      <c r="AK99">
        <v>56</v>
      </c>
      <c r="AL99" t="s">
        <v>576</v>
      </c>
      <c r="AM99" t="s">
        <v>577</v>
      </c>
      <c r="AN99" t="s">
        <v>578</v>
      </c>
      <c r="AO99" t="s">
        <v>2269</v>
      </c>
      <c r="AP99" t="s">
        <v>2270</v>
      </c>
      <c r="AQ99" t="s">
        <v>74</v>
      </c>
      <c r="AR99" t="s">
        <v>2259</v>
      </c>
      <c r="AS99" t="s">
        <v>2271</v>
      </c>
      <c r="AT99" t="s">
        <v>1091</v>
      </c>
      <c r="AU99">
        <v>2021</v>
      </c>
      <c r="AV99">
        <v>102</v>
      </c>
      <c r="AW99" t="s">
        <v>74</v>
      </c>
      <c r="AX99" t="s">
        <v>74</v>
      </c>
      <c r="AY99" t="s">
        <v>74</v>
      </c>
      <c r="AZ99" t="s">
        <v>803</v>
      </c>
      <c r="BA99" t="s">
        <v>74</v>
      </c>
      <c r="BB99" t="s">
        <v>74</v>
      </c>
      <c r="BC99" t="s">
        <v>74</v>
      </c>
      <c r="BD99">
        <v>101848</v>
      </c>
      <c r="BE99" t="s">
        <v>2272</v>
      </c>
      <c r="BF99" t="str">
        <f>HYPERLINK("http://dx.doi.org/10.1016/j.hal.2020.101848","http://dx.doi.org/10.1016/j.hal.2020.101848")</f>
        <v>http://dx.doi.org/10.1016/j.hal.2020.101848</v>
      </c>
      <c r="BG99" t="s">
        <v>74</v>
      </c>
      <c r="BH99" t="s">
        <v>514</v>
      </c>
      <c r="BI99">
        <v>15</v>
      </c>
      <c r="BJ99" t="s">
        <v>494</v>
      </c>
      <c r="BK99" t="s">
        <v>101</v>
      </c>
      <c r="BL99" t="s">
        <v>494</v>
      </c>
      <c r="BM99" t="s">
        <v>2273</v>
      </c>
      <c r="BN99">
        <v>33875178</v>
      </c>
      <c r="BO99" t="s">
        <v>74</v>
      </c>
      <c r="BP99" t="s">
        <v>74</v>
      </c>
      <c r="BQ99" t="s">
        <v>74</v>
      </c>
      <c r="BR99" t="s">
        <v>104</v>
      </c>
      <c r="BS99" t="s">
        <v>2274</v>
      </c>
      <c r="BT99" t="str">
        <f>HYPERLINK("https%3A%2F%2Fwww.webofscience.com%2Fwos%2Fwoscc%2Ffull-record%2FWOS:000641459100004","View Full Record in Web of Science")</f>
        <v>View Full Record in Web of Science</v>
      </c>
    </row>
    <row r="100" spans="1:72" x14ac:dyDescent="0.15">
      <c r="A100" t="s">
        <v>72</v>
      </c>
      <c r="B100" t="s">
        <v>2275</v>
      </c>
      <c r="C100" t="s">
        <v>74</v>
      </c>
      <c r="D100" t="s">
        <v>74</v>
      </c>
      <c r="E100" t="s">
        <v>74</v>
      </c>
      <c r="F100" t="s">
        <v>2276</v>
      </c>
      <c r="G100" t="s">
        <v>74</v>
      </c>
      <c r="H100" t="s">
        <v>74</v>
      </c>
      <c r="I100" t="s">
        <v>2277</v>
      </c>
      <c r="J100" t="s">
        <v>1833</v>
      </c>
      <c r="K100" t="s">
        <v>74</v>
      </c>
      <c r="L100" t="s">
        <v>74</v>
      </c>
      <c r="M100" t="s">
        <v>78</v>
      </c>
      <c r="N100" t="s">
        <v>79</v>
      </c>
      <c r="O100" t="s">
        <v>74</v>
      </c>
      <c r="P100" t="s">
        <v>74</v>
      </c>
      <c r="Q100" t="s">
        <v>74</v>
      </c>
      <c r="R100" t="s">
        <v>74</v>
      </c>
      <c r="S100" t="s">
        <v>74</v>
      </c>
      <c r="T100" t="s">
        <v>74</v>
      </c>
      <c r="U100" t="s">
        <v>2278</v>
      </c>
      <c r="V100" t="s">
        <v>2279</v>
      </c>
      <c r="W100" t="s">
        <v>2280</v>
      </c>
      <c r="X100" t="s">
        <v>2281</v>
      </c>
      <c r="Y100" t="s">
        <v>2282</v>
      </c>
      <c r="Z100" t="s">
        <v>2283</v>
      </c>
      <c r="AA100" t="s">
        <v>2284</v>
      </c>
      <c r="AB100" t="s">
        <v>2285</v>
      </c>
      <c r="AC100" t="s">
        <v>2286</v>
      </c>
      <c r="AD100" t="s">
        <v>2287</v>
      </c>
      <c r="AE100" t="s">
        <v>2288</v>
      </c>
      <c r="AF100" t="s">
        <v>74</v>
      </c>
      <c r="AG100">
        <v>39</v>
      </c>
      <c r="AH100">
        <v>5</v>
      </c>
      <c r="AI100">
        <v>5</v>
      </c>
      <c r="AJ100">
        <v>2</v>
      </c>
      <c r="AK100">
        <v>12</v>
      </c>
      <c r="AL100" t="s">
        <v>917</v>
      </c>
      <c r="AM100" t="s">
        <v>390</v>
      </c>
      <c r="AN100" t="s">
        <v>918</v>
      </c>
      <c r="AO100" t="s">
        <v>1846</v>
      </c>
      <c r="AP100" t="s">
        <v>1847</v>
      </c>
      <c r="AQ100" t="s">
        <v>74</v>
      </c>
      <c r="AR100" t="s">
        <v>1848</v>
      </c>
      <c r="AS100" t="s">
        <v>1849</v>
      </c>
      <c r="AT100" t="s">
        <v>2251</v>
      </c>
      <c r="AU100">
        <v>2021</v>
      </c>
      <c r="AV100">
        <v>126</v>
      </c>
      <c r="AW100">
        <v>7</v>
      </c>
      <c r="AX100" t="s">
        <v>74</v>
      </c>
      <c r="AY100" t="s">
        <v>74</v>
      </c>
      <c r="AZ100" t="s">
        <v>74</v>
      </c>
      <c r="BA100" t="s">
        <v>74</v>
      </c>
      <c r="BB100" t="s">
        <v>74</v>
      </c>
      <c r="BC100" t="s">
        <v>74</v>
      </c>
      <c r="BD100" t="s">
        <v>2289</v>
      </c>
      <c r="BE100" t="s">
        <v>2290</v>
      </c>
      <c r="BF100" t="str">
        <f>HYPERLINK("http://dx.doi.org/10.1029/2020JD033852","http://dx.doi.org/10.1029/2020JD033852")</f>
        <v>http://dx.doi.org/10.1029/2020JD033852</v>
      </c>
      <c r="BG100" t="s">
        <v>74</v>
      </c>
      <c r="BH100" t="s">
        <v>74</v>
      </c>
      <c r="BI100">
        <v>13</v>
      </c>
      <c r="BJ100" t="s">
        <v>129</v>
      </c>
      <c r="BK100" t="s">
        <v>101</v>
      </c>
      <c r="BL100" t="s">
        <v>129</v>
      </c>
      <c r="BM100" t="s">
        <v>2291</v>
      </c>
      <c r="BN100" t="s">
        <v>74</v>
      </c>
      <c r="BO100" t="s">
        <v>74</v>
      </c>
      <c r="BP100" t="s">
        <v>74</v>
      </c>
      <c r="BQ100" t="s">
        <v>74</v>
      </c>
      <c r="BR100" t="s">
        <v>104</v>
      </c>
      <c r="BS100" t="s">
        <v>2292</v>
      </c>
      <c r="BT100" t="str">
        <f>HYPERLINK("https%3A%2F%2Fwww.webofscience.com%2Fwos%2Fwoscc%2Ffull-record%2FWOS:000640969000025","View Full Record in Web of Science")</f>
        <v>View Full Record in Web of Science</v>
      </c>
    </row>
    <row r="101" spans="1:72" x14ac:dyDescent="0.15">
      <c r="A101" t="s">
        <v>72</v>
      </c>
      <c r="B101" t="s">
        <v>2293</v>
      </c>
      <c r="C101" t="s">
        <v>74</v>
      </c>
      <c r="D101" t="s">
        <v>74</v>
      </c>
      <c r="E101" t="s">
        <v>74</v>
      </c>
      <c r="F101" t="s">
        <v>2294</v>
      </c>
      <c r="G101" t="s">
        <v>74</v>
      </c>
      <c r="H101" t="s">
        <v>74</v>
      </c>
      <c r="I101" t="s">
        <v>2295</v>
      </c>
      <c r="J101" t="s">
        <v>1833</v>
      </c>
      <c r="K101" t="s">
        <v>74</v>
      </c>
      <c r="L101" t="s">
        <v>74</v>
      </c>
      <c r="M101" t="s">
        <v>78</v>
      </c>
      <c r="N101" t="s">
        <v>79</v>
      </c>
      <c r="O101" t="s">
        <v>74</v>
      </c>
      <c r="P101" t="s">
        <v>74</v>
      </c>
      <c r="Q101" t="s">
        <v>74</v>
      </c>
      <c r="R101" t="s">
        <v>74</v>
      </c>
      <c r="S101" t="s">
        <v>74</v>
      </c>
      <c r="T101" t="s">
        <v>2296</v>
      </c>
      <c r="U101" t="s">
        <v>2297</v>
      </c>
      <c r="V101" t="s">
        <v>2298</v>
      </c>
      <c r="W101" t="s">
        <v>2299</v>
      </c>
      <c r="X101" t="s">
        <v>2300</v>
      </c>
      <c r="Y101" t="s">
        <v>2301</v>
      </c>
      <c r="Z101" t="s">
        <v>2302</v>
      </c>
      <c r="AA101" t="s">
        <v>74</v>
      </c>
      <c r="AB101" t="s">
        <v>2303</v>
      </c>
      <c r="AC101" t="s">
        <v>2304</v>
      </c>
      <c r="AD101" t="s">
        <v>2305</v>
      </c>
      <c r="AE101" t="s">
        <v>2306</v>
      </c>
      <c r="AF101" t="s">
        <v>74</v>
      </c>
      <c r="AG101">
        <v>44</v>
      </c>
      <c r="AH101">
        <v>11</v>
      </c>
      <c r="AI101">
        <v>13</v>
      </c>
      <c r="AJ101">
        <v>0</v>
      </c>
      <c r="AK101">
        <v>7</v>
      </c>
      <c r="AL101" t="s">
        <v>917</v>
      </c>
      <c r="AM101" t="s">
        <v>390</v>
      </c>
      <c r="AN101" t="s">
        <v>918</v>
      </c>
      <c r="AO101" t="s">
        <v>1846</v>
      </c>
      <c r="AP101" t="s">
        <v>1847</v>
      </c>
      <c r="AQ101" t="s">
        <v>74</v>
      </c>
      <c r="AR101" t="s">
        <v>1848</v>
      </c>
      <c r="AS101" t="s">
        <v>1849</v>
      </c>
      <c r="AT101" t="s">
        <v>2251</v>
      </c>
      <c r="AU101">
        <v>2021</v>
      </c>
      <c r="AV101">
        <v>126</v>
      </c>
      <c r="AW101">
        <v>7</v>
      </c>
      <c r="AX101" t="s">
        <v>74</v>
      </c>
      <c r="AY101" t="s">
        <v>74</v>
      </c>
      <c r="AZ101" t="s">
        <v>74</v>
      </c>
      <c r="BA101" t="s">
        <v>74</v>
      </c>
      <c r="BB101" t="s">
        <v>74</v>
      </c>
      <c r="BC101" t="s">
        <v>74</v>
      </c>
      <c r="BD101" t="s">
        <v>2307</v>
      </c>
      <c r="BE101" t="s">
        <v>2308</v>
      </c>
      <c r="BF101" t="str">
        <f>HYPERLINK("http://dx.doi.org/10.1029/2020JD033935","http://dx.doi.org/10.1029/2020JD033935")</f>
        <v>http://dx.doi.org/10.1029/2020JD033935</v>
      </c>
      <c r="BG101" t="s">
        <v>74</v>
      </c>
      <c r="BH101" t="s">
        <v>74</v>
      </c>
      <c r="BI101">
        <v>19</v>
      </c>
      <c r="BJ101" t="s">
        <v>129</v>
      </c>
      <c r="BK101" t="s">
        <v>101</v>
      </c>
      <c r="BL101" t="s">
        <v>129</v>
      </c>
      <c r="BM101" t="s">
        <v>2291</v>
      </c>
      <c r="BN101" t="s">
        <v>74</v>
      </c>
      <c r="BO101" t="s">
        <v>398</v>
      </c>
      <c r="BP101" t="s">
        <v>74</v>
      </c>
      <c r="BQ101" t="s">
        <v>74</v>
      </c>
      <c r="BR101" t="s">
        <v>104</v>
      </c>
      <c r="BS101" t="s">
        <v>2309</v>
      </c>
      <c r="BT101" t="str">
        <f>HYPERLINK("https%3A%2F%2Fwww.webofscience.com%2Fwos%2Fwoscc%2Ffull-record%2FWOS:000640969000049","View Full Record in Web of Science")</f>
        <v>View Full Record in Web of Science</v>
      </c>
    </row>
    <row r="102" spans="1:72" x14ac:dyDescent="0.15">
      <c r="A102" t="s">
        <v>72</v>
      </c>
      <c r="B102" t="s">
        <v>2310</v>
      </c>
      <c r="C102" t="s">
        <v>74</v>
      </c>
      <c r="D102" t="s">
        <v>74</v>
      </c>
      <c r="E102" t="s">
        <v>74</v>
      </c>
      <c r="F102" t="s">
        <v>2311</v>
      </c>
      <c r="G102" t="s">
        <v>74</v>
      </c>
      <c r="H102" t="s">
        <v>74</v>
      </c>
      <c r="I102" t="s">
        <v>2312</v>
      </c>
      <c r="J102" t="s">
        <v>1833</v>
      </c>
      <c r="K102" t="s">
        <v>74</v>
      </c>
      <c r="L102" t="s">
        <v>74</v>
      </c>
      <c r="M102" t="s">
        <v>78</v>
      </c>
      <c r="N102" t="s">
        <v>79</v>
      </c>
      <c r="O102" t="s">
        <v>74</v>
      </c>
      <c r="P102" t="s">
        <v>74</v>
      </c>
      <c r="Q102" t="s">
        <v>74</v>
      </c>
      <c r="R102" t="s">
        <v>74</v>
      </c>
      <c r="S102" t="s">
        <v>74</v>
      </c>
      <c r="T102" t="s">
        <v>2313</v>
      </c>
      <c r="U102" t="s">
        <v>2314</v>
      </c>
      <c r="V102" t="s">
        <v>2315</v>
      </c>
      <c r="W102" t="s">
        <v>2316</v>
      </c>
      <c r="X102" t="s">
        <v>2317</v>
      </c>
      <c r="Y102" t="s">
        <v>2318</v>
      </c>
      <c r="Z102" t="s">
        <v>954</v>
      </c>
      <c r="AA102" t="s">
        <v>2319</v>
      </c>
      <c r="AB102" t="s">
        <v>2320</v>
      </c>
      <c r="AC102" t="s">
        <v>2321</v>
      </c>
      <c r="AD102" t="s">
        <v>2322</v>
      </c>
      <c r="AE102" t="s">
        <v>2323</v>
      </c>
      <c r="AF102" t="s">
        <v>74</v>
      </c>
      <c r="AG102">
        <v>90</v>
      </c>
      <c r="AH102">
        <v>24</v>
      </c>
      <c r="AI102">
        <v>25</v>
      </c>
      <c r="AJ102">
        <v>5</v>
      </c>
      <c r="AK102">
        <v>16</v>
      </c>
      <c r="AL102" t="s">
        <v>917</v>
      </c>
      <c r="AM102" t="s">
        <v>390</v>
      </c>
      <c r="AN102" t="s">
        <v>918</v>
      </c>
      <c r="AO102" t="s">
        <v>1846</v>
      </c>
      <c r="AP102" t="s">
        <v>1847</v>
      </c>
      <c r="AQ102" t="s">
        <v>74</v>
      </c>
      <c r="AR102" t="s">
        <v>1848</v>
      </c>
      <c r="AS102" t="s">
        <v>1849</v>
      </c>
      <c r="AT102" t="s">
        <v>2251</v>
      </c>
      <c r="AU102">
        <v>2021</v>
      </c>
      <c r="AV102">
        <v>126</v>
      </c>
      <c r="AW102">
        <v>7</v>
      </c>
      <c r="AX102" t="s">
        <v>74</v>
      </c>
      <c r="AY102" t="s">
        <v>74</v>
      </c>
      <c r="AZ102" t="s">
        <v>74</v>
      </c>
      <c r="BA102" t="s">
        <v>74</v>
      </c>
      <c r="BB102" t="s">
        <v>74</v>
      </c>
      <c r="BC102" t="s">
        <v>74</v>
      </c>
      <c r="BD102" t="s">
        <v>2324</v>
      </c>
      <c r="BE102" t="s">
        <v>2325</v>
      </c>
      <c r="BF102" t="str">
        <f>HYPERLINK("http://dx.doi.org/10.1029/2020JD033490","http://dx.doi.org/10.1029/2020JD033490")</f>
        <v>http://dx.doi.org/10.1029/2020JD033490</v>
      </c>
      <c r="BG102" t="s">
        <v>74</v>
      </c>
      <c r="BH102" t="s">
        <v>74</v>
      </c>
      <c r="BI102">
        <v>21</v>
      </c>
      <c r="BJ102" t="s">
        <v>129</v>
      </c>
      <c r="BK102" t="s">
        <v>101</v>
      </c>
      <c r="BL102" t="s">
        <v>129</v>
      </c>
      <c r="BM102" t="s">
        <v>2291</v>
      </c>
      <c r="BN102" t="s">
        <v>74</v>
      </c>
      <c r="BO102" t="s">
        <v>899</v>
      </c>
      <c r="BP102" t="s">
        <v>74</v>
      </c>
      <c r="BQ102" t="s">
        <v>74</v>
      </c>
      <c r="BR102" t="s">
        <v>104</v>
      </c>
      <c r="BS102" t="s">
        <v>2326</v>
      </c>
      <c r="BT102" t="str">
        <f>HYPERLINK("https%3A%2F%2Fwww.webofscience.com%2Fwos%2Fwoscc%2Ffull-record%2FWOS:000640969000016","View Full Record in Web of Science")</f>
        <v>View Full Record in Web of Science</v>
      </c>
    </row>
    <row r="103" spans="1:72" x14ac:dyDescent="0.15">
      <c r="A103" t="s">
        <v>72</v>
      </c>
      <c r="B103" t="s">
        <v>2327</v>
      </c>
      <c r="C103" t="s">
        <v>74</v>
      </c>
      <c r="D103" t="s">
        <v>74</v>
      </c>
      <c r="E103" t="s">
        <v>74</v>
      </c>
      <c r="F103" t="s">
        <v>2328</v>
      </c>
      <c r="G103" t="s">
        <v>74</v>
      </c>
      <c r="H103" t="s">
        <v>74</v>
      </c>
      <c r="I103" t="s">
        <v>2329</v>
      </c>
      <c r="J103" t="s">
        <v>904</v>
      </c>
      <c r="K103" t="s">
        <v>74</v>
      </c>
      <c r="L103" t="s">
        <v>74</v>
      </c>
      <c r="M103" t="s">
        <v>78</v>
      </c>
      <c r="N103" t="s">
        <v>79</v>
      </c>
      <c r="O103" t="s">
        <v>74</v>
      </c>
      <c r="P103" t="s">
        <v>74</v>
      </c>
      <c r="Q103" t="s">
        <v>74</v>
      </c>
      <c r="R103" t="s">
        <v>74</v>
      </c>
      <c r="S103" t="s">
        <v>74</v>
      </c>
      <c r="T103" t="s">
        <v>2330</v>
      </c>
      <c r="U103" t="s">
        <v>2331</v>
      </c>
      <c r="V103" t="s">
        <v>2332</v>
      </c>
      <c r="W103" t="s">
        <v>2333</v>
      </c>
      <c r="X103" t="s">
        <v>2334</v>
      </c>
      <c r="Y103" t="s">
        <v>2335</v>
      </c>
      <c r="Z103" t="s">
        <v>2336</v>
      </c>
      <c r="AA103" t="s">
        <v>2337</v>
      </c>
      <c r="AB103" t="s">
        <v>2338</v>
      </c>
      <c r="AC103" t="s">
        <v>2339</v>
      </c>
      <c r="AD103" t="s">
        <v>2340</v>
      </c>
      <c r="AE103" t="s">
        <v>2341</v>
      </c>
      <c r="AF103" t="s">
        <v>74</v>
      </c>
      <c r="AG103">
        <v>23</v>
      </c>
      <c r="AH103">
        <v>10</v>
      </c>
      <c r="AI103">
        <v>10</v>
      </c>
      <c r="AJ103">
        <v>1</v>
      </c>
      <c r="AK103">
        <v>10</v>
      </c>
      <c r="AL103" t="s">
        <v>917</v>
      </c>
      <c r="AM103" t="s">
        <v>390</v>
      </c>
      <c r="AN103" t="s">
        <v>918</v>
      </c>
      <c r="AO103" t="s">
        <v>919</v>
      </c>
      <c r="AP103" t="s">
        <v>920</v>
      </c>
      <c r="AQ103" t="s">
        <v>74</v>
      </c>
      <c r="AR103" t="s">
        <v>921</v>
      </c>
      <c r="AS103" t="s">
        <v>922</v>
      </c>
      <c r="AT103" t="s">
        <v>2251</v>
      </c>
      <c r="AU103">
        <v>2021</v>
      </c>
      <c r="AV103">
        <v>48</v>
      </c>
      <c r="AW103">
        <v>7</v>
      </c>
      <c r="AX103" t="s">
        <v>74</v>
      </c>
      <c r="AY103" t="s">
        <v>74</v>
      </c>
      <c r="AZ103" t="s">
        <v>74</v>
      </c>
      <c r="BA103" t="s">
        <v>74</v>
      </c>
      <c r="BB103" t="s">
        <v>74</v>
      </c>
      <c r="BC103" t="s">
        <v>74</v>
      </c>
      <c r="BD103" t="s">
        <v>2342</v>
      </c>
      <c r="BE103" t="s">
        <v>2343</v>
      </c>
      <c r="BF103" t="str">
        <f>HYPERLINK("http://dx.doi.org/10.1029/2021GL092692","http://dx.doi.org/10.1029/2021GL092692")</f>
        <v>http://dx.doi.org/10.1029/2021GL092692</v>
      </c>
      <c r="BG103" t="s">
        <v>74</v>
      </c>
      <c r="BH103" t="s">
        <v>74</v>
      </c>
      <c r="BI103">
        <v>10</v>
      </c>
      <c r="BJ103" t="s">
        <v>100</v>
      </c>
      <c r="BK103" t="s">
        <v>101</v>
      </c>
      <c r="BL103" t="s">
        <v>102</v>
      </c>
      <c r="BM103" t="s">
        <v>2254</v>
      </c>
      <c r="BN103" t="s">
        <v>74</v>
      </c>
      <c r="BO103" t="s">
        <v>2344</v>
      </c>
      <c r="BP103" t="s">
        <v>74</v>
      </c>
      <c r="BQ103" t="s">
        <v>74</v>
      </c>
      <c r="BR103" t="s">
        <v>104</v>
      </c>
      <c r="BS103" t="s">
        <v>2345</v>
      </c>
      <c r="BT103" t="str">
        <f>HYPERLINK("https%3A%2F%2Fwww.webofscience.com%2Fwos%2Fwoscc%2Ffull-record%2FWOS:000641974600083","View Full Record in Web of Science")</f>
        <v>View Full Record in Web of Science</v>
      </c>
    </row>
    <row r="104" spans="1:72" x14ac:dyDescent="0.15">
      <c r="A104" t="s">
        <v>72</v>
      </c>
      <c r="B104" t="s">
        <v>2346</v>
      </c>
      <c r="C104" t="s">
        <v>74</v>
      </c>
      <c r="D104" t="s">
        <v>74</v>
      </c>
      <c r="E104" t="s">
        <v>74</v>
      </c>
      <c r="F104" t="s">
        <v>2347</v>
      </c>
      <c r="G104" t="s">
        <v>74</v>
      </c>
      <c r="H104" t="s">
        <v>74</v>
      </c>
      <c r="I104" t="s">
        <v>2348</v>
      </c>
      <c r="J104" t="s">
        <v>904</v>
      </c>
      <c r="K104" t="s">
        <v>74</v>
      </c>
      <c r="L104" t="s">
        <v>74</v>
      </c>
      <c r="M104" t="s">
        <v>78</v>
      </c>
      <c r="N104" t="s">
        <v>79</v>
      </c>
      <c r="O104" t="s">
        <v>74</v>
      </c>
      <c r="P104" t="s">
        <v>74</v>
      </c>
      <c r="Q104" t="s">
        <v>74</v>
      </c>
      <c r="R104" t="s">
        <v>74</v>
      </c>
      <c r="S104" t="s">
        <v>74</v>
      </c>
      <c r="T104" t="s">
        <v>2349</v>
      </c>
      <c r="U104" t="s">
        <v>2350</v>
      </c>
      <c r="V104" t="s">
        <v>2351</v>
      </c>
      <c r="W104" t="s">
        <v>2352</v>
      </c>
      <c r="X104" t="s">
        <v>2353</v>
      </c>
      <c r="Y104" t="s">
        <v>2354</v>
      </c>
      <c r="Z104" t="s">
        <v>2355</v>
      </c>
      <c r="AA104" t="s">
        <v>2356</v>
      </c>
      <c r="AB104" t="s">
        <v>2357</v>
      </c>
      <c r="AC104" t="s">
        <v>2358</v>
      </c>
      <c r="AD104" t="s">
        <v>2359</v>
      </c>
      <c r="AE104" t="s">
        <v>2360</v>
      </c>
      <c r="AF104" t="s">
        <v>74</v>
      </c>
      <c r="AG104">
        <v>56</v>
      </c>
      <c r="AH104">
        <v>8</v>
      </c>
      <c r="AI104">
        <v>10</v>
      </c>
      <c r="AJ104">
        <v>1</v>
      </c>
      <c r="AK104">
        <v>11</v>
      </c>
      <c r="AL104" t="s">
        <v>917</v>
      </c>
      <c r="AM104" t="s">
        <v>390</v>
      </c>
      <c r="AN104" t="s">
        <v>918</v>
      </c>
      <c r="AO104" t="s">
        <v>919</v>
      </c>
      <c r="AP104" t="s">
        <v>920</v>
      </c>
      <c r="AQ104" t="s">
        <v>74</v>
      </c>
      <c r="AR104" t="s">
        <v>921</v>
      </c>
      <c r="AS104" t="s">
        <v>922</v>
      </c>
      <c r="AT104" t="s">
        <v>2251</v>
      </c>
      <c r="AU104">
        <v>2021</v>
      </c>
      <c r="AV104">
        <v>48</v>
      </c>
      <c r="AW104">
        <v>7</v>
      </c>
      <c r="AX104" t="s">
        <v>74</v>
      </c>
      <c r="AY104" t="s">
        <v>74</v>
      </c>
      <c r="AZ104" t="s">
        <v>74</v>
      </c>
      <c r="BA104" t="s">
        <v>74</v>
      </c>
      <c r="BB104" t="s">
        <v>74</v>
      </c>
      <c r="BC104" t="s">
        <v>74</v>
      </c>
      <c r="BD104" t="s">
        <v>2361</v>
      </c>
      <c r="BE104" t="s">
        <v>2362</v>
      </c>
      <c r="BF104" t="str">
        <f>HYPERLINK("http://dx.doi.org/10.1029/2020GL092060","http://dx.doi.org/10.1029/2020GL092060")</f>
        <v>http://dx.doi.org/10.1029/2020GL092060</v>
      </c>
      <c r="BG104" t="s">
        <v>74</v>
      </c>
      <c r="BH104" t="s">
        <v>74</v>
      </c>
      <c r="BI104">
        <v>11</v>
      </c>
      <c r="BJ104" t="s">
        <v>100</v>
      </c>
      <c r="BK104" t="s">
        <v>101</v>
      </c>
      <c r="BL104" t="s">
        <v>102</v>
      </c>
      <c r="BM104" t="s">
        <v>2254</v>
      </c>
      <c r="BN104" t="s">
        <v>74</v>
      </c>
      <c r="BO104" t="s">
        <v>1492</v>
      </c>
      <c r="BP104" t="s">
        <v>74</v>
      </c>
      <c r="BQ104" t="s">
        <v>74</v>
      </c>
      <c r="BR104" t="s">
        <v>104</v>
      </c>
      <c r="BS104" t="s">
        <v>2363</v>
      </c>
      <c r="BT104" t="str">
        <f>HYPERLINK("https%3A%2F%2Fwww.webofscience.com%2Fwos%2Fwoscc%2Ffull-record%2FWOS:000641974600074","View Full Record in Web of Science")</f>
        <v>View Full Record in Web of Science</v>
      </c>
    </row>
    <row r="105" spans="1:72" x14ac:dyDescent="0.15">
      <c r="A105" t="s">
        <v>72</v>
      </c>
      <c r="B105" t="s">
        <v>2364</v>
      </c>
      <c r="C105" t="s">
        <v>74</v>
      </c>
      <c r="D105" t="s">
        <v>74</v>
      </c>
      <c r="E105" t="s">
        <v>74</v>
      </c>
      <c r="F105" t="s">
        <v>2365</v>
      </c>
      <c r="G105" t="s">
        <v>74</v>
      </c>
      <c r="H105" t="s">
        <v>74</v>
      </c>
      <c r="I105" t="s">
        <v>2366</v>
      </c>
      <c r="J105" t="s">
        <v>904</v>
      </c>
      <c r="K105" t="s">
        <v>74</v>
      </c>
      <c r="L105" t="s">
        <v>74</v>
      </c>
      <c r="M105" t="s">
        <v>78</v>
      </c>
      <c r="N105" t="s">
        <v>79</v>
      </c>
      <c r="O105" t="s">
        <v>74</v>
      </c>
      <c r="P105" t="s">
        <v>74</v>
      </c>
      <c r="Q105" t="s">
        <v>74</v>
      </c>
      <c r="R105" t="s">
        <v>74</v>
      </c>
      <c r="S105" t="s">
        <v>74</v>
      </c>
      <c r="T105" t="s">
        <v>2367</v>
      </c>
      <c r="U105" t="s">
        <v>2368</v>
      </c>
      <c r="V105" t="s">
        <v>2369</v>
      </c>
      <c r="W105" t="s">
        <v>2370</v>
      </c>
      <c r="X105" t="s">
        <v>2371</v>
      </c>
      <c r="Y105" t="s">
        <v>2372</v>
      </c>
      <c r="Z105" t="s">
        <v>2373</v>
      </c>
      <c r="AA105" t="s">
        <v>2374</v>
      </c>
      <c r="AB105" t="s">
        <v>2375</v>
      </c>
      <c r="AC105" t="s">
        <v>2376</v>
      </c>
      <c r="AD105" t="s">
        <v>2377</v>
      </c>
      <c r="AE105" t="s">
        <v>2378</v>
      </c>
      <c r="AF105" t="s">
        <v>74</v>
      </c>
      <c r="AG105">
        <v>54</v>
      </c>
      <c r="AH105">
        <v>10</v>
      </c>
      <c r="AI105">
        <v>10</v>
      </c>
      <c r="AJ105">
        <v>1</v>
      </c>
      <c r="AK105">
        <v>13</v>
      </c>
      <c r="AL105" t="s">
        <v>917</v>
      </c>
      <c r="AM105" t="s">
        <v>390</v>
      </c>
      <c r="AN105" t="s">
        <v>918</v>
      </c>
      <c r="AO105" t="s">
        <v>919</v>
      </c>
      <c r="AP105" t="s">
        <v>920</v>
      </c>
      <c r="AQ105" t="s">
        <v>74</v>
      </c>
      <c r="AR105" t="s">
        <v>921</v>
      </c>
      <c r="AS105" t="s">
        <v>922</v>
      </c>
      <c r="AT105" t="s">
        <v>2251</v>
      </c>
      <c r="AU105">
        <v>2021</v>
      </c>
      <c r="AV105">
        <v>48</v>
      </c>
      <c r="AW105">
        <v>7</v>
      </c>
      <c r="AX105" t="s">
        <v>74</v>
      </c>
      <c r="AY105" t="s">
        <v>74</v>
      </c>
      <c r="AZ105" t="s">
        <v>74</v>
      </c>
      <c r="BA105" t="s">
        <v>74</v>
      </c>
      <c r="BB105" t="s">
        <v>74</v>
      </c>
      <c r="BC105" t="s">
        <v>74</v>
      </c>
      <c r="BD105" t="s">
        <v>2379</v>
      </c>
      <c r="BE105" t="s">
        <v>2380</v>
      </c>
      <c r="BF105" t="str">
        <f>HYPERLINK("http://dx.doi.org/10.1029/2021GL092409","http://dx.doi.org/10.1029/2021GL092409")</f>
        <v>http://dx.doi.org/10.1029/2021GL092409</v>
      </c>
      <c r="BG105" t="s">
        <v>74</v>
      </c>
      <c r="BH105" t="s">
        <v>74</v>
      </c>
      <c r="BI105">
        <v>12</v>
      </c>
      <c r="BJ105" t="s">
        <v>100</v>
      </c>
      <c r="BK105" t="s">
        <v>101</v>
      </c>
      <c r="BL105" t="s">
        <v>102</v>
      </c>
      <c r="BM105" t="s">
        <v>2254</v>
      </c>
      <c r="BN105" t="s">
        <v>74</v>
      </c>
      <c r="BO105" t="s">
        <v>74</v>
      </c>
      <c r="BP105" t="s">
        <v>74</v>
      </c>
      <c r="BQ105" t="s">
        <v>74</v>
      </c>
      <c r="BR105" t="s">
        <v>104</v>
      </c>
      <c r="BS105" t="s">
        <v>2381</v>
      </c>
      <c r="BT105" t="str">
        <f>HYPERLINK("https%3A%2F%2Fwww.webofscience.com%2Fwos%2Fwoscc%2Ffull-record%2FWOS:000641974600062","View Full Record in Web of Science")</f>
        <v>View Full Record in Web of Science</v>
      </c>
    </row>
    <row r="106" spans="1:72" x14ac:dyDescent="0.15">
      <c r="A106" t="s">
        <v>72</v>
      </c>
      <c r="B106" t="s">
        <v>2382</v>
      </c>
      <c r="C106" t="s">
        <v>74</v>
      </c>
      <c r="D106" t="s">
        <v>74</v>
      </c>
      <c r="E106" t="s">
        <v>74</v>
      </c>
      <c r="F106" t="s">
        <v>2383</v>
      </c>
      <c r="G106" t="s">
        <v>74</v>
      </c>
      <c r="H106" t="s">
        <v>74</v>
      </c>
      <c r="I106" t="s">
        <v>2384</v>
      </c>
      <c r="J106" t="s">
        <v>2021</v>
      </c>
      <c r="K106" t="s">
        <v>74</v>
      </c>
      <c r="L106" t="s">
        <v>74</v>
      </c>
      <c r="M106" t="s">
        <v>78</v>
      </c>
      <c r="N106" t="s">
        <v>79</v>
      </c>
      <c r="O106" t="s">
        <v>74</v>
      </c>
      <c r="P106" t="s">
        <v>74</v>
      </c>
      <c r="Q106" t="s">
        <v>74</v>
      </c>
      <c r="R106" t="s">
        <v>74</v>
      </c>
      <c r="S106" t="s">
        <v>74</v>
      </c>
      <c r="T106" t="s">
        <v>74</v>
      </c>
      <c r="U106" t="s">
        <v>2385</v>
      </c>
      <c r="V106" t="s">
        <v>2386</v>
      </c>
      <c r="W106" t="s">
        <v>2387</v>
      </c>
      <c r="X106" t="s">
        <v>2388</v>
      </c>
      <c r="Y106" t="s">
        <v>2389</v>
      </c>
      <c r="Z106" t="s">
        <v>2390</v>
      </c>
      <c r="AA106" t="s">
        <v>2391</v>
      </c>
      <c r="AB106" t="s">
        <v>2392</v>
      </c>
      <c r="AC106" t="s">
        <v>2393</v>
      </c>
      <c r="AD106" t="s">
        <v>2394</v>
      </c>
      <c r="AE106" t="s">
        <v>2395</v>
      </c>
      <c r="AF106" t="s">
        <v>74</v>
      </c>
      <c r="AG106">
        <v>43</v>
      </c>
      <c r="AH106">
        <v>16</v>
      </c>
      <c r="AI106">
        <v>16</v>
      </c>
      <c r="AJ106">
        <v>3</v>
      </c>
      <c r="AK106">
        <v>9</v>
      </c>
      <c r="AL106" t="s">
        <v>861</v>
      </c>
      <c r="AM106" t="s">
        <v>862</v>
      </c>
      <c r="AN106" t="s">
        <v>863</v>
      </c>
      <c r="AO106" t="s">
        <v>2033</v>
      </c>
      <c r="AP106" t="s">
        <v>74</v>
      </c>
      <c r="AQ106" t="s">
        <v>74</v>
      </c>
      <c r="AR106" t="s">
        <v>2034</v>
      </c>
      <c r="AS106" t="s">
        <v>2035</v>
      </c>
      <c r="AT106" t="s">
        <v>2251</v>
      </c>
      <c r="AU106">
        <v>2021</v>
      </c>
      <c r="AV106">
        <v>11</v>
      </c>
      <c r="AW106">
        <v>1</v>
      </c>
      <c r="AX106" t="s">
        <v>74</v>
      </c>
      <c r="AY106" t="s">
        <v>74</v>
      </c>
      <c r="AZ106" t="s">
        <v>74</v>
      </c>
      <c r="BA106" t="s">
        <v>74</v>
      </c>
      <c r="BB106" t="s">
        <v>74</v>
      </c>
      <c r="BC106" t="s">
        <v>74</v>
      </c>
      <c r="BD106">
        <v>8361</v>
      </c>
      <c r="BE106" t="s">
        <v>2396</v>
      </c>
      <c r="BF106" t="str">
        <f>HYPERLINK("http://dx.doi.org/10.1038/s41598-021-87317-5","http://dx.doi.org/10.1038/s41598-021-87317-5")</f>
        <v>http://dx.doi.org/10.1038/s41598-021-87317-5</v>
      </c>
      <c r="BG106" t="s">
        <v>74</v>
      </c>
      <c r="BH106" t="s">
        <v>74</v>
      </c>
      <c r="BI106">
        <v>10</v>
      </c>
      <c r="BJ106" t="s">
        <v>555</v>
      </c>
      <c r="BK106" t="s">
        <v>101</v>
      </c>
      <c r="BL106" t="s">
        <v>556</v>
      </c>
      <c r="BM106" t="s">
        <v>2397</v>
      </c>
      <c r="BN106">
        <v>33863941</v>
      </c>
      <c r="BO106" t="s">
        <v>298</v>
      </c>
      <c r="BP106" t="s">
        <v>74</v>
      </c>
      <c r="BQ106" t="s">
        <v>74</v>
      </c>
      <c r="BR106" t="s">
        <v>104</v>
      </c>
      <c r="BS106" t="s">
        <v>2398</v>
      </c>
      <c r="BT106" t="str">
        <f>HYPERLINK("https%3A%2F%2Fwww.webofscience.com%2Fwos%2Fwoscc%2Ffull-record%2FWOS:000641795600004","View Full Record in Web of Science")</f>
        <v>View Full Record in Web of Science</v>
      </c>
    </row>
    <row r="107" spans="1:72" x14ac:dyDescent="0.15">
      <c r="A107" t="s">
        <v>72</v>
      </c>
      <c r="B107" t="s">
        <v>2399</v>
      </c>
      <c r="C107" t="s">
        <v>74</v>
      </c>
      <c r="D107" t="s">
        <v>74</v>
      </c>
      <c r="E107" t="s">
        <v>74</v>
      </c>
      <c r="F107" t="s">
        <v>2400</v>
      </c>
      <c r="G107" t="s">
        <v>74</v>
      </c>
      <c r="H107" t="s">
        <v>74</v>
      </c>
      <c r="I107" t="s">
        <v>2401</v>
      </c>
      <c r="J107" t="s">
        <v>2402</v>
      </c>
      <c r="K107" t="s">
        <v>74</v>
      </c>
      <c r="L107" t="s">
        <v>74</v>
      </c>
      <c r="M107" t="s">
        <v>78</v>
      </c>
      <c r="N107" t="s">
        <v>79</v>
      </c>
      <c r="O107" t="s">
        <v>74</v>
      </c>
      <c r="P107" t="s">
        <v>74</v>
      </c>
      <c r="Q107" t="s">
        <v>74</v>
      </c>
      <c r="R107" t="s">
        <v>74</v>
      </c>
      <c r="S107" t="s">
        <v>74</v>
      </c>
      <c r="T107" t="s">
        <v>2403</v>
      </c>
      <c r="U107" t="s">
        <v>2404</v>
      </c>
      <c r="V107" t="s">
        <v>2405</v>
      </c>
      <c r="W107" t="s">
        <v>2406</v>
      </c>
      <c r="X107" t="s">
        <v>2407</v>
      </c>
      <c r="Y107" t="s">
        <v>2408</v>
      </c>
      <c r="Z107" t="s">
        <v>2409</v>
      </c>
      <c r="AA107" t="s">
        <v>74</v>
      </c>
      <c r="AB107" t="s">
        <v>2410</v>
      </c>
      <c r="AC107" t="s">
        <v>2411</v>
      </c>
      <c r="AD107" t="s">
        <v>2412</v>
      </c>
      <c r="AE107" t="s">
        <v>2413</v>
      </c>
      <c r="AF107" t="s">
        <v>74</v>
      </c>
      <c r="AG107">
        <v>60</v>
      </c>
      <c r="AH107">
        <v>13</v>
      </c>
      <c r="AI107">
        <v>13</v>
      </c>
      <c r="AJ107">
        <v>3</v>
      </c>
      <c r="AK107">
        <v>23</v>
      </c>
      <c r="AL107" t="s">
        <v>795</v>
      </c>
      <c r="AM107" t="s">
        <v>796</v>
      </c>
      <c r="AN107" t="s">
        <v>797</v>
      </c>
      <c r="AO107" t="s">
        <v>2414</v>
      </c>
      <c r="AP107" t="s">
        <v>2415</v>
      </c>
      <c r="AQ107" t="s">
        <v>74</v>
      </c>
      <c r="AR107" t="s">
        <v>2416</v>
      </c>
      <c r="AS107" t="s">
        <v>2417</v>
      </c>
      <c r="AT107" t="s">
        <v>1035</v>
      </c>
      <c r="AU107">
        <v>2021</v>
      </c>
      <c r="AV107">
        <v>27</v>
      </c>
      <c r="AW107">
        <v>13</v>
      </c>
      <c r="AX107" t="s">
        <v>74</v>
      </c>
      <c r="AY107" t="s">
        <v>74</v>
      </c>
      <c r="AZ107" t="s">
        <v>74</v>
      </c>
      <c r="BA107" t="s">
        <v>74</v>
      </c>
      <c r="BB107">
        <v>3157</v>
      </c>
      <c r="BC107">
        <v>3165</v>
      </c>
      <c r="BD107" t="s">
        <v>74</v>
      </c>
      <c r="BE107" t="s">
        <v>2418</v>
      </c>
      <c r="BF107" t="str">
        <f>HYPERLINK("http://dx.doi.org/10.1111/gcb.15617","http://dx.doi.org/10.1111/gcb.15617")</f>
        <v>http://dx.doi.org/10.1111/gcb.15617</v>
      </c>
      <c r="BG107" t="s">
        <v>74</v>
      </c>
      <c r="BH107" t="s">
        <v>514</v>
      </c>
      <c r="BI107">
        <v>9</v>
      </c>
      <c r="BJ107" t="s">
        <v>2419</v>
      </c>
      <c r="BK107" t="s">
        <v>101</v>
      </c>
      <c r="BL107" t="s">
        <v>1439</v>
      </c>
      <c r="BM107" t="s">
        <v>2420</v>
      </c>
      <c r="BN107">
        <v>33861505</v>
      </c>
      <c r="BO107" t="s">
        <v>663</v>
      </c>
      <c r="BP107" t="s">
        <v>74</v>
      </c>
      <c r="BQ107" t="s">
        <v>74</v>
      </c>
      <c r="BR107" t="s">
        <v>104</v>
      </c>
      <c r="BS107" t="s">
        <v>2421</v>
      </c>
      <c r="BT107" t="str">
        <f>HYPERLINK("https%3A%2F%2Fwww.webofscience.com%2Fwos%2Fwoscc%2Ffull-record%2FWOS:000640618500001","View Full Record in Web of Science")</f>
        <v>View Full Record in Web of Science</v>
      </c>
    </row>
    <row r="108" spans="1:72" x14ac:dyDescent="0.15">
      <c r="A108" t="s">
        <v>72</v>
      </c>
      <c r="B108" t="s">
        <v>2422</v>
      </c>
      <c r="C108" t="s">
        <v>74</v>
      </c>
      <c r="D108" t="s">
        <v>74</v>
      </c>
      <c r="E108" t="s">
        <v>74</v>
      </c>
      <c r="F108" t="s">
        <v>2423</v>
      </c>
      <c r="G108" t="s">
        <v>74</v>
      </c>
      <c r="H108" t="s">
        <v>74</v>
      </c>
      <c r="I108" t="s">
        <v>2424</v>
      </c>
      <c r="J108" t="s">
        <v>2259</v>
      </c>
      <c r="K108" t="s">
        <v>74</v>
      </c>
      <c r="L108" t="s">
        <v>74</v>
      </c>
      <c r="M108" t="s">
        <v>78</v>
      </c>
      <c r="N108" t="s">
        <v>1799</v>
      </c>
      <c r="O108" t="s">
        <v>74</v>
      </c>
      <c r="P108" t="s">
        <v>74</v>
      </c>
      <c r="Q108" t="s">
        <v>74</v>
      </c>
      <c r="R108" t="s">
        <v>74</v>
      </c>
      <c r="S108" t="s">
        <v>74</v>
      </c>
      <c r="T108" t="s">
        <v>74</v>
      </c>
      <c r="U108" t="s">
        <v>74</v>
      </c>
      <c r="V108" t="s">
        <v>2425</v>
      </c>
      <c r="W108" t="s">
        <v>2426</v>
      </c>
      <c r="X108" t="s">
        <v>2427</v>
      </c>
      <c r="Y108" t="s">
        <v>2428</v>
      </c>
      <c r="Z108" t="s">
        <v>2429</v>
      </c>
      <c r="AA108" t="s">
        <v>2430</v>
      </c>
      <c r="AB108" t="s">
        <v>2431</v>
      </c>
      <c r="AC108" t="s">
        <v>74</v>
      </c>
      <c r="AD108" t="s">
        <v>74</v>
      </c>
      <c r="AE108" t="s">
        <v>74</v>
      </c>
      <c r="AF108" t="s">
        <v>74</v>
      </c>
      <c r="AG108">
        <v>21</v>
      </c>
      <c r="AH108">
        <v>64</v>
      </c>
      <c r="AI108">
        <v>70</v>
      </c>
      <c r="AJ108">
        <v>9</v>
      </c>
      <c r="AK108">
        <v>57</v>
      </c>
      <c r="AL108" t="s">
        <v>576</v>
      </c>
      <c r="AM108" t="s">
        <v>577</v>
      </c>
      <c r="AN108" t="s">
        <v>578</v>
      </c>
      <c r="AO108" t="s">
        <v>2269</v>
      </c>
      <c r="AP108" t="s">
        <v>2270</v>
      </c>
      <c r="AQ108" t="s">
        <v>74</v>
      </c>
      <c r="AR108" t="s">
        <v>2259</v>
      </c>
      <c r="AS108" t="s">
        <v>2271</v>
      </c>
      <c r="AT108" t="s">
        <v>1091</v>
      </c>
      <c r="AU108">
        <v>2021</v>
      </c>
      <c r="AV108">
        <v>102</v>
      </c>
      <c r="AW108" t="s">
        <v>74</v>
      </c>
      <c r="AX108" t="s">
        <v>74</v>
      </c>
      <c r="AY108" t="s">
        <v>74</v>
      </c>
      <c r="AZ108" t="s">
        <v>803</v>
      </c>
      <c r="BA108" t="s">
        <v>74</v>
      </c>
      <c r="BB108" t="s">
        <v>74</v>
      </c>
      <c r="BC108" t="s">
        <v>74</v>
      </c>
      <c r="BD108">
        <v>101992</v>
      </c>
      <c r="BE108" t="s">
        <v>2432</v>
      </c>
      <c r="BF108" t="str">
        <f>HYPERLINK("http://dx.doi.org/10.1016/j.hal.2021.101992","http://dx.doi.org/10.1016/j.hal.2021.101992")</f>
        <v>http://dx.doi.org/10.1016/j.hal.2021.101992</v>
      </c>
      <c r="BG108" t="s">
        <v>74</v>
      </c>
      <c r="BH108" t="s">
        <v>514</v>
      </c>
      <c r="BI108">
        <v>3</v>
      </c>
      <c r="BJ108" t="s">
        <v>494</v>
      </c>
      <c r="BK108" t="s">
        <v>101</v>
      </c>
      <c r="BL108" t="s">
        <v>494</v>
      </c>
      <c r="BM108" t="s">
        <v>2433</v>
      </c>
      <c r="BN108">
        <v>33875180</v>
      </c>
      <c r="BO108" t="s">
        <v>74</v>
      </c>
      <c r="BP108" t="s">
        <v>74</v>
      </c>
      <c r="BQ108" t="s">
        <v>74</v>
      </c>
      <c r="BR108" t="s">
        <v>104</v>
      </c>
      <c r="BS108" t="s">
        <v>2434</v>
      </c>
      <c r="BT108" t="str">
        <f>HYPERLINK("https%3A%2F%2Fwww.webofscience.com%2Fwos%2Fwoscc%2Ffull-record%2FWOS:000744431800006","View Full Record in Web of Science")</f>
        <v>View Full Record in Web of Science</v>
      </c>
    </row>
    <row r="109" spans="1:72" x14ac:dyDescent="0.15">
      <c r="A109" t="s">
        <v>72</v>
      </c>
      <c r="B109" t="s">
        <v>2435</v>
      </c>
      <c r="C109" t="s">
        <v>74</v>
      </c>
      <c r="D109" t="s">
        <v>74</v>
      </c>
      <c r="E109" t="s">
        <v>74</v>
      </c>
      <c r="F109" t="s">
        <v>2436</v>
      </c>
      <c r="G109" t="s">
        <v>74</v>
      </c>
      <c r="H109" t="s">
        <v>74</v>
      </c>
      <c r="I109" t="s">
        <v>2437</v>
      </c>
      <c r="J109" t="s">
        <v>2438</v>
      </c>
      <c r="K109" t="s">
        <v>74</v>
      </c>
      <c r="L109" t="s">
        <v>74</v>
      </c>
      <c r="M109" t="s">
        <v>78</v>
      </c>
      <c r="N109" t="s">
        <v>79</v>
      </c>
      <c r="O109" t="s">
        <v>74</v>
      </c>
      <c r="P109" t="s">
        <v>74</v>
      </c>
      <c r="Q109" t="s">
        <v>74</v>
      </c>
      <c r="R109" t="s">
        <v>74</v>
      </c>
      <c r="S109" t="s">
        <v>74</v>
      </c>
      <c r="T109" t="s">
        <v>2439</v>
      </c>
      <c r="U109" t="s">
        <v>2440</v>
      </c>
      <c r="V109" t="s">
        <v>2441</v>
      </c>
      <c r="W109" t="s">
        <v>2442</v>
      </c>
      <c r="X109" t="s">
        <v>2443</v>
      </c>
      <c r="Y109" t="s">
        <v>2444</v>
      </c>
      <c r="Z109" t="s">
        <v>2445</v>
      </c>
      <c r="AA109" t="s">
        <v>2446</v>
      </c>
      <c r="AB109" t="s">
        <v>2447</v>
      </c>
      <c r="AC109" t="s">
        <v>2448</v>
      </c>
      <c r="AD109" t="s">
        <v>2449</v>
      </c>
      <c r="AE109" t="s">
        <v>2450</v>
      </c>
      <c r="AF109" t="s">
        <v>74</v>
      </c>
      <c r="AG109">
        <v>23</v>
      </c>
      <c r="AH109">
        <v>8</v>
      </c>
      <c r="AI109">
        <v>10</v>
      </c>
      <c r="AJ109">
        <v>2</v>
      </c>
      <c r="AK109">
        <v>21</v>
      </c>
      <c r="AL109" t="s">
        <v>576</v>
      </c>
      <c r="AM109" t="s">
        <v>577</v>
      </c>
      <c r="AN109" t="s">
        <v>578</v>
      </c>
      <c r="AO109" t="s">
        <v>2451</v>
      </c>
      <c r="AP109" t="s">
        <v>2452</v>
      </c>
      <c r="AQ109" t="s">
        <v>74</v>
      </c>
      <c r="AR109" t="s">
        <v>2453</v>
      </c>
      <c r="AS109" t="s">
        <v>2454</v>
      </c>
      <c r="AT109" t="s">
        <v>1035</v>
      </c>
      <c r="AU109">
        <v>2021</v>
      </c>
      <c r="AV109">
        <v>187</v>
      </c>
      <c r="AW109" t="s">
        <v>74</v>
      </c>
      <c r="AX109" t="s">
        <v>74</v>
      </c>
      <c r="AY109" t="s">
        <v>74</v>
      </c>
      <c r="AZ109" t="s">
        <v>74</v>
      </c>
      <c r="BA109" t="s">
        <v>74</v>
      </c>
      <c r="BB109" t="s">
        <v>74</v>
      </c>
      <c r="BC109" t="s">
        <v>74</v>
      </c>
      <c r="BD109">
        <v>103284</v>
      </c>
      <c r="BE109" t="s">
        <v>2455</v>
      </c>
      <c r="BF109" t="str">
        <f>HYPERLINK("http://dx.doi.org/10.1016/j.coldregions.2021.103284","http://dx.doi.org/10.1016/j.coldregions.2021.103284")</f>
        <v>http://dx.doi.org/10.1016/j.coldregions.2021.103284</v>
      </c>
      <c r="BG109" t="s">
        <v>74</v>
      </c>
      <c r="BH109" t="s">
        <v>514</v>
      </c>
      <c r="BI109">
        <v>9</v>
      </c>
      <c r="BJ109" t="s">
        <v>2456</v>
      </c>
      <c r="BK109" t="s">
        <v>101</v>
      </c>
      <c r="BL109" t="s">
        <v>2457</v>
      </c>
      <c r="BM109" t="s">
        <v>2458</v>
      </c>
      <c r="BN109" t="s">
        <v>74</v>
      </c>
      <c r="BO109" t="s">
        <v>1068</v>
      </c>
      <c r="BP109" t="s">
        <v>74</v>
      </c>
      <c r="BQ109" t="s">
        <v>74</v>
      </c>
      <c r="BR109" t="s">
        <v>104</v>
      </c>
      <c r="BS109" t="s">
        <v>2459</v>
      </c>
      <c r="BT109" t="str">
        <f>HYPERLINK("https%3A%2F%2Fwww.webofscience.com%2Fwos%2Fwoscc%2Ffull-record%2FWOS:000652822200004","View Full Record in Web of Science")</f>
        <v>View Full Record in Web of Science</v>
      </c>
    </row>
    <row r="110" spans="1:72" x14ac:dyDescent="0.15">
      <c r="A110" t="s">
        <v>72</v>
      </c>
      <c r="B110" t="s">
        <v>2460</v>
      </c>
      <c r="C110" t="s">
        <v>74</v>
      </c>
      <c r="D110" t="s">
        <v>74</v>
      </c>
      <c r="E110" t="s">
        <v>74</v>
      </c>
      <c r="F110" t="s">
        <v>2461</v>
      </c>
      <c r="G110" t="s">
        <v>74</v>
      </c>
      <c r="H110" t="s">
        <v>74</v>
      </c>
      <c r="I110" t="s">
        <v>2462</v>
      </c>
      <c r="J110" t="s">
        <v>2463</v>
      </c>
      <c r="K110" t="s">
        <v>74</v>
      </c>
      <c r="L110" t="s">
        <v>74</v>
      </c>
      <c r="M110" t="s">
        <v>78</v>
      </c>
      <c r="N110" t="s">
        <v>79</v>
      </c>
      <c r="O110" t="s">
        <v>74</v>
      </c>
      <c r="P110" t="s">
        <v>74</v>
      </c>
      <c r="Q110" t="s">
        <v>74</v>
      </c>
      <c r="R110" t="s">
        <v>74</v>
      </c>
      <c r="S110" t="s">
        <v>74</v>
      </c>
      <c r="T110" t="s">
        <v>74</v>
      </c>
      <c r="U110" t="s">
        <v>2464</v>
      </c>
      <c r="V110" t="s">
        <v>2465</v>
      </c>
      <c r="W110" t="s">
        <v>2466</v>
      </c>
      <c r="X110" t="s">
        <v>2467</v>
      </c>
      <c r="Y110" t="s">
        <v>2468</v>
      </c>
      <c r="Z110" t="s">
        <v>2469</v>
      </c>
      <c r="AA110" t="s">
        <v>2470</v>
      </c>
      <c r="AB110" t="s">
        <v>2471</v>
      </c>
      <c r="AC110" t="s">
        <v>2472</v>
      </c>
      <c r="AD110" t="s">
        <v>2473</v>
      </c>
      <c r="AE110" t="s">
        <v>2474</v>
      </c>
      <c r="AF110" t="s">
        <v>74</v>
      </c>
      <c r="AG110">
        <v>93</v>
      </c>
      <c r="AH110">
        <v>13</v>
      </c>
      <c r="AI110">
        <v>13</v>
      </c>
      <c r="AJ110">
        <v>13</v>
      </c>
      <c r="AK110">
        <v>104</v>
      </c>
      <c r="AL110" t="s">
        <v>2475</v>
      </c>
      <c r="AM110" t="s">
        <v>390</v>
      </c>
      <c r="AN110" t="s">
        <v>2476</v>
      </c>
      <c r="AO110" t="s">
        <v>2477</v>
      </c>
      <c r="AP110" t="s">
        <v>2478</v>
      </c>
      <c r="AQ110" t="s">
        <v>74</v>
      </c>
      <c r="AR110" t="s">
        <v>2479</v>
      </c>
      <c r="AS110" t="s">
        <v>2480</v>
      </c>
      <c r="AT110" t="s">
        <v>2481</v>
      </c>
      <c r="AU110">
        <v>2021</v>
      </c>
      <c r="AV110">
        <v>55</v>
      </c>
      <c r="AW110">
        <v>9</v>
      </c>
      <c r="AX110" t="s">
        <v>74</v>
      </c>
      <c r="AY110" t="s">
        <v>74</v>
      </c>
      <c r="AZ110" t="s">
        <v>74</v>
      </c>
      <c r="BA110" t="s">
        <v>74</v>
      </c>
      <c r="BB110">
        <v>6449</v>
      </c>
      <c r="BC110">
        <v>6458</v>
      </c>
      <c r="BD110" t="s">
        <v>74</v>
      </c>
      <c r="BE110" t="s">
        <v>2482</v>
      </c>
      <c r="BF110" t="str">
        <f>HYPERLINK("http://dx.doi.org/10.1021/acs.est.0c07474","http://dx.doi.org/10.1021/acs.est.0c07474")</f>
        <v>http://dx.doi.org/10.1021/acs.est.0c07474</v>
      </c>
      <c r="BG110" t="s">
        <v>74</v>
      </c>
      <c r="BH110" t="s">
        <v>514</v>
      </c>
      <c r="BI110">
        <v>10</v>
      </c>
      <c r="BJ110" t="s">
        <v>2483</v>
      </c>
      <c r="BK110" t="s">
        <v>101</v>
      </c>
      <c r="BL110" t="s">
        <v>2484</v>
      </c>
      <c r="BM110" t="s">
        <v>2485</v>
      </c>
      <c r="BN110">
        <v>33856785</v>
      </c>
      <c r="BO110" t="s">
        <v>74</v>
      </c>
      <c r="BP110" t="s">
        <v>74</v>
      </c>
      <c r="BQ110" t="s">
        <v>74</v>
      </c>
      <c r="BR110" t="s">
        <v>104</v>
      </c>
      <c r="BS110" t="s">
        <v>2486</v>
      </c>
      <c r="BT110" t="str">
        <f>HYPERLINK("https%3A%2F%2Fwww.webofscience.com%2Fwos%2Fwoscc%2Ffull-record%2FWOS:000648515400082","View Full Record in Web of Science")</f>
        <v>View Full Record in Web of Science</v>
      </c>
    </row>
    <row r="111" spans="1:72" x14ac:dyDescent="0.15">
      <c r="A111" t="s">
        <v>72</v>
      </c>
      <c r="B111" t="s">
        <v>2487</v>
      </c>
      <c r="C111" t="s">
        <v>74</v>
      </c>
      <c r="D111" t="s">
        <v>74</v>
      </c>
      <c r="E111" t="s">
        <v>74</v>
      </c>
      <c r="F111" t="s">
        <v>2488</v>
      </c>
      <c r="G111" t="s">
        <v>74</v>
      </c>
      <c r="H111" t="s">
        <v>74</v>
      </c>
      <c r="I111" t="s">
        <v>2489</v>
      </c>
      <c r="J111" t="s">
        <v>2490</v>
      </c>
      <c r="K111" t="s">
        <v>74</v>
      </c>
      <c r="L111" t="s">
        <v>74</v>
      </c>
      <c r="M111" t="s">
        <v>78</v>
      </c>
      <c r="N111" t="s">
        <v>79</v>
      </c>
      <c r="O111" t="s">
        <v>74</v>
      </c>
      <c r="P111" t="s">
        <v>74</v>
      </c>
      <c r="Q111" t="s">
        <v>74</v>
      </c>
      <c r="R111" t="s">
        <v>74</v>
      </c>
      <c r="S111" t="s">
        <v>74</v>
      </c>
      <c r="T111" t="s">
        <v>2491</v>
      </c>
      <c r="U111" t="s">
        <v>2492</v>
      </c>
      <c r="V111" t="s">
        <v>2493</v>
      </c>
      <c r="W111" t="s">
        <v>2494</v>
      </c>
      <c r="X111" t="s">
        <v>2495</v>
      </c>
      <c r="Y111" t="s">
        <v>2496</v>
      </c>
      <c r="Z111" t="s">
        <v>2497</v>
      </c>
      <c r="AA111" t="s">
        <v>2498</v>
      </c>
      <c r="AB111" t="s">
        <v>2499</v>
      </c>
      <c r="AC111" t="s">
        <v>2500</v>
      </c>
      <c r="AD111" t="s">
        <v>2501</v>
      </c>
      <c r="AE111" t="s">
        <v>2502</v>
      </c>
      <c r="AF111" t="s">
        <v>74</v>
      </c>
      <c r="AG111">
        <v>80</v>
      </c>
      <c r="AH111">
        <v>11</v>
      </c>
      <c r="AI111">
        <v>12</v>
      </c>
      <c r="AJ111">
        <v>6</v>
      </c>
      <c r="AK111">
        <v>54</v>
      </c>
      <c r="AL111" t="s">
        <v>603</v>
      </c>
      <c r="AM111" t="s">
        <v>604</v>
      </c>
      <c r="AN111" t="s">
        <v>605</v>
      </c>
      <c r="AO111" t="s">
        <v>2503</v>
      </c>
      <c r="AP111" t="s">
        <v>74</v>
      </c>
      <c r="AQ111" t="s">
        <v>74</v>
      </c>
      <c r="AR111" t="s">
        <v>2504</v>
      </c>
      <c r="AS111" t="s">
        <v>2505</v>
      </c>
      <c r="AT111" t="s">
        <v>2506</v>
      </c>
      <c r="AU111">
        <v>2021</v>
      </c>
      <c r="AV111">
        <v>12</v>
      </c>
      <c r="AW111" t="s">
        <v>74</v>
      </c>
      <c r="AX111" t="s">
        <v>74</v>
      </c>
      <c r="AY111" t="s">
        <v>74</v>
      </c>
      <c r="AZ111" t="s">
        <v>74</v>
      </c>
      <c r="BA111" t="s">
        <v>74</v>
      </c>
      <c r="BB111" t="s">
        <v>74</v>
      </c>
      <c r="BC111" t="s">
        <v>74</v>
      </c>
      <c r="BD111">
        <v>663017</v>
      </c>
      <c r="BE111" t="s">
        <v>2507</v>
      </c>
      <c r="BF111" t="str">
        <f>HYPERLINK("http://dx.doi.org/10.3389/fpls.2021.663017","http://dx.doi.org/10.3389/fpls.2021.663017")</f>
        <v>http://dx.doi.org/10.3389/fpls.2021.663017</v>
      </c>
      <c r="BG111" t="s">
        <v>74</v>
      </c>
      <c r="BH111" t="s">
        <v>74</v>
      </c>
      <c r="BI111">
        <v>13</v>
      </c>
      <c r="BJ111" t="s">
        <v>2508</v>
      </c>
      <c r="BK111" t="s">
        <v>101</v>
      </c>
      <c r="BL111" t="s">
        <v>2508</v>
      </c>
      <c r="BM111" t="s">
        <v>2509</v>
      </c>
      <c r="BN111">
        <v>33936153</v>
      </c>
      <c r="BO111" t="s">
        <v>298</v>
      </c>
      <c r="BP111" t="s">
        <v>74</v>
      </c>
      <c r="BQ111" t="s">
        <v>74</v>
      </c>
      <c r="BR111" t="s">
        <v>104</v>
      </c>
      <c r="BS111" t="s">
        <v>2510</v>
      </c>
      <c r="BT111" t="str">
        <f>HYPERLINK("https%3A%2F%2Fwww.webofscience.com%2Fwos%2Fwoscc%2Ffull-record%2FWOS:000645024100001","View Full Record in Web of Science")</f>
        <v>View Full Record in Web of Science</v>
      </c>
    </row>
    <row r="112" spans="1:72" x14ac:dyDescent="0.15">
      <c r="A112" t="s">
        <v>72</v>
      </c>
      <c r="B112" t="s">
        <v>2511</v>
      </c>
      <c r="C112" t="s">
        <v>74</v>
      </c>
      <c r="D112" t="s">
        <v>74</v>
      </c>
      <c r="E112" t="s">
        <v>74</v>
      </c>
      <c r="F112" t="s">
        <v>2512</v>
      </c>
      <c r="G112" t="s">
        <v>74</v>
      </c>
      <c r="H112" t="s">
        <v>74</v>
      </c>
      <c r="I112" t="s">
        <v>2513</v>
      </c>
      <c r="J112" t="s">
        <v>590</v>
      </c>
      <c r="K112" t="s">
        <v>74</v>
      </c>
      <c r="L112" t="s">
        <v>74</v>
      </c>
      <c r="M112" t="s">
        <v>78</v>
      </c>
      <c r="N112" t="s">
        <v>79</v>
      </c>
      <c r="O112" t="s">
        <v>74</v>
      </c>
      <c r="P112" t="s">
        <v>74</v>
      </c>
      <c r="Q112" t="s">
        <v>74</v>
      </c>
      <c r="R112" t="s">
        <v>74</v>
      </c>
      <c r="S112" t="s">
        <v>74</v>
      </c>
      <c r="T112" t="s">
        <v>2514</v>
      </c>
      <c r="U112" t="s">
        <v>2515</v>
      </c>
      <c r="V112" t="s">
        <v>2516</v>
      </c>
      <c r="W112" t="s">
        <v>2517</v>
      </c>
      <c r="X112" t="s">
        <v>2518</v>
      </c>
      <c r="Y112" t="s">
        <v>2519</v>
      </c>
      <c r="Z112" t="s">
        <v>2520</v>
      </c>
      <c r="AA112" t="s">
        <v>74</v>
      </c>
      <c r="AB112" t="s">
        <v>74</v>
      </c>
      <c r="AC112" t="s">
        <v>2521</v>
      </c>
      <c r="AD112" t="s">
        <v>2521</v>
      </c>
      <c r="AE112" t="s">
        <v>2522</v>
      </c>
      <c r="AF112" t="s">
        <v>74</v>
      </c>
      <c r="AG112">
        <v>60</v>
      </c>
      <c r="AH112">
        <v>7</v>
      </c>
      <c r="AI112">
        <v>7</v>
      </c>
      <c r="AJ112">
        <v>1</v>
      </c>
      <c r="AK112">
        <v>4</v>
      </c>
      <c r="AL112" t="s">
        <v>603</v>
      </c>
      <c r="AM112" t="s">
        <v>604</v>
      </c>
      <c r="AN112" t="s">
        <v>605</v>
      </c>
      <c r="AO112" t="s">
        <v>74</v>
      </c>
      <c r="AP112" t="s">
        <v>606</v>
      </c>
      <c r="AQ112" t="s">
        <v>74</v>
      </c>
      <c r="AR112" t="s">
        <v>607</v>
      </c>
      <c r="AS112" t="s">
        <v>608</v>
      </c>
      <c r="AT112" t="s">
        <v>2506</v>
      </c>
      <c r="AU112">
        <v>2021</v>
      </c>
      <c r="AV112">
        <v>9</v>
      </c>
      <c r="AW112" t="s">
        <v>74</v>
      </c>
      <c r="AX112" t="s">
        <v>74</v>
      </c>
      <c r="AY112" t="s">
        <v>74</v>
      </c>
      <c r="AZ112" t="s">
        <v>74</v>
      </c>
      <c r="BA112" t="s">
        <v>74</v>
      </c>
      <c r="BB112" t="s">
        <v>74</v>
      </c>
      <c r="BC112" t="s">
        <v>74</v>
      </c>
      <c r="BD112">
        <v>652501</v>
      </c>
      <c r="BE112" t="s">
        <v>2523</v>
      </c>
      <c r="BF112" t="str">
        <f>HYPERLINK("http://dx.doi.org/10.3389/feart.2021.652501","http://dx.doi.org/10.3389/feart.2021.652501")</f>
        <v>http://dx.doi.org/10.3389/feart.2021.652501</v>
      </c>
      <c r="BG112" t="s">
        <v>74</v>
      </c>
      <c r="BH112" t="s">
        <v>74</v>
      </c>
      <c r="BI112">
        <v>14</v>
      </c>
      <c r="BJ112" t="s">
        <v>100</v>
      </c>
      <c r="BK112" t="s">
        <v>101</v>
      </c>
      <c r="BL112" t="s">
        <v>102</v>
      </c>
      <c r="BM112" t="s">
        <v>2524</v>
      </c>
      <c r="BN112" t="s">
        <v>74</v>
      </c>
      <c r="BO112" t="s">
        <v>558</v>
      </c>
      <c r="BP112" t="s">
        <v>74</v>
      </c>
      <c r="BQ112" t="s">
        <v>74</v>
      </c>
      <c r="BR112" t="s">
        <v>104</v>
      </c>
      <c r="BS112" t="s">
        <v>2525</v>
      </c>
      <c r="BT112" t="str">
        <f>HYPERLINK("https%3A%2F%2Fwww.webofscience.com%2Fwos%2Fwoscc%2Ffull-record%2FWOS:000645126100001","View Full Record in Web of Science")</f>
        <v>View Full Record in Web of Science</v>
      </c>
    </row>
    <row r="113" spans="1:72" x14ac:dyDescent="0.15">
      <c r="A113" t="s">
        <v>72</v>
      </c>
      <c r="B113" t="s">
        <v>2526</v>
      </c>
      <c r="C113" t="s">
        <v>74</v>
      </c>
      <c r="D113" t="s">
        <v>74</v>
      </c>
      <c r="E113" t="s">
        <v>74</v>
      </c>
      <c r="F113" t="s">
        <v>2527</v>
      </c>
      <c r="G113" t="s">
        <v>74</v>
      </c>
      <c r="H113" t="s">
        <v>74</v>
      </c>
      <c r="I113" t="s">
        <v>2528</v>
      </c>
      <c r="J113" t="s">
        <v>1045</v>
      </c>
      <c r="K113" t="s">
        <v>74</v>
      </c>
      <c r="L113" t="s">
        <v>74</v>
      </c>
      <c r="M113" t="s">
        <v>78</v>
      </c>
      <c r="N113" t="s">
        <v>79</v>
      </c>
      <c r="O113" t="s">
        <v>74</v>
      </c>
      <c r="P113" t="s">
        <v>74</v>
      </c>
      <c r="Q113" t="s">
        <v>74</v>
      </c>
      <c r="R113" t="s">
        <v>74</v>
      </c>
      <c r="S113" t="s">
        <v>74</v>
      </c>
      <c r="T113" t="s">
        <v>2529</v>
      </c>
      <c r="U113" t="s">
        <v>2530</v>
      </c>
      <c r="V113" t="s">
        <v>2531</v>
      </c>
      <c r="W113" t="s">
        <v>2532</v>
      </c>
      <c r="X113" t="s">
        <v>2533</v>
      </c>
      <c r="Y113" t="s">
        <v>2534</v>
      </c>
      <c r="Z113" t="s">
        <v>2535</v>
      </c>
      <c r="AA113" t="s">
        <v>2536</v>
      </c>
      <c r="AB113" t="s">
        <v>2537</v>
      </c>
      <c r="AC113" t="s">
        <v>2538</v>
      </c>
      <c r="AD113" t="s">
        <v>2539</v>
      </c>
      <c r="AE113" t="s">
        <v>2540</v>
      </c>
      <c r="AF113" t="s">
        <v>74</v>
      </c>
      <c r="AG113">
        <v>146</v>
      </c>
      <c r="AH113">
        <v>41</v>
      </c>
      <c r="AI113">
        <v>43</v>
      </c>
      <c r="AJ113">
        <v>0</v>
      </c>
      <c r="AK113">
        <v>12</v>
      </c>
      <c r="AL113" t="s">
        <v>1058</v>
      </c>
      <c r="AM113" t="s">
        <v>891</v>
      </c>
      <c r="AN113" t="s">
        <v>1059</v>
      </c>
      <c r="AO113" t="s">
        <v>1060</v>
      </c>
      <c r="AP113" t="s">
        <v>1061</v>
      </c>
      <c r="AQ113" t="s">
        <v>74</v>
      </c>
      <c r="AR113" t="s">
        <v>1062</v>
      </c>
      <c r="AS113" t="s">
        <v>1063</v>
      </c>
      <c r="AT113" t="s">
        <v>2208</v>
      </c>
      <c r="AU113">
        <v>2021</v>
      </c>
      <c r="AV113">
        <v>301</v>
      </c>
      <c r="AW113" t="s">
        <v>74</v>
      </c>
      <c r="AX113" t="s">
        <v>74</v>
      </c>
      <c r="AY113" t="s">
        <v>74</v>
      </c>
      <c r="AZ113" t="s">
        <v>74</v>
      </c>
      <c r="BA113" t="s">
        <v>74</v>
      </c>
      <c r="BB113">
        <v>158</v>
      </c>
      <c r="BC113">
        <v>186</v>
      </c>
      <c r="BD113" t="s">
        <v>74</v>
      </c>
      <c r="BE113" t="s">
        <v>2541</v>
      </c>
      <c r="BF113" t="str">
        <f>HYPERLINK("http://dx.doi.org/10.1016/j.gca.2021.02.031","http://dx.doi.org/10.1016/j.gca.2021.02.031")</f>
        <v>http://dx.doi.org/10.1016/j.gca.2021.02.031</v>
      </c>
      <c r="BG113" t="s">
        <v>74</v>
      </c>
      <c r="BH113" t="s">
        <v>514</v>
      </c>
      <c r="BI113">
        <v>29</v>
      </c>
      <c r="BJ113" t="s">
        <v>1066</v>
      </c>
      <c r="BK113" t="s">
        <v>101</v>
      </c>
      <c r="BL113" t="s">
        <v>1066</v>
      </c>
      <c r="BM113" t="s">
        <v>2542</v>
      </c>
      <c r="BN113">
        <v>34393262</v>
      </c>
      <c r="BO113" t="s">
        <v>2543</v>
      </c>
      <c r="BP113" t="s">
        <v>74</v>
      </c>
      <c r="BQ113" t="s">
        <v>74</v>
      </c>
      <c r="BR113" t="s">
        <v>104</v>
      </c>
      <c r="BS113" t="s">
        <v>2544</v>
      </c>
      <c r="BT113" t="str">
        <f>HYPERLINK("https%3A%2F%2Fwww.webofscience.com%2Fwos%2Fwoscc%2Ffull-record%2FWOS:000640782500008","View Full Record in Web of Science")</f>
        <v>View Full Record in Web of Science</v>
      </c>
    </row>
    <row r="114" spans="1:72" x14ac:dyDescent="0.15">
      <c r="A114" t="s">
        <v>72</v>
      </c>
      <c r="B114" t="s">
        <v>2545</v>
      </c>
      <c r="C114" t="s">
        <v>74</v>
      </c>
      <c r="D114" t="s">
        <v>74</v>
      </c>
      <c r="E114" t="s">
        <v>74</v>
      </c>
      <c r="F114" t="s">
        <v>2546</v>
      </c>
      <c r="G114" t="s">
        <v>74</v>
      </c>
      <c r="H114" t="s">
        <v>74</v>
      </c>
      <c r="I114" t="s">
        <v>2547</v>
      </c>
      <c r="J114" t="s">
        <v>1045</v>
      </c>
      <c r="K114" t="s">
        <v>74</v>
      </c>
      <c r="L114" t="s">
        <v>74</v>
      </c>
      <c r="M114" t="s">
        <v>78</v>
      </c>
      <c r="N114" t="s">
        <v>79</v>
      </c>
      <c r="O114" t="s">
        <v>74</v>
      </c>
      <c r="P114" t="s">
        <v>74</v>
      </c>
      <c r="Q114" t="s">
        <v>74</v>
      </c>
      <c r="R114" t="s">
        <v>74</v>
      </c>
      <c r="S114" t="s">
        <v>74</v>
      </c>
      <c r="T114" t="s">
        <v>2548</v>
      </c>
      <c r="U114" t="s">
        <v>2549</v>
      </c>
      <c r="V114" t="s">
        <v>2550</v>
      </c>
      <c r="W114" t="s">
        <v>2551</v>
      </c>
      <c r="X114" t="s">
        <v>2552</v>
      </c>
      <c r="Y114" t="s">
        <v>2553</v>
      </c>
      <c r="Z114" t="s">
        <v>2554</v>
      </c>
      <c r="AA114" t="s">
        <v>2555</v>
      </c>
      <c r="AB114" t="s">
        <v>2556</v>
      </c>
      <c r="AC114" t="s">
        <v>2557</v>
      </c>
      <c r="AD114" t="s">
        <v>2558</v>
      </c>
      <c r="AE114" t="s">
        <v>2559</v>
      </c>
      <c r="AF114" t="s">
        <v>74</v>
      </c>
      <c r="AG114">
        <v>77</v>
      </c>
      <c r="AH114">
        <v>6</v>
      </c>
      <c r="AI114">
        <v>8</v>
      </c>
      <c r="AJ114">
        <v>1</v>
      </c>
      <c r="AK114">
        <v>7</v>
      </c>
      <c r="AL114" t="s">
        <v>1058</v>
      </c>
      <c r="AM114" t="s">
        <v>891</v>
      </c>
      <c r="AN114" t="s">
        <v>1059</v>
      </c>
      <c r="AO114" t="s">
        <v>1060</v>
      </c>
      <c r="AP114" t="s">
        <v>1061</v>
      </c>
      <c r="AQ114" t="s">
        <v>74</v>
      </c>
      <c r="AR114" t="s">
        <v>1062</v>
      </c>
      <c r="AS114" t="s">
        <v>1063</v>
      </c>
      <c r="AT114" t="s">
        <v>2208</v>
      </c>
      <c r="AU114">
        <v>2021</v>
      </c>
      <c r="AV114">
        <v>301</v>
      </c>
      <c r="AW114" t="s">
        <v>74</v>
      </c>
      <c r="AX114" t="s">
        <v>74</v>
      </c>
      <c r="AY114" t="s">
        <v>74</v>
      </c>
      <c r="AZ114" t="s">
        <v>74</v>
      </c>
      <c r="BA114" t="s">
        <v>74</v>
      </c>
      <c r="BB114">
        <v>211</v>
      </c>
      <c r="BC114">
        <v>229</v>
      </c>
      <c r="BD114" t="s">
        <v>74</v>
      </c>
      <c r="BE114" t="s">
        <v>2560</v>
      </c>
      <c r="BF114" t="str">
        <f>HYPERLINK("http://dx.doi.org/10.1016/j.gca.2021.03.002","http://dx.doi.org/10.1016/j.gca.2021.03.002")</f>
        <v>http://dx.doi.org/10.1016/j.gca.2021.03.002</v>
      </c>
      <c r="BG114" t="s">
        <v>74</v>
      </c>
      <c r="BH114" t="s">
        <v>514</v>
      </c>
      <c r="BI114">
        <v>19</v>
      </c>
      <c r="BJ114" t="s">
        <v>1066</v>
      </c>
      <c r="BK114" t="s">
        <v>101</v>
      </c>
      <c r="BL114" t="s">
        <v>1066</v>
      </c>
      <c r="BM114" t="s">
        <v>2542</v>
      </c>
      <c r="BN114" t="s">
        <v>74</v>
      </c>
      <c r="BO114" t="s">
        <v>712</v>
      </c>
      <c r="BP114" t="s">
        <v>74</v>
      </c>
      <c r="BQ114" t="s">
        <v>74</v>
      </c>
      <c r="BR114" t="s">
        <v>104</v>
      </c>
      <c r="BS114" t="s">
        <v>2561</v>
      </c>
      <c r="BT114" t="str">
        <f>HYPERLINK("https%3A%2F%2Fwww.webofscience.com%2Fwos%2Fwoscc%2Ffull-record%2FWOS:000640782500010","View Full Record in Web of Science")</f>
        <v>View Full Record in Web of Science</v>
      </c>
    </row>
    <row r="115" spans="1:72" x14ac:dyDescent="0.15">
      <c r="A115" t="s">
        <v>72</v>
      </c>
      <c r="B115" t="s">
        <v>2562</v>
      </c>
      <c r="C115" t="s">
        <v>74</v>
      </c>
      <c r="D115" t="s">
        <v>74</v>
      </c>
      <c r="E115" t="s">
        <v>74</v>
      </c>
      <c r="F115" t="s">
        <v>2563</v>
      </c>
      <c r="G115" t="s">
        <v>74</v>
      </c>
      <c r="H115" t="s">
        <v>74</v>
      </c>
      <c r="I115" t="s">
        <v>2564</v>
      </c>
      <c r="J115" t="s">
        <v>1045</v>
      </c>
      <c r="K115" t="s">
        <v>74</v>
      </c>
      <c r="L115" t="s">
        <v>74</v>
      </c>
      <c r="M115" t="s">
        <v>78</v>
      </c>
      <c r="N115" t="s">
        <v>79</v>
      </c>
      <c r="O115" t="s">
        <v>74</v>
      </c>
      <c r="P115" t="s">
        <v>74</v>
      </c>
      <c r="Q115" t="s">
        <v>74</v>
      </c>
      <c r="R115" t="s">
        <v>74</v>
      </c>
      <c r="S115" t="s">
        <v>74</v>
      </c>
      <c r="T115" t="s">
        <v>2565</v>
      </c>
      <c r="U115" t="s">
        <v>2566</v>
      </c>
      <c r="V115" t="s">
        <v>2567</v>
      </c>
      <c r="W115" t="s">
        <v>2568</v>
      </c>
      <c r="X115" t="s">
        <v>2569</v>
      </c>
      <c r="Y115" t="s">
        <v>2570</v>
      </c>
      <c r="Z115" t="s">
        <v>2571</v>
      </c>
      <c r="AA115" t="s">
        <v>2572</v>
      </c>
      <c r="AB115" t="s">
        <v>2573</v>
      </c>
      <c r="AC115" t="s">
        <v>2574</v>
      </c>
      <c r="AD115" t="s">
        <v>2575</v>
      </c>
      <c r="AE115" t="s">
        <v>2576</v>
      </c>
      <c r="AF115" t="s">
        <v>74</v>
      </c>
      <c r="AG115">
        <v>131</v>
      </c>
      <c r="AH115">
        <v>14</v>
      </c>
      <c r="AI115">
        <v>15</v>
      </c>
      <c r="AJ115">
        <v>1</v>
      </c>
      <c r="AK115">
        <v>12</v>
      </c>
      <c r="AL115" t="s">
        <v>1058</v>
      </c>
      <c r="AM115" t="s">
        <v>891</v>
      </c>
      <c r="AN115" t="s">
        <v>1059</v>
      </c>
      <c r="AO115" t="s">
        <v>1060</v>
      </c>
      <c r="AP115" t="s">
        <v>1061</v>
      </c>
      <c r="AQ115" t="s">
        <v>74</v>
      </c>
      <c r="AR115" t="s">
        <v>1062</v>
      </c>
      <c r="AS115" t="s">
        <v>1063</v>
      </c>
      <c r="AT115" t="s">
        <v>2208</v>
      </c>
      <c r="AU115">
        <v>2021</v>
      </c>
      <c r="AV115">
        <v>301</v>
      </c>
      <c r="AW115" t="s">
        <v>74</v>
      </c>
      <c r="AX115" t="s">
        <v>74</v>
      </c>
      <c r="AY115" t="s">
        <v>74</v>
      </c>
      <c r="AZ115" t="s">
        <v>74</v>
      </c>
      <c r="BA115" t="s">
        <v>74</v>
      </c>
      <c r="BB115">
        <v>230</v>
      </c>
      <c r="BC115">
        <v>258</v>
      </c>
      <c r="BD115" t="s">
        <v>74</v>
      </c>
      <c r="BE115" t="s">
        <v>2577</v>
      </c>
      <c r="BF115" t="str">
        <f>HYPERLINK("http://dx.doi.org/10.1016/j.gca.2021.03.005","http://dx.doi.org/10.1016/j.gca.2021.03.005")</f>
        <v>http://dx.doi.org/10.1016/j.gca.2021.03.005</v>
      </c>
      <c r="BG115" t="s">
        <v>74</v>
      </c>
      <c r="BH115" t="s">
        <v>514</v>
      </c>
      <c r="BI115">
        <v>29</v>
      </c>
      <c r="BJ115" t="s">
        <v>1066</v>
      </c>
      <c r="BK115" t="s">
        <v>101</v>
      </c>
      <c r="BL115" t="s">
        <v>1066</v>
      </c>
      <c r="BM115" t="s">
        <v>2542</v>
      </c>
      <c r="BN115" t="s">
        <v>74</v>
      </c>
      <c r="BO115" t="s">
        <v>712</v>
      </c>
      <c r="BP115" t="s">
        <v>74</v>
      </c>
      <c r="BQ115" t="s">
        <v>74</v>
      </c>
      <c r="BR115" t="s">
        <v>104</v>
      </c>
      <c r="BS115" t="s">
        <v>2578</v>
      </c>
      <c r="BT115" t="str">
        <f>HYPERLINK("https%3A%2F%2Fwww.webofscience.com%2Fwos%2Fwoscc%2Ffull-record%2FWOS:000640782500011","View Full Record in Web of Science")</f>
        <v>View Full Record in Web of Science</v>
      </c>
    </row>
    <row r="116" spans="1:72" x14ac:dyDescent="0.15">
      <c r="A116" t="s">
        <v>72</v>
      </c>
      <c r="B116" t="s">
        <v>2579</v>
      </c>
      <c r="C116" t="s">
        <v>74</v>
      </c>
      <c r="D116" t="s">
        <v>74</v>
      </c>
      <c r="E116" t="s">
        <v>74</v>
      </c>
      <c r="F116" t="s">
        <v>2580</v>
      </c>
      <c r="G116" t="s">
        <v>74</v>
      </c>
      <c r="H116" t="s">
        <v>74</v>
      </c>
      <c r="I116" t="s">
        <v>2581</v>
      </c>
      <c r="J116" t="s">
        <v>739</v>
      </c>
      <c r="K116" t="s">
        <v>74</v>
      </c>
      <c r="L116" t="s">
        <v>74</v>
      </c>
      <c r="M116" t="s">
        <v>78</v>
      </c>
      <c r="N116" t="s">
        <v>79</v>
      </c>
      <c r="O116" t="s">
        <v>74</v>
      </c>
      <c r="P116" t="s">
        <v>74</v>
      </c>
      <c r="Q116" t="s">
        <v>74</v>
      </c>
      <c r="R116" t="s">
        <v>74</v>
      </c>
      <c r="S116" t="s">
        <v>74</v>
      </c>
      <c r="T116" t="s">
        <v>2582</v>
      </c>
      <c r="U116" t="s">
        <v>2583</v>
      </c>
      <c r="V116" t="s">
        <v>2584</v>
      </c>
      <c r="W116" t="s">
        <v>2585</v>
      </c>
      <c r="X116" t="s">
        <v>2586</v>
      </c>
      <c r="Y116" t="s">
        <v>2587</v>
      </c>
      <c r="Z116" t="s">
        <v>2588</v>
      </c>
      <c r="AA116" t="s">
        <v>2589</v>
      </c>
      <c r="AB116" t="s">
        <v>2590</v>
      </c>
      <c r="AC116" t="s">
        <v>2591</v>
      </c>
      <c r="AD116" t="s">
        <v>2592</v>
      </c>
      <c r="AE116" t="s">
        <v>2593</v>
      </c>
      <c r="AF116" t="s">
        <v>74</v>
      </c>
      <c r="AG116">
        <v>107</v>
      </c>
      <c r="AH116">
        <v>9</v>
      </c>
      <c r="AI116">
        <v>11</v>
      </c>
      <c r="AJ116">
        <v>0</v>
      </c>
      <c r="AK116">
        <v>12</v>
      </c>
      <c r="AL116" t="s">
        <v>750</v>
      </c>
      <c r="AM116" t="s">
        <v>751</v>
      </c>
      <c r="AN116" t="s">
        <v>752</v>
      </c>
      <c r="AO116" t="s">
        <v>753</v>
      </c>
      <c r="AP116" t="s">
        <v>754</v>
      </c>
      <c r="AQ116" t="s">
        <v>74</v>
      </c>
      <c r="AR116" t="s">
        <v>755</v>
      </c>
      <c r="AS116" t="s">
        <v>756</v>
      </c>
      <c r="AT116" t="s">
        <v>2506</v>
      </c>
      <c r="AU116">
        <v>2021</v>
      </c>
      <c r="AV116">
        <v>664</v>
      </c>
      <c r="AW116" t="s">
        <v>74</v>
      </c>
      <c r="AX116" t="s">
        <v>74</v>
      </c>
      <c r="AY116" t="s">
        <v>74</v>
      </c>
      <c r="AZ116" t="s">
        <v>74</v>
      </c>
      <c r="BA116" t="s">
        <v>74</v>
      </c>
      <c r="BB116">
        <v>207</v>
      </c>
      <c r="BC116">
        <v>225</v>
      </c>
      <c r="BD116" t="s">
        <v>74</v>
      </c>
      <c r="BE116" t="s">
        <v>2594</v>
      </c>
      <c r="BF116" t="str">
        <f>HYPERLINK("http://dx.doi.org/10.3354/meps13645","http://dx.doi.org/10.3354/meps13645")</f>
        <v>http://dx.doi.org/10.3354/meps13645</v>
      </c>
      <c r="BG116" t="s">
        <v>74</v>
      </c>
      <c r="BH116" t="s">
        <v>74</v>
      </c>
      <c r="BI116">
        <v>19</v>
      </c>
      <c r="BJ116" t="s">
        <v>758</v>
      </c>
      <c r="BK116" t="s">
        <v>101</v>
      </c>
      <c r="BL116" t="s">
        <v>759</v>
      </c>
      <c r="BM116" t="s">
        <v>2595</v>
      </c>
      <c r="BN116" t="s">
        <v>74</v>
      </c>
      <c r="BO116" t="s">
        <v>74</v>
      </c>
      <c r="BP116" t="s">
        <v>74</v>
      </c>
      <c r="BQ116" t="s">
        <v>74</v>
      </c>
      <c r="BR116" t="s">
        <v>104</v>
      </c>
      <c r="BS116" t="s">
        <v>2596</v>
      </c>
      <c r="BT116" t="str">
        <f>HYPERLINK("https%3A%2F%2Fwww.webofscience.com%2Fwos%2Fwoscc%2Ffull-record%2FWOS:000644438700013","View Full Record in Web of Science")</f>
        <v>View Full Record in Web of Science</v>
      </c>
    </row>
    <row r="117" spans="1:72" x14ac:dyDescent="0.15">
      <c r="A117" t="s">
        <v>72</v>
      </c>
      <c r="B117" t="s">
        <v>2597</v>
      </c>
      <c r="C117" t="s">
        <v>74</v>
      </c>
      <c r="D117" t="s">
        <v>74</v>
      </c>
      <c r="E117" t="s">
        <v>74</v>
      </c>
      <c r="F117" t="s">
        <v>2598</v>
      </c>
      <c r="G117" t="s">
        <v>74</v>
      </c>
      <c r="H117" t="s">
        <v>74</v>
      </c>
      <c r="I117" t="s">
        <v>2599</v>
      </c>
      <c r="J117" t="s">
        <v>2600</v>
      </c>
      <c r="K117" t="s">
        <v>74</v>
      </c>
      <c r="L117" t="s">
        <v>74</v>
      </c>
      <c r="M117" t="s">
        <v>78</v>
      </c>
      <c r="N117" t="s">
        <v>79</v>
      </c>
      <c r="O117" t="s">
        <v>74</v>
      </c>
      <c r="P117" t="s">
        <v>74</v>
      </c>
      <c r="Q117" t="s">
        <v>74</v>
      </c>
      <c r="R117" t="s">
        <v>74</v>
      </c>
      <c r="S117" t="s">
        <v>74</v>
      </c>
      <c r="T117" t="s">
        <v>2601</v>
      </c>
      <c r="U117" t="s">
        <v>2602</v>
      </c>
      <c r="V117" t="s">
        <v>2603</v>
      </c>
      <c r="W117" t="s">
        <v>2604</v>
      </c>
      <c r="X117" t="s">
        <v>2605</v>
      </c>
      <c r="Y117" t="s">
        <v>2606</v>
      </c>
      <c r="Z117" t="s">
        <v>2607</v>
      </c>
      <c r="AA117" t="s">
        <v>2608</v>
      </c>
      <c r="AB117" t="s">
        <v>2609</v>
      </c>
      <c r="AC117" t="s">
        <v>2610</v>
      </c>
      <c r="AD117" t="s">
        <v>2611</v>
      </c>
      <c r="AE117" t="s">
        <v>2612</v>
      </c>
      <c r="AF117" t="s">
        <v>74</v>
      </c>
      <c r="AG117">
        <v>107</v>
      </c>
      <c r="AH117">
        <v>5</v>
      </c>
      <c r="AI117">
        <v>6</v>
      </c>
      <c r="AJ117">
        <v>1</v>
      </c>
      <c r="AK117">
        <v>28</v>
      </c>
      <c r="AL117" t="s">
        <v>576</v>
      </c>
      <c r="AM117" t="s">
        <v>577</v>
      </c>
      <c r="AN117" t="s">
        <v>578</v>
      </c>
      <c r="AO117" t="s">
        <v>2613</v>
      </c>
      <c r="AP117" t="s">
        <v>2614</v>
      </c>
      <c r="AQ117" t="s">
        <v>74</v>
      </c>
      <c r="AR117" t="s">
        <v>2615</v>
      </c>
      <c r="AS117" t="s">
        <v>2616</v>
      </c>
      <c r="AT117" t="s">
        <v>707</v>
      </c>
      <c r="AU117">
        <v>2021</v>
      </c>
      <c r="AV117">
        <v>57</v>
      </c>
      <c r="AW117" t="s">
        <v>74</v>
      </c>
      <c r="AX117" t="s">
        <v>74</v>
      </c>
      <c r="AY117" t="s">
        <v>74</v>
      </c>
      <c r="AZ117" t="s">
        <v>74</v>
      </c>
      <c r="BA117" t="s">
        <v>74</v>
      </c>
      <c r="BB117" t="s">
        <v>74</v>
      </c>
      <c r="BC117" t="s">
        <v>74</v>
      </c>
      <c r="BD117">
        <v>100831</v>
      </c>
      <c r="BE117" t="s">
        <v>2617</v>
      </c>
      <c r="BF117" t="str">
        <f>HYPERLINK("http://dx.doi.org/10.1016/j.margen.2020.100831","http://dx.doi.org/10.1016/j.margen.2020.100831")</f>
        <v>http://dx.doi.org/10.1016/j.margen.2020.100831</v>
      </c>
      <c r="BG117" t="s">
        <v>74</v>
      </c>
      <c r="BH117" t="s">
        <v>514</v>
      </c>
      <c r="BI117">
        <v>11</v>
      </c>
      <c r="BJ117" t="s">
        <v>2618</v>
      </c>
      <c r="BK117" t="s">
        <v>101</v>
      </c>
      <c r="BL117" t="s">
        <v>2618</v>
      </c>
      <c r="BM117" t="s">
        <v>2619</v>
      </c>
      <c r="BN117">
        <v>33250437</v>
      </c>
      <c r="BO117" t="s">
        <v>74</v>
      </c>
      <c r="BP117" t="s">
        <v>74</v>
      </c>
      <c r="BQ117" t="s">
        <v>74</v>
      </c>
      <c r="BR117" t="s">
        <v>104</v>
      </c>
      <c r="BS117" t="s">
        <v>2620</v>
      </c>
      <c r="BT117" t="str">
        <f>HYPERLINK("https%3A%2F%2Fwww.webofscience.com%2Fwos%2Fwoscc%2Ffull-record%2FWOS:000641376900002","View Full Record in Web of Science")</f>
        <v>View Full Record in Web of Science</v>
      </c>
    </row>
    <row r="118" spans="1:72" x14ac:dyDescent="0.15">
      <c r="A118" t="s">
        <v>72</v>
      </c>
      <c r="B118" t="s">
        <v>2621</v>
      </c>
      <c r="C118" t="s">
        <v>74</v>
      </c>
      <c r="D118" t="s">
        <v>74</v>
      </c>
      <c r="E118" t="s">
        <v>74</v>
      </c>
      <c r="F118" t="s">
        <v>2622</v>
      </c>
      <c r="G118" t="s">
        <v>74</v>
      </c>
      <c r="H118" t="s">
        <v>74</v>
      </c>
      <c r="I118" t="s">
        <v>2623</v>
      </c>
      <c r="J118" t="s">
        <v>2624</v>
      </c>
      <c r="K118" t="s">
        <v>74</v>
      </c>
      <c r="L118" t="s">
        <v>74</v>
      </c>
      <c r="M118" t="s">
        <v>78</v>
      </c>
      <c r="N118" t="s">
        <v>79</v>
      </c>
      <c r="O118" t="s">
        <v>74</v>
      </c>
      <c r="P118" t="s">
        <v>74</v>
      </c>
      <c r="Q118" t="s">
        <v>74</v>
      </c>
      <c r="R118" t="s">
        <v>74</v>
      </c>
      <c r="S118" t="s">
        <v>74</v>
      </c>
      <c r="T118" t="s">
        <v>74</v>
      </c>
      <c r="U118" t="s">
        <v>2625</v>
      </c>
      <c r="V118" t="s">
        <v>2626</v>
      </c>
      <c r="W118" t="s">
        <v>2627</v>
      </c>
      <c r="X118" t="s">
        <v>2628</v>
      </c>
      <c r="Y118" t="s">
        <v>2629</v>
      </c>
      <c r="Z118" t="s">
        <v>2630</v>
      </c>
      <c r="AA118" t="s">
        <v>2631</v>
      </c>
      <c r="AB118" t="s">
        <v>2632</v>
      </c>
      <c r="AC118" t="s">
        <v>2633</v>
      </c>
      <c r="AD118" t="s">
        <v>2634</v>
      </c>
      <c r="AE118" t="s">
        <v>2635</v>
      </c>
      <c r="AF118" t="s">
        <v>74</v>
      </c>
      <c r="AG118">
        <v>31</v>
      </c>
      <c r="AH118">
        <v>8</v>
      </c>
      <c r="AI118">
        <v>8</v>
      </c>
      <c r="AJ118">
        <v>0</v>
      </c>
      <c r="AK118">
        <v>9</v>
      </c>
      <c r="AL118" t="s">
        <v>1269</v>
      </c>
      <c r="AM118" t="s">
        <v>1270</v>
      </c>
      <c r="AN118" t="s">
        <v>1271</v>
      </c>
      <c r="AO118" t="s">
        <v>2636</v>
      </c>
      <c r="AP118" t="s">
        <v>2637</v>
      </c>
      <c r="AQ118" t="s">
        <v>74</v>
      </c>
      <c r="AR118" t="s">
        <v>2638</v>
      </c>
      <c r="AS118" t="s">
        <v>2639</v>
      </c>
      <c r="AT118" t="s">
        <v>2506</v>
      </c>
      <c r="AU118">
        <v>2021</v>
      </c>
      <c r="AV118">
        <v>14</v>
      </c>
      <c r="AW118">
        <v>4</v>
      </c>
      <c r="AX118" t="s">
        <v>74</v>
      </c>
      <c r="AY118" t="s">
        <v>74</v>
      </c>
      <c r="AZ118" t="s">
        <v>74</v>
      </c>
      <c r="BA118" t="s">
        <v>74</v>
      </c>
      <c r="BB118">
        <v>2907</v>
      </c>
      <c r="BC118">
        <v>2918</v>
      </c>
      <c r="BD118" t="s">
        <v>74</v>
      </c>
      <c r="BE118" t="s">
        <v>2640</v>
      </c>
      <c r="BF118" t="str">
        <f>HYPERLINK("http://dx.doi.org/10.5194/amt-14-2907-2021","http://dx.doi.org/10.5194/amt-14-2907-2021")</f>
        <v>http://dx.doi.org/10.5194/amt-14-2907-2021</v>
      </c>
      <c r="BG118" t="s">
        <v>74</v>
      </c>
      <c r="BH118" t="s">
        <v>74</v>
      </c>
      <c r="BI118">
        <v>12</v>
      </c>
      <c r="BJ118" t="s">
        <v>129</v>
      </c>
      <c r="BK118" t="s">
        <v>101</v>
      </c>
      <c r="BL118" t="s">
        <v>129</v>
      </c>
      <c r="BM118" t="s">
        <v>2641</v>
      </c>
      <c r="BN118" t="s">
        <v>74</v>
      </c>
      <c r="BO118" t="s">
        <v>1280</v>
      </c>
      <c r="BP118" t="s">
        <v>74</v>
      </c>
      <c r="BQ118" t="s">
        <v>74</v>
      </c>
      <c r="BR118" t="s">
        <v>104</v>
      </c>
      <c r="BS118" t="s">
        <v>2642</v>
      </c>
      <c r="BT118" t="str">
        <f>HYPERLINK("https%3A%2F%2Fwww.webofscience.com%2Fwos%2Fwoscc%2Ffull-record%2FWOS:000641161100001","View Full Record in Web of Science")</f>
        <v>View Full Record in Web of Science</v>
      </c>
    </row>
    <row r="119" spans="1:72" x14ac:dyDescent="0.15">
      <c r="A119" t="s">
        <v>72</v>
      </c>
      <c r="B119" t="s">
        <v>2643</v>
      </c>
      <c r="C119" t="s">
        <v>74</v>
      </c>
      <c r="D119" t="s">
        <v>74</v>
      </c>
      <c r="E119" t="s">
        <v>74</v>
      </c>
      <c r="F119" t="s">
        <v>2644</v>
      </c>
      <c r="G119" t="s">
        <v>74</v>
      </c>
      <c r="H119" t="s">
        <v>74</v>
      </c>
      <c r="I119" t="s">
        <v>2645</v>
      </c>
      <c r="J119" t="s">
        <v>1421</v>
      </c>
      <c r="K119" t="s">
        <v>74</v>
      </c>
      <c r="L119" t="s">
        <v>74</v>
      </c>
      <c r="M119" t="s">
        <v>78</v>
      </c>
      <c r="N119" t="s">
        <v>79</v>
      </c>
      <c r="O119" t="s">
        <v>74</v>
      </c>
      <c r="P119" t="s">
        <v>74</v>
      </c>
      <c r="Q119" t="s">
        <v>74</v>
      </c>
      <c r="R119" t="s">
        <v>74</v>
      </c>
      <c r="S119" t="s">
        <v>74</v>
      </c>
      <c r="T119" t="s">
        <v>2646</v>
      </c>
      <c r="U119" t="s">
        <v>2647</v>
      </c>
      <c r="V119" t="s">
        <v>2648</v>
      </c>
      <c r="W119" t="s">
        <v>2649</v>
      </c>
      <c r="X119" t="s">
        <v>2650</v>
      </c>
      <c r="Y119" t="s">
        <v>2651</v>
      </c>
      <c r="Z119" t="s">
        <v>2652</v>
      </c>
      <c r="AA119" t="s">
        <v>2653</v>
      </c>
      <c r="AB119" t="s">
        <v>2654</v>
      </c>
      <c r="AC119" t="s">
        <v>2655</v>
      </c>
      <c r="AD119" t="s">
        <v>2656</v>
      </c>
      <c r="AE119" t="s">
        <v>2657</v>
      </c>
      <c r="AF119" t="s">
        <v>74</v>
      </c>
      <c r="AG119">
        <v>55</v>
      </c>
      <c r="AH119">
        <v>3</v>
      </c>
      <c r="AI119">
        <v>5</v>
      </c>
      <c r="AJ119">
        <v>3</v>
      </c>
      <c r="AK119">
        <v>17</v>
      </c>
      <c r="AL119" t="s">
        <v>166</v>
      </c>
      <c r="AM119" t="s">
        <v>167</v>
      </c>
      <c r="AN119" t="s">
        <v>168</v>
      </c>
      <c r="AO119" t="s">
        <v>1433</v>
      </c>
      <c r="AP119" t="s">
        <v>1434</v>
      </c>
      <c r="AQ119" t="s">
        <v>74</v>
      </c>
      <c r="AR119" t="s">
        <v>1435</v>
      </c>
      <c r="AS119" t="s">
        <v>1436</v>
      </c>
      <c r="AT119" t="s">
        <v>127</v>
      </c>
      <c r="AU119">
        <v>2021</v>
      </c>
      <c r="AV119">
        <v>44</v>
      </c>
      <c r="AW119">
        <v>5</v>
      </c>
      <c r="AX119" t="s">
        <v>74</v>
      </c>
      <c r="AY119" t="s">
        <v>74</v>
      </c>
      <c r="AZ119" t="s">
        <v>74</v>
      </c>
      <c r="BA119" t="s">
        <v>74</v>
      </c>
      <c r="BB119">
        <v>987</v>
      </c>
      <c r="BC119">
        <v>995</v>
      </c>
      <c r="BD119" t="s">
        <v>74</v>
      </c>
      <c r="BE119" t="s">
        <v>2658</v>
      </c>
      <c r="BF119" t="str">
        <f>HYPERLINK("http://dx.doi.org/10.1007/s00300-021-02853-0","http://dx.doi.org/10.1007/s00300-021-02853-0")</f>
        <v>http://dx.doi.org/10.1007/s00300-021-02853-0</v>
      </c>
      <c r="BG119" t="s">
        <v>74</v>
      </c>
      <c r="BH119" t="s">
        <v>514</v>
      </c>
      <c r="BI119">
        <v>9</v>
      </c>
      <c r="BJ119" t="s">
        <v>1438</v>
      </c>
      <c r="BK119" t="s">
        <v>101</v>
      </c>
      <c r="BL119" t="s">
        <v>1439</v>
      </c>
      <c r="BM119" t="s">
        <v>2150</v>
      </c>
      <c r="BN119" t="s">
        <v>74</v>
      </c>
      <c r="BO119" t="s">
        <v>74</v>
      </c>
      <c r="BP119" t="s">
        <v>74</v>
      </c>
      <c r="BQ119" t="s">
        <v>74</v>
      </c>
      <c r="BR119" t="s">
        <v>104</v>
      </c>
      <c r="BS119" t="s">
        <v>2659</v>
      </c>
      <c r="BT119" t="str">
        <f>HYPERLINK("https%3A%2F%2Fwww.webofscience.com%2Fwos%2Fwoscc%2Ffull-record%2FWOS:000640448700001","View Full Record in Web of Science")</f>
        <v>View Full Record in Web of Science</v>
      </c>
    </row>
    <row r="120" spans="1:72" x14ac:dyDescent="0.15">
      <c r="A120" t="s">
        <v>72</v>
      </c>
      <c r="B120" t="s">
        <v>2660</v>
      </c>
      <c r="C120" t="s">
        <v>74</v>
      </c>
      <c r="D120" t="s">
        <v>74</v>
      </c>
      <c r="E120" t="s">
        <v>74</v>
      </c>
      <c r="F120" t="s">
        <v>2661</v>
      </c>
      <c r="G120" t="s">
        <v>74</v>
      </c>
      <c r="H120" t="s">
        <v>74</v>
      </c>
      <c r="I120" t="s">
        <v>2662</v>
      </c>
      <c r="J120" t="s">
        <v>2663</v>
      </c>
      <c r="K120" t="s">
        <v>74</v>
      </c>
      <c r="L120" t="s">
        <v>74</v>
      </c>
      <c r="M120" t="s">
        <v>78</v>
      </c>
      <c r="N120" t="s">
        <v>1074</v>
      </c>
      <c r="O120" t="s">
        <v>74</v>
      </c>
      <c r="P120" t="s">
        <v>74</v>
      </c>
      <c r="Q120" t="s">
        <v>74</v>
      </c>
      <c r="R120" t="s">
        <v>74</v>
      </c>
      <c r="S120" t="s">
        <v>74</v>
      </c>
      <c r="T120" t="s">
        <v>2664</v>
      </c>
      <c r="U120" t="s">
        <v>2665</v>
      </c>
      <c r="V120" t="s">
        <v>2666</v>
      </c>
      <c r="W120" t="s">
        <v>2667</v>
      </c>
      <c r="X120" t="s">
        <v>2668</v>
      </c>
      <c r="Y120" t="s">
        <v>2669</v>
      </c>
      <c r="Z120" t="s">
        <v>2670</v>
      </c>
      <c r="AA120" t="s">
        <v>2671</v>
      </c>
      <c r="AB120" t="s">
        <v>2672</v>
      </c>
      <c r="AC120" t="s">
        <v>2673</v>
      </c>
      <c r="AD120" t="s">
        <v>2674</v>
      </c>
      <c r="AE120" t="s">
        <v>2675</v>
      </c>
      <c r="AF120" t="s">
        <v>74</v>
      </c>
      <c r="AG120">
        <v>74</v>
      </c>
      <c r="AH120">
        <v>7</v>
      </c>
      <c r="AI120">
        <v>7</v>
      </c>
      <c r="AJ120">
        <v>2</v>
      </c>
      <c r="AK120">
        <v>9</v>
      </c>
      <c r="AL120" t="s">
        <v>486</v>
      </c>
      <c r="AM120" t="s">
        <v>487</v>
      </c>
      <c r="AN120" t="s">
        <v>488</v>
      </c>
      <c r="AO120" t="s">
        <v>2676</v>
      </c>
      <c r="AP120" t="s">
        <v>2677</v>
      </c>
      <c r="AQ120" t="s">
        <v>74</v>
      </c>
      <c r="AR120" t="s">
        <v>2678</v>
      </c>
      <c r="AS120" t="s">
        <v>2679</v>
      </c>
      <c r="AT120" t="s">
        <v>802</v>
      </c>
      <c r="AU120">
        <v>2021</v>
      </c>
      <c r="AV120">
        <v>191</v>
      </c>
      <c r="AW120">
        <v>6</v>
      </c>
      <c r="AX120" t="s">
        <v>74</v>
      </c>
      <c r="AY120" t="s">
        <v>74</v>
      </c>
      <c r="AZ120" t="s">
        <v>803</v>
      </c>
      <c r="BA120" t="s">
        <v>74</v>
      </c>
      <c r="BB120">
        <v>1085</v>
      </c>
      <c r="BC120">
        <v>1095</v>
      </c>
      <c r="BD120" t="s">
        <v>74</v>
      </c>
      <c r="BE120" t="s">
        <v>2680</v>
      </c>
      <c r="BF120" t="str">
        <f>HYPERLINK("http://dx.doi.org/10.1007/s00360-021-01362-0","http://dx.doi.org/10.1007/s00360-021-01362-0")</f>
        <v>http://dx.doi.org/10.1007/s00360-021-01362-0</v>
      </c>
      <c r="BG120" t="s">
        <v>74</v>
      </c>
      <c r="BH120" t="s">
        <v>514</v>
      </c>
      <c r="BI120">
        <v>11</v>
      </c>
      <c r="BJ120" t="s">
        <v>2681</v>
      </c>
      <c r="BK120" t="s">
        <v>101</v>
      </c>
      <c r="BL120" t="s">
        <v>2681</v>
      </c>
      <c r="BM120" t="s">
        <v>2682</v>
      </c>
      <c r="BN120">
        <v>33860348</v>
      </c>
      <c r="BO120" t="s">
        <v>1492</v>
      </c>
      <c r="BP120" t="s">
        <v>74</v>
      </c>
      <c r="BQ120" t="s">
        <v>74</v>
      </c>
      <c r="BR120" t="s">
        <v>104</v>
      </c>
      <c r="BS120" t="s">
        <v>2683</v>
      </c>
      <c r="BT120" t="str">
        <f>HYPERLINK("https%3A%2F%2Fwww.webofscience.com%2Fwos%2Fwoscc%2Ffull-record%2FWOS:000640467800001","View Full Record in Web of Science")</f>
        <v>View Full Record in Web of Science</v>
      </c>
    </row>
    <row r="121" spans="1:72" x14ac:dyDescent="0.15">
      <c r="A121" t="s">
        <v>72</v>
      </c>
      <c r="B121" t="s">
        <v>2684</v>
      </c>
      <c r="C121" t="s">
        <v>74</v>
      </c>
      <c r="D121" t="s">
        <v>74</v>
      </c>
      <c r="E121" t="s">
        <v>74</v>
      </c>
      <c r="F121" t="s">
        <v>2685</v>
      </c>
      <c r="G121" t="s">
        <v>74</v>
      </c>
      <c r="H121" t="s">
        <v>74</v>
      </c>
      <c r="I121" t="s">
        <v>2686</v>
      </c>
      <c r="J121" t="s">
        <v>2687</v>
      </c>
      <c r="K121" t="s">
        <v>74</v>
      </c>
      <c r="L121" t="s">
        <v>74</v>
      </c>
      <c r="M121" t="s">
        <v>78</v>
      </c>
      <c r="N121" t="s">
        <v>79</v>
      </c>
      <c r="O121" t="s">
        <v>74</v>
      </c>
      <c r="P121" t="s">
        <v>74</v>
      </c>
      <c r="Q121" t="s">
        <v>74</v>
      </c>
      <c r="R121" t="s">
        <v>74</v>
      </c>
      <c r="S121" t="s">
        <v>74</v>
      </c>
      <c r="T121" t="s">
        <v>2688</v>
      </c>
      <c r="U121" t="s">
        <v>74</v>
      </c>
      <c r="V121" t="s">
        <v>2689</v>
      </c>
      <c r="W121" t="s">
        <v>2690</v>
      </c>
      <c r="X121" t="s">
        <v>2691</v>
      </c>
      <c r="Y121" t="s">
        <v>2692</v>
      </c>
      <c r="Z121" t="s">
        <v>2693</v>
      </c>
      <c r="AA121" t="s">
        <v>2694</v>
      </c>
      <c r="AB121" t="s">
        <v>2695</v>
      </c>
      <c r="AC121" t="s">
        <v>2696</v>
      </c>
      <c r="AD121" t="s">
        <v>2697</v>
      </c>
      <c r="AE121" t="s">
        <v>2698</v>
      </c>
      <c r="AF121" t="s">
        <v>74</v>
      </c>
      <c r="AG121">
        <v>78</v>
      </c>
      <c r="AH121">
        <v>23</v>
      </c>
      <c r="AI121">
        <v>24</v>
      </c>
      <c r="AJ121">
        <v>3</v>
      </c>
      <c r="AK121">
        <v>24</v>
      </c>
      <c r="AL121" t="s">
        <v>603</v>
      </c>
      <c r="AM121" t="s">
        <v>604</v>
      </c>
      <c r="AN121" t="s">
        <v>605</v>
      </c>
      <c r="AO121" t="s">
        <v>74</v>
      </c>
      <c r="AP121" t="s">
        <v>2699</v>
      </c>
      <c r="AQ121" t="s">
        <v>74</v>
      </c>
      <c r="AR121" t="s">
        <v>2700</v>
      </c>
      <c r="AS121" t="s">
        <v>2701</v>
      </c>
      <c r="AT121" t="s">
        <v>2506</v>
      </c>
      <c r="AU121">
        <v>2021</v>
      </c>
      <c r="AV121">
        <v>8</v>
      </c>
      <c r="AW121" t="s">
        <v>74</v>
      </c>
      <c r="AX121" t="s">
        <v>74</v>
      </c>
      <c r="AY121" t="s">
        <v>74</v>
      </c>
      <c r="AZ121" t="s">
        <v>74</v>
      </c>
      <c r="BA121" t="s">
        <v>74</v>
      </c>
      <c r="BB121" t="s">
        <v>74</v>
      </c>
      <c r="BC121" t="s">
        <v>74</v>
      </c>
      <c r="BD121">
        <v>655446</v>
      </c>
      <c r="BE121" t="s">
        <v>2702</v>
      </c>
      <c r="BF121" t="str">
        <f>HYPERLINK("http://dx.doi.org/10.3389/fmars.2021.655446","http://dx.doi.org/10.3389/fmars.2021.655446")</f>
        <v>http://dx.doi.org/10.3389/fmars.2021.655446</v>
      </c>
      <c r="BG121" t="s">
        <v>74</v>
      </c>
      <c r="BH121" t="s">
        <v>74</v>
      </c>
      <c r="BI121">
        <v>21</v>
      </c>
      <c r="BJ121" t="s">
        <v>1646</v>
      </c>
      <c r="BK121" t="s">
        <v>101</v>
      </c>
      <c r="BL121" t="s">
        <v>710</v>
      </c>
      <c r="BM121" t="s">
        <v>2703</v>
      </c>
      <c r="BN121" t="s">
        <v>74</v>
      </c>
      <c r="BO121" t="s">
        <v>558</v>
      </c>
      <c r="BP121" t="s">
        <v>74</v>
      </c>
      <c r="BQ121" t="s">
        <v>74</v>
      </c>
      <c r="BR121" t="s">
        <v>104</v>
      </c>
      <c r="BS121" t="s">
        <v>2704</v>
      </c>
      <c r="BT121" t="str">
        <f>HYPERLINK("https%3A%2F%2Fwww.webofscience.com%2Fwos%2Fwoscc%2Ffull-record%2FWOS:000642497200001","View Full Record in Web of Science")</f>
        <v>View Full Record in Web of Science</v>
      </c>
    </row>
    <row r="122" spans="1:72" x14ac:dyDescent="0.15">
      <c r="A122" t="s">
        <v>72</v>
      </c>
      <c r="B122" t="s">
        <v>2705</v>
      </c>
      <c r="C122" t="s">
        <v>74</v>
      </c>
      <c r="D122" t="s">
        <v>74</v>
      </c>
      <c r="E122" t="s">
        <v>74</v>
      </c>
      <c r="F122" t="s">
        <v>2706</v>
      </c>
      <c r="G122" t="s">
        <v>74</v>
      </c>
      <c r="H122" t="s">
        <v>74</v>
      </c>
      <c r="I122" t="s">
        <v>2707</v>
      </c>
      <c r="J122" t="s">
        <v>2708</v>
      </c>
      <c r="K122" t="s">
        <v>74</v>
      </c>
      <c r="L122" t="s">
        <v>74</v>
      </c>
      <c r="M122" t="s">
        <v>78</v>
      </c>
      <c r="N122" t="s">
        <v>79</v>
      </c>
      <c r="O122" t="s">
        <v>74</v>
      </c>
      <c r="P122" t="s">
        <v>74</v>
      </c>
      <c r="Q122" t="s">
        <v>74</v>
      </c>
      <c r="R122" t="s">
        <v>74</v>
      </c>
      <c r="S122" t="s">
        <v>74</v>
      </c>
      <c r="T122" t="s">
        <v>2709</v>
      </c>
      <c r="U122" t="s">
        <v>74</v>
      </c>
      <c r="V122" t="s">
        <v>2710</v>
      </c>
      <c r="W122" t="s">
        <v>2711</v>
      </c>
      <c r="X122" t="s">
        <v>2712</v>
      </c>
      <c r="Y122" t="s">
        <v>2713</v>
      </c>
      <c r="Z122" t="s">
        <v>2714</v>
      </c>
      <c r="AA122" t="s">
        <v>2715</v>
      </c>
      <c r="AB122" t="s">
        <v>2716</v>
      </c>
      <c r="AC122" t="s">
        <v>2717</v>
      </c>
      <c r="AD122" t="s">
        <v>2718</v>
      </c>
      <c r="AE122" t="s">
        <v>2719</v>
      </c>
      <c r="AF122" t="s">
        <v>74</v>
      </c>
      <c r="AG122">
        <v>89</v>
      </c>
      <c r="AH122">
        <v>13</v>
      </c>
      <c r="AI122">
        <v>13</v>
      </c>
      <c r="AJ122">
        <v>1</v>
      </c>
      <c r="AK122">
        <v>6</v>
      </c>
      <c r="AL122" t="s">
        <v>166</v>
      </c>
      <c r="AM122" t="s">
        <v>167</v>
      </c>
      <c r="AN122" t="s">
        <v>168</v>
      </c>
      <c r="AO122" t="s">
        <v>2720</v>
      </c>
      <c r="AP122" t="s">
        <v>2721</v>
      </c>
      <c r="AQ122" t="s">
        <v>74</v>
      </c>
      <c r="AR122" t="s">
        <v>2722</v>
      </c>
      <c r="AS122" t="s">
        <v>2723</v>
      </c>
      <c r="AT122" t="s">
        <v>707</v>
      </c>
      <c r="AU122">
        <v>2021</v>
      </c>
      <c r="AV122">
        <v>67</v>
      </c>
      <c r="AW122">
        <v>6</v>
      </c>
      <c r="AX122" t="s">
        <v>74</v>
      </c>
      <c r="AY122" t="s">
        <v>74</v>
      </c>
      <c r="AZ122" t="s">
        <v>74</v>
      </c>
      <c r="BA122" t="s">
        <v>74</v>
      </c>
      <c r="BB122">
        <v>1043</v>
      </c>
      <c r="BC122">
        <v>1059</v>
      </c>
      <c r="BD122" t="s">
        <v>74</v>
      </c>
      <c r="BE122" t="s">
        <v>2724</v>
      </c>
      <c r="BF122" t="str">
        <f>HYPERLINK("http://dx.doi.org/10.1007/s00267-021-01464-z","http://dx.doi.org/10.1007/s00267-021-01464-z")</f>
        <v>http://dx.doi.org/10.1007/s00267-021-01464-z</v>
      </c>
      <c r="BG122" t="s">
        <v>74</v>
      </c>
      <c r="BH122" t="s">
        <v>514</v>
      </c>
      <c r="BI122">
        <v>17</v>
      </c>
      <c r="BJ122" t="s">
        <v>224</v>
      </c>
      <c r="BK122" t="s">
        <v>101</v>
      </c>
      <c r="BL122" t="s">
        <v>225</v>
      </c>
      <c r="BM122" t="s">
        <v>2725</v>
      </c>
      <c r="BN122">
        <v>33860349</v>
      </c>
      <c r="BO122" t="s">
        <v>2726</v>
      </c>
      <c r="BP122" t="s">
        <v>74</v>
      </c>
      <c r="BQ122" t="s">
        <v>74</v>
      </c>
      <c r="BR122" t="s">
        <v>104</v>
      </c>
      <c r="BS122" t="s">
        <v>2727</v>
      </c>
      <c r="BT122" t="str">
        <f>HYPERLINK("https%3A%2F%2Fwww.webofscience.com%2Fwos%2Fwoscc%2Ffull-record%2FWOS:000640481300001","View Full Record in Web of Science")</f>
        <v>View Full Record in Web of Science</v>
      </c>
    </row>
    <row r="123" spans="1:72" x14ac:dyDescent="0.15">
      <c r="A123" t="s">
        <v>72</v>
      </c>
      <c r="B123" t="s">
        <v>2728</v>
      </c>
      <c r="C123" t="s">
        <v>74</v>
      </c>
      <c r="D123" t="s">
        <v>74</v>
      </c>
      <c r="E123" t="s">
        <v>74</v>
      </c>
      <c r="F123" t="s">
        <v>2729</v>
      </c>
      <c r="G123" t="s">
        <v>74</v>
      </c>
      <c r="H123" t="s">
        <v>74</v>
      </c>
      <c r="I123" t="s">
        <v>2730</v>
      </c>
      <c r="J123" t="s">
        <v>2731</v>
      </c>
      <c r="K123" t="s">
        <v>74</v>
      </c>
      <c r="L123" t="s">
        <v>74</v>
      </c>
      <c r="M123" t="s">
        <v>78</v>
      </c>
      <c r="N123" t="s">
        <v>79</v>
      </c>
      <c r="O123" t="s">
        <v>74</v>
      </c>
      <c r="P123" t="s">
        <v>74</v>
      </c>
      <c r="Q123" t="s">
        <v>74</v>
      </c>
      <c r="R123" t="s">
        <v>74</v>
      </c>
      <c r="S123" t="s">
        <v>74</v>
      </c>
      <c r="T123" t="s">
        <v>2732</v>
      </c>
      <c r="U123" t="s">
        <v>2733</v>
      </c>
      <c r="V123" t="s">
        <v>2734</v>
      </c>
      <c r="W123" t="s">
        <v>2735</v>
      </c>
      <c r="X123" t="s">
        <v>2736</v>
      </c>
      <c r="Y123" t="s">
        <v>2737</v>
      </c>
      <c r="Z123" t="s">
        <v>2738</v>
      </c>
      <c r="AA123" t="s">
        <v>2739</v>
      </c>
      <c r="AB123" t="s">
        <v>2740</v>
      </c>
      <c r="AC123" t="s">
        <v>2741</v>
      </c>
      <c r="AD123" t="s">
        <v>2742</v>
      </c>
      <c r="AE123" t="s">
        <v>2743</v>
      </c>
      <c r="AF123" t="s">
        <v>74</v>
      </c>
      <c r="AG123">
        <v>55</v>
      </c>
      <c r="AH123">
        <v>2</v>
      </c>
      <c r="AI123">
        <v>2</v>
      </c>
      <c r="AJ123">
        <v>0</v>
      </c>
      <c r="AK123">
        <v>5</v>
      </c>
      <c r="AL123" t="s">
        <v>486</v>
      </c>
      <c r="AM123" t="s">
        <v>487</v>
      </c>
      <c r="AN123" t="s">
        <v>488</v>
      </c>
      <c r="AO123" t="s">
        <v>2744</v>
      </c>
      <c r="AP123" t="s">
        <v>2745</v>
      </c>
      <c r="AQ123" t="s">
        <v>74</v>
      </c>
      <c r="AR123" t="s">
        <v>2746</v>
      </c>
      <c r="AS123" t="s">
        <v>2747</v>
      </c>
      <c r="AT123" t="s">
        <v>127</v>
      </c>
      <c r="AU123">
        <v>2021</v>
      </c>
      <c r="AV123">
        <v>148</v>
      </c>
      <c r="AW123">
        <v>1</v>
      </c>
      <c r="AX123" t="s">
        <v>74</v>
      </c>
      <c r="AY123" t="s">
        <v>74</v>
      </c>
      <c r="AZ123" t="s">
        <v>74</v>
      </c>
      <c r="BA123" t="s">
        <v>74</v>
      </c>
      <c r="BB123">
        <v>1</v>
      </c>
      <c r="BC123">
        <v>41</v>
      </c>
      <c r="BD123" t="s">
        <v>74</v>
      </c>
      <c r="BE123" t="s">
        <v>2748</v>
      </c>
      <c r="BF123" t="str">
        <f>HYPERLINK("http://dx.doi.org/10.1007/s00211-021-01193-9","http://dx.doi.org/10.1007/s00211-021-01193-9")</f>
        <v>http://dx.doi.org/10.1007/s00211-021-01193-9</v>
      </c>
      <c r="BG123" t="s">
        <v>74</v>
      </c>
      <c r="BH123" t="s">
        <v>514</v>
      </c>
      <c r="BI123">
        <v>41</v>
      </c>
      <c r="BJ123" t="s">
        <v>2749</v>
      </c>
      <c r="BK123" t="s">
        <v>101</v>
      </c>
      <c r="BL123" t="s">
        <v>2750</v>
      </c>
      <c r="BM123" t="s">
        <v>2751</v>
      </c>
      <c r="BN123" t="s">
        <v>74</v>
      </c>
      <c r="BO123" t="s">
        <v>496</v>
      </c>
      <c r="BP123" t="s">
        <v>74</v>
      </c>
      <c r="BQ123" t="s">
        <v>74</v>
      </c>
      <c r="BR123" t="s">
        <v>104</v>
      </c>
      <c r="BS123" t="s">
        <v>2752</v>
      </c>
      <c r="BT123" t="str">
        <f>HYPERLINK("https%3A%2F%2Fwww.webofscience.com%2Fwos%2Fwoscc%2Ffull-record%2FWOS:000640447500001","View Full Record in Web of Science")</f>
        <v>View Full Record in Web of Science</v>
      </c>
    </row>
    <row r="124" spans="1:72" x14ac:dyDescent="0.15">
      <c r="A124" t="s">
        <v>72</v>
      </c>
      <c r="B124" t="s">
        <v>2753</v>
      </c>
      <c r="C124" t="s">
        <v>74</v>
      </c>
      <c r="D124" t="s">
        <v>74</v>
      </c>
      <c r="E124" t="s">
        <v>74</v>
      </c>
      <c r="F124" t="s">
        <v>2754</v>
      </c>
      <c r="G124" t="s">
        <v>74</v>
      </c>
      <c r="H124" t="s">
        <v>74</v>
      </c>
      <c r="I124" t="s">
        <v>2755</v>
      </c>
      <c r="J124" t="s">
        <v>2756</v>
      </c>
      <c r="K124" t="s">
        <v>74</v>
      </c>
      <c r="L124" t="s">
        <v>74</v>
      </c>
      <c r="M124" t="s">
        <v>78</v>
      </c>
      <c r="N124" t="s">
        <v>79</v>
      </c>
      <c r="O124" t="s">
        <v>74</v>
      </c>
      <c r="P124" t="s">
        <v>74</v>
      </c>
      <c r="Q124" t="s">
        <v>74</v>
      </c>
      <c r="R124" t="s">
        <v>74</v>
      </c>
      <c r="S124" t="s">
        <v>74</v>
      </c>
      <c r="T124" t="s">
        <v>2757</v>
      </c>
      <c r="U124" t="s">
        <v>2758</v>
      </c>
      <c r="V124" t="s">
        <v>2759</v>
      </c>
      <c r="W124" t="s">
        <v>2760</v>
      </c>
      <c r="X124" t="s">
        <v>2761</v>
      </c>
      <c r="Y124" t="s">
        <v>2762</v>
      </c>
      <c r="Z124" t="s">
        <v>2763</v>
      </c>
      <c r="AA124" t="s">
        <v>74</v>
      </c>
      <c r="AB124" t="s">
        <v>2764</v>
      </c>
      <c r="AC124" t="s">
        <v>2765</v>
      </c>
      <c r="AD124" t="s">
        <v>2766</v>
      </c>
      <c r="AE124" t="s">
        <v>2767</v>
      </c>
      <c r="AF124" t="s">
        <v>74</v>
      </c>
      <c r="AG124">
        <v>60</v>
      </c>
      <c r="AH124">
        <v>6</v>
      </c>
      <c r="AI124">
        <v>6</v>
      </c>
      <c r="AJ124">
        <v>2</v>
      </c>
      <c r="AK124">
        <v>17</v>
      </c>
      <c r="AL124" t="s">
        <v>1160</v>
      </c>
      <c r="AM124" t="s">
        <v>891</v>
      </c>
      <c r="AN124" t="s">
        <v>1161</v>
      </c>
      <c r="AO124" t="s">
        <v>2768</v>
      </c>
      <c r="AP124" t="s">
        <v>2769</v>
      </c>
      <c r="AQ124" t="s">
        <v>74</v>
      </c>
      <c r="AR124" t="s">
        <v>2770</v>
      </c>
      <c r="AS124" t="s">
        <v>2771</v>
      </c>
      <c r="AT124" t="s">
        <v>1364</v>
      </c>
      <c r="AU124">
        <v>2021</v>
      </c>
      <c r="AV124">
        <v>78</v>
      </c>
      <c r="AW124">
        <v>5</v>
      </c>
      <c r="AX124" t="s">
        <v>74</v>
      </c>
      <c r="AY124" t="s">
        <v>74</v>
      </c>
      <c r="AZ124" t="s">
        <v>74</v>
      </c>
      <c r="BA124" t="s">
        <v>74</v>
      </c>
      <c r="BB124">
        <v>1599</v>
      </c>
      <c r="BC124">
        <v>1613</v>
      </c>
      <c r="BD124" t="s">
        <v>74</v>
      </c>
      <c r="BE124" t="s">
        <v>2772</v>
      </c>
      <c r="BF124" t="str">
        <f>HYPERLINK("http://dx.doi.org/10.1093/icesjms/fsab057","http://dx.doi.org/10.1093/icesjms/fsab057")</f>
        <v>http://dx.doi.org/10.1093/icesjms/fsab057</v>
      </c>
      <c r="BG124" t="s">
        <v>74</v>
      </c>
      <c r="BH124" t="s">
        <v>514</v>
      </c>
      <c r="BI124">
        <v>15</v>
      </c>
      <c r="BJ124" t="s">
        <v>2773</v>
      </c>
      <c r="BK124" t="s">
        <v>1038</v>
      </c>
      <c r="BL124" t="s">
        <v>2773</v>
      </c>
      <c r="BM124" t="s">
        <v>2774</v>
      </c>
      <c r="BN124" t="s">
        <v>74</v>
      </c>
      <c r="BO124" t="s">
        <v>1492</v>
      </c>
      <c r="BP124" t="s">
        <v>74</v>
      </c>
      <c r="BQ124" t="s">
        <v>74</v>
      </c>
      <c r="BR124" t="s">
        <v>104</v>
      </c>
      <c r="BS124" t="s">
        <v>2775</v>
      </c>
      <c r="BT124" t="str">
        <f>HYPERLINK("https%3A%2F%2Fwww.webofscience.com%2Fwos%2Fwoscc%2Ffull-record%2FWOS:000696576500004","View Full Record in Web of Science")</f>
        <v>View Full Record in Web of Science</v>
      </c>
    </row>
    <row r="125" spans="1:72" x14ac:dyDescent="0.15">
      <c r="A125" t="s">
        <v>72</v>
      </c>
      <c r="B125" t="s">
        <v>2776</v>
      </c>
      <c r="C125" t="s">
        <v>74</v>
      </c>
      <c r="D125" t="s">
        <v>74</v>
      </c>
      <c r="E125" t="s">
        <v>74</v>
      </c>
      <c r="F125" t="s">
        <v>2777</v>
      </c>
      <c r="G125" t="s">
        <v>74</v>
      </c>
      <c r="H125" t="s">
        <v>74</v>
      </c>
      <c r="I125" t="s">
        <v>2778</v>
      </c>
      <c r="J125" t="s">
        <v>2779</v>
      </c>
      <c r="K125" t="s">
        <v>74</v>
      </c>
      <c r="L125" t="s">
        <v>74</v>
      </c>
      <c r="M125" t="s">
        <v>78</v>
      </c>
      <c r="N125" t="s">
        <v>79</v>
      </c>
      <c r="O125" t="s">
        <v>74</v>
      </c>
      <c r="P125" t="s">
        <v>74</v>
      </c>
      <c r="Q125" t="s">
        <v>74</v>
      </c>
      <c r="R125" t="s">
        <v>74</v>
      </c>
      <c r="S125" t="s">
        <v>74</v>
      </c>
      <c r="T125" t="s">
        <v>2780</v>
      </c>
      <c r="U125" t="s">
        <v>2781</v>
      </c>
      <c r="V125" t="s">
        <v>2782</v>
      </c>
      <c r="W125" t="s">
        <v>2783</v>
      </c>
      <c r="X125" t="s">
        <v>2784</v>
      </c>
      <c r="Y125" t="s">
        <v>2785</v>
      </c>
      <c r="Z125" t="s">
        <v>2786</v>
      </c>
      <c r="AA125" t="s">
        <v>2787</v>
      </c>
      <c r="AB125" t="s">
        <v>74</v>
      </c>
      <c r="AC125" t="s">
        <v>2788</v>
      </c>
      <c r="AD125" t="s">
        <v>2789</v>
      </c>
      <c r="AE125" t="s">
        <v>2790</v>
      </c>
      <c r="AF125" t="s">
        <v>74</v>
      </c>
      <c r="AG125">
        <v>62</v>
      </c>
      <c r="AH125">
        <v>9</v>
      </c>
      <c r="AI125">
        <v>13</v>
      </c>
      <c r="AJ125">
        <v>6</v>
      </c>
      <c r="AK125">
        <v>31</v>
      </c>
      <c r="AL125" t="s">
        <v>576</v>
      </c>
      <c r="AM125" t="s">
        <v>577</v>
      </c>
      <c r="AN125" t="s">
        <v>578</v>
      </c>
      <c r="AO125" t="s">
        <v>2791</v>
      </c>
      <c r="AP125" t="s">
        <v>2792</v>
      </c>
      <c r="AQ125" t="s">
        <v>74</v>
      </c>
      <c r="AR125" t="s">
        <v>2779</v>
      </c>
      <c r="AS125" t="s">
        <v>2793</v>
      </c>
      <c r="AT125" t="s">
        <v>2794</v>
      </c>
      <c r="AU125">
        <v>2021</v>
      </c>
      <c r="AV125">
        <v>541</v>
      </c>
      <c r="AW125" t="s">
        <v>74</v>
      </c>
      <c r="AX125" t="s">
        <v>74</v>
      </c>
      <c r="AY125" t="s">
        <v>74</v>
      </c>
      <c r="AZ125" t="s">
        <v>74</v>
      </c>
      <c r="BA125" t="s">
        <v>74</v>
      </c>
      <c r="BB125" t="s">
        <v>74</v>
      </c>
      <c r="BC125" t="s">
        <v>74</v>
      </c>
      <c r="BD125">
        <v>736761</v>
      </c>
      <c r="BE125" t="s">
        <v>2795</v>
      </c>
      <c r="BF125" t="str">
        <f>HYPERLINK("http://dx.doi.org/10.1016/j.aquaculture.2021.736761","http://dx.doi.org/10.1016/j.aquaculture.2021.736761")</f>
        <v>http://dx.doi.org/10.1016/j.aquaculture.2021.736761</v>
      </c>
      <c r="BG125" t="s">
        <v>74</v>
      </c>
      <c r="BH125" t="s">
        <v>514</v>
      </c>
      <c r="BI125">
        <v>7</v>
      </c>
      <c r="BJ125" t="s">
        <v>1811</v>
      </c>
      <c r="BK125" t="s">
        <v>101</v>
      </c>
      <c r="BL125" t="s">
        <v>1811</v>
      </c>
      <c r="BM125" t="s">
        <v>2796</v>
      </c>
      <c r="BN125" t="s">
        <v>74</v>
      </c>
      <c r="BO125" t="s">
        <v>74</v>
      </c>
      <c r="BP125" t="s">
        <v>74</v>
      </c>
      <c r="BQ125" t="s">
        <v>74</v>
      </c>
      <c r="BR125" t="s">
        <v>104</v>
      </c>
      <c r="BS125" t="s">
        <v>2797</v>
      </c>
      <c r="BT125" t="str">
        <f>HYPERLINK("https%3A%2F%2Fwww.webofscience.com%2Fwos%2Fwoscc%2Ffull-record%2FWOS:000657612200001","View Full Record in Web of Science")</f>
        <v>View Full Record in Web of Science</v>
      </c>
    </row>
    <row r="126" spans="1:72" x14ac:dyDescent="0.15">
      <c r="A126" t="s">
        <v>72</v>
      </c>
      <c r="B126" t="s">
        <v>2798</v>
      </c>
      <c r="C126" t="s">
        <v>74</v>
      </c>
      <c r="D126" t="s">
        <v>74</v>
      </c>
      <c r="E126" t="s">
        <v>74</v>
      </c>
      <c r="F126" t="s">
        <v>2799</v>
      </c>
      <c r="G126" t="s">
        <v>74</v>
      </c>
      <c r="H126" t="s">
        <v>74</v>
      </c>
      <c r="I126" t="s">
        <v>2800</v>
      </c>
      <c r="J126" t="s">
        <v>2801</v>
      </c>
      <c r="K126" t="s">
        <v>74</v>
      </c>
      <c r="L126" t="s">
        <v>74</v>
      </c>
      <c r="M126" t="s">
        <v>78</v>
      </c>
      <c r="N126" t="s">
        <v>79</v>
      </c>
      <c r="O126" t="s">
        <v>74</v>
      </c>
      <c r="P126" t="s">
        <v>74</v>
      </c>
      <c r="Q126" t="s">
        <v>74</v>
      </c>
      <c r="R126" t="s">
        <v>74</v>
      </c>
      <c r="S126" t="s">
        <v>74</v>
      </c>
      <c r="T126" t="s">
        <v>2802</v>
      </c>
      <c r="U126" t="s">
        <v>2803</v>
      </c>
      <c r="V126" t="s">
        <v>2804</v>
      </c>
      <c r="W126" t="s">
        <v>2805</v>
      </c>
      <c r="X126" t="s">
        <v>2806</v>
      </c>
      <c r="Y126" t="s">
        <v>2807</v>
      </c>
      <c r="Z126" t="s">
        <v>2808</v>
      </c>
      <c r="AA126" t="s">
        <v>2809</v>
      </c>
      <c r="AB126" t="s">
        <v>2810</v>
      </c>
      <c r="AC126" t="s">
        <v>2811</v>
      </c>
      <c r="AD126" t="s">
        <v>2812</v>
      </c>
      <c r="AE126" t="s">
        <v>2813</v>
      </c>
      <c r="AF126" t="s">
        <v>74</v>
      </c>
      <c r="AG126">
        <v>123</v>
      </c>
      <c r="AH126">
        <v>17</v>
      </c>
      <c r="AI126">
        <v>17</v>
      </c>
      <c r="AJ126">
        <v>8</v>
      </c>
      <c r="AK126">
        <v>54</v>
      </c>
      <c r="AL126" t="s">
        <v>2475</v>
      </c>
      <c r="AM126" t="s">
        <v>390</v>
      </c>
      <c r="AN126" t="s">
        <v>2476</v>
      </c>
      <c r="AO126" t="s">
        <v>2814</v>
      </c>
      <c r="AP126" t="s">
        <v>74</v>
      </c>
      <c r="AQ126" t="s">
        <v>74</v>
      </c>
      <c r="AR126" t="s">
        <v>2815</v>
      </c>
      <c r="AS126" t="s">
        <v>2816</v>
      </c>
      <c r="AT126" t="s">
        <v>2817</v>
      </c>
      <c r="AU126">
        <v>2021</v>
      </c>
      <c r="AV126">
        <v>5</v>
      </c>
      <c r="AW126">
        <v>5</v>
      </c>
      <c r="AX126" t="s">
        <v>74</v>
      </c>
      <c r="AY126" t="s">
        <v>74</v>
      </c>
      <c r="AZ126" t="s">
        <v>74</v>
      </c>
      <c r="BA126" t="s">
        <v>74</v>
      </c>
      <c r="BB126">
        <v>1032</v>
      </c>
      <c r="BC126">
        <v>1047</v>
      </c>
      <c r="BD126" t="s">
        <v>74</v>
      </c>
      <c r="BE126" t="s">
        <v>2818</v>
      </c>
      <c r="BF126" t="str">
        <f>HYPERLINK("http://dx.doi.org/10.1021/acsearthspacechem.0c00351","http://dx.doi.org/10.1021/acsearthspacechem.0c00351")</f>
        <v>http://dx.doi.org/10.1021/acsearthspacechem.0c00351</v>
      </c>
      <c r="BG126" t="s">
        <v>74</v>
      </c>
      <c r="BH126" t="s">
        <v>514</v>
      </c>
      <c r="BI126">
        <v>16</v>
      </c>
      <c r="BJ126" t="s">
        <v>2819</v>
      </c>
      <c r="BK126" t="s">
        <v>101</v>
      </c>
      <c r="BL126" t="s">
        <v>2820</v>
      </c>
      <c r="BM126" t="s">
        <v>2821</v>
      </c>
      <c r="BN126" t="s">
        <v>74</v>
      </c>
      <c r="BO126" t="s">
        <v>899</v>
      </c>
      <c r="BP126" t="s">
        <v>74</v>
      </c>
      <c r="BQ126" t="s">
        <v>74</v>
      </c>
      <c r="BR126" t="s">
        <v>104</v>
      </c>
      <c r="BS126" t="s">
        <v>2822</v>
      </c>
      <c r="BT126" t="str">
        <f>HYPERLINK("https%3A%2F%2Fwww.webofscience.com%2Fwos%2Fwoscc%2Ffull-record%2FWOS:000655638500005","View Full Record in Web of Science")</f>
        <v>View Full Record in Web of Science</v>
      </c>
    </row>
    <row r="127" spans="1:72" x14ac:dyDescent="0.15">
      <c r="A127" t="s">
        <v>72</v>
      </c>
      <c r="B127" t="s">
        <v>2823</v>
      </c>
      <c r="C127" t="s">
        <v>74</v>
      </c>
      <c r="D127" t="s">
        <v>74</v>
      </c>
      <c r="E127" t="s">
        <v>74</v>
      </c>
      <c r="F127" t="s">
        <v>2824</v>
      </c>
      <c r="G127" t="s">
        <v>74</v>
      </c>
      <c r="H127" t="s">
        <v>74</v>
      </c>
      <c r="I127" t="s">
        <v>2825</v>
      </c>
      <c r="J127" t="s">
        <v>535</v>
      </c>
      <c r="K127" t="s">
        <v>74</v>
      </c>
      <c r="L127" t="s">
        <v>74</v>
      </c>
      <c r="M127" t="s">
        <v>78</v>
      </c>
      <c r="N127" t="s">
        <v>79</v>
      </c>
      <c r="O127" t="s">
        <v>74</v>
      </c>
      <c r="P127" t="s">
        <v>74</v>
      </c>
      <c r="Q127" t="s">
        <v>74</v>
      </c>
      <c r="R127" t="s">
        <v>74</v>
      </c>
      <c r="S127" t="s">
        <v>74</v>
      </c>
      <c r="T127" t="s">
        <v>74</v>
      </c>
      <c r="U127" t="s">
        <v>2826</v>
      </c>
      <c r="V127" t="s">
        <v>2827</v>
      </c>
      <c r="W127" t="s">
        <v>2828</v>
      </c>
      <c r="X127" t="s">
        <v>2829</v>
      </c>
      <c r="Y127" t="s">
        <v>2830</v>
      </c>
      <c r="Z127" t="s">
        <v>2831</v>
      </c>
      <c r="AA127" t="s">
        <v>2832</v>
      </c>
      <c r="AB127" t="s">
        <v>74</v>
      </c>
      <c r="AC127" t="s">
        <v>2833</v>
      </c>
      <c r="AD127" t="s">
        <v>2833</v>
      </c>
      <c r="AE127" t="s">
        <v>2834</v>
      </c>
      <c r="AF127" t="s">
        <v>74</v>
      </c>
      <c r="AG127">
        <v>81</v>
      </c>
      <c r="AH127">
        <v>9</v>
      </c>
      <c r="AI127">
        <v>10</v>
      </c>
      <c r="AJ127">
        <v>1</v>
      </c>
      <c r="AK127">
        <v>20</v>
      </c>
      <c r="AL127" t="s">
        <v>547</v>
      </c>
      <c r="AM127" t="s">
        <v>548</v>
      </c>
      <c r="AN127" t="s">
        <v>549</v>
      </c>
      <c r="AO127" t="s">
        <v>550</v>
      </c>
      <c r="AP127" t="s">
        <v>74</v>
      </c>
      <c r="AQ127" t="s">
        <v>74</v>
      </c>
      <c r="AR127" t="s">
        <v>535</v>
      </c>
      <c r="AS127" t="s">
        <v>551</v>
      </c>
      <c r="AT127" t="s">
        <v>2835</v>
      </c>
      <c r="AU127">
        <v>2021</v>
      </c>
      <c r="AV127">
        <v>16</v>
      </c>
      <c r="AW127">
        <v>4</v>
      </c>
      <c r="AX127" t="s">
        <v>74</v>
      </c>
      <c r="AY127" t="s">
        <v>74</v>
      </c>
      <c r="AZ127" t="s">
        <v>74</v>
      </c>
      <c r="BA127" t="s">
        <v>74</v>
      </c>
      <c r="BB127" t="s">
        <v>74</v>
      </c>
      <c r="BC127" t="s">
        <v>74</v>
      </c>
      <c r="BD127" t="s">
        <v>2836</v>
      </c>
      <c r="BE127" t="s">
        <v>2837</v>
      </c>
      <c r="BF127" t="str">
        <f>HYPERLINK("http://dx.doi.org/10.1371/journal.pone.0249413","http://dx.doi.org/10.1371/journal.pone.0249413")</f>
        <v>http://dx.doi.org/10.1371/journal.pone.0249413</v>
      </c>
      <c r="BG127" t="s">
        <v>74</v>
      </c>
      <c r="BH127" t="s">
        <v>74</v>
      </c>
      <c r="BI127">
        <v>26</v>
      </c>
      <c r="BJ127" t="s">
        <v>555</v>
      </c>
      <c r="BK127" t="s">
        <v>101</v>
      </c>
      <c r="BL127" t="s">
        <v>556</v>
      </c>
      <c r="BM127" t="s">
        <v>2838</v>
      </c>
      <c r="BN127">
        <v>33852615</v>
      </c>
      <c r="BO127" t="s">
        <v>558</v>
      </c>
      <c r="BP127" t="s">
        <v>74</v>
      </c>
      <c r="BQ127" t="s">
        <v>74</v>
      </c>
      <c r="BR127" t="s">
        <v>104</v>
      </c>
      <c r="BS127" t="s">
        <v>2839</v>
      </c>
      <c r="BT127" t="str">
        <f>HYPERLINK("https%3A%2F%2Fwww.webofscience.com%2Fwos%2Fwoscc%2Ffull-record%2FWOS:000640604500036","View Full Record in Web of Science")</f>
        <v>View Full Record in Web of Science</v>
      </c>
    </row>
    <row r="128" spans="1:72" x14ac:dyDescent="0.15">
      <c r="A128" t="s">
        <v>72</v>
      </c>
      <c r="B128" t="s">
        <v>2840</v>
      </c>
      <c r="C128" t="s">
        <v>74</v>
      </c>
      <c r="D128" t="s">
        <v>74</v>
      </c>
      <c r="E128" t="s">
        <v>74</v>
      </c>
      <c r="F128" t="s">
        <v>2841</v>
      </c>
      <c r="G128" t="s">
        <v>74</v>
      </c>
      <c r="H128" t="s">
        <v>74</v>
      </c>
      <c r="I128" t="s">
        <v>2842</v>
      </c>
      <c r="J128" t="s">
        <v>2843</v>
      </c>
      <c r="K128" t="s">
        <v>74</v>
      </c>
      <c r="L128" t="s">
        <v>74</v>
      </c>
      <c r="M128" t="s">
        <v>78</v>
      </c>
      <c r="N128" t="s">
        <v>79</v>
      </c>
      <c r="O128" t="s">
        <v>74</v>
      </c>
      <c r="P128" t="s">
        <v>74</v>
      </c>
      <c r="Q128" t="s">
        <v>74</v>
      </c>
      <c r="R128" t="s">
        <v>74</v>
      </c>
      <c r="S128" t="s">
        <v>74</v>
      </c>
      <c r="T128" t="s">
        <v>2844</v>
      </c>
      <c r="U128" t="s">
        <v>2845</v>
      </c>
      <c r="V128" t="s">
        <v>2846</v>
      </c>
      <c r="W128" t="s">
        <v>2847</v>
      </c>
      <c r="X128" t="s">
        <v>2848</v>
      </c>
      <c r="Y128" t="s">
        <v>2849</v>
      </c>
      <c r="Z128" t="s">
        <v>2850</v>
      </c>
      <c r="AA128" t="s">
        <v>74</v>
      </c>
      <c r="AB128" t="s">
        <v>2851</v>
      </c>
      <c r="AC128" t="s">
        <v>2852</v>
      </c>
      <c r="AD128" t="s">
        <v>2853</v>
      </c>
      <c r="AE128" t="s">
        <v>2854</v>
      </c>
      <c r="AF128" t="s">
        <v>74</v>
      </c>
      <c r="AG128">
        <v>60</v>
      </c>
      <c r="AH128">
        <v>2</v>
      </c>
      <c r="AI128">
        <v>2</v>
      </c>
      <c r="AJ128">
        <v>1</v>
      </c>
      <c r="AK128">
        <v>8</v>
      </c>
      <c r="AL128" t="s">
        <v>1058</v>
      </c>
      <c r="AM128" t="s">
        <v>891</v>
      </c>
      <c r="AN128" t="s">
        <v>1059</v>
      </c>
      <c r="AO128" t="s">
        <v>2855</v>
      </c>
      <c r="AP128" t="s">
        <v>2856</v>
      </c>
      <c r="AQ128" t="s">
        <v>74</v>
      </c>
      <c r="AR128" t="s">
        <v>2857</v>
      </c>
      <c r="AS128" t="s">
        <v>2858</v>
      </c>
      <c r="AT128" t="s">
        <v>2859</v>
      </c>
      <c r="AU128">
        <v>2021</v>
      </c>
      <c r="AV128">
        <v>97</v>
      </c>
      <c r="AW128" t="s">
        <v>74</v>
      </c>
      <c r="AX128" t="s">
        <v>74</v>
      </c>
      <c r="AY128" t="s">
        <v>74</v>
      </c>
      <c r="AZ128" t="s">
        <v>74</v>
      </c>
      <c r="BA128" t="s">
        <v>74</v>
      </c>
      <c r="BB128" t="s">
        <v>74</v>
      </c>
      <c r="BC128" t="s">
        <v>74</v>
      </c>
      <c r="BD128">
        <v>102777</v>
      </c>
      <c r="BE128" t="s">
        <v>2860</v>
      </c>
      <c r="BF128" t="str">
        <f>HYPERLINK("http://dx.doi.org/10.1016/j.jtherbio.2020.102777","http://dx.doi.org/10.1016/j.jtherbio.2020.102777")</f>
        <v>http://dx.doi.org/10.1016/j.jtherbio.2020.102777</v>
      </c>
      <c r="BG128" t="s">
        <v>74</v>
      </c>
      <c r="BH128" t="s">
        <v>514</v>
      </c>
      <c r="BI128">
        <v>10</v>
      </c>
      <c r="BJ128" t="s">
        <v>2861</v>
      </c>
      <c r="BK128" t="s">
        <v>101</v>
      </c>
      <c r="BL128" t="s">
        <v>2862</v>
      </c>
      <c r="BM128" t="s">
        <v>2863</v>
      </c>
      <c r="BN128">
        <v>33863421</v>
      </c>
      <c r="BO128" t="s">
        <v>663</v>
      </c>
      <c r="BP128" t="s">
        <v>74</v>
      </c>
      <c r="BQ128" t="s">
        <v>74</v>
      </c>
      <c r="BR128" t="s">
        <v>104</v>
      </c>
      <c r="BS128" t="s">
        <v>2864</v>
      </c>
      <c r="BT128" t="str">
        <f>HYPERLINK("https%3A%2F%2Fwww.webofscience.com%2Fwos%2Fwoscc%2Ffull-record%2FWOS:000640909600001","View Full Record in Web of Science")</f>
        <v>View Full Record in Web of Science</v>
      </c>
    </row>
    <row r="129" spans="1:72" x14ac:dyDescent="0.15">
      <c r="A129" t="s">
        <v>72</v>
      </c>
      <c r="B129" t="s">
        <v>2865</v>
      </c>
      <c r="C129" t="s">
        <v>74</v>
      </c>
      <c r="D129" t="s">
        <v>74</v>
      </c>
      <c r="E129" t="s">
        <v>74</v>
      </c>
      <c r="F129" t="s">
        <v>2866</v>
      </c>
      <c r="G129" t="s">
        <v>74</v>
      </c>
      <c r="H129" t="s">
        <v>74</v>
      </c>
      <c r="I129" t="s">
        <v>2867</v>
      </c>
      <c r="J129" t="s">
        <v>2868</v>
      </c>
      <c r="K129" t="s">
        <v>74</v>
      </c>
      <c r="L129" t="s">
        <v>74</v>
      </c>
      <c r="M129" t="s">
        <v>78</v>
      </c>
      <c r="N129" t="s">
        <v>79</v>
      </c>
      <c r="O129" t="s">
        <v>74</v>
      </c>
      <c r="P129" t="s">
        <v>74</v>
      </c>
      <c r="Q129" t="s">
        <v>74</v>
      </c>
      <c r="R129" t="s">
        <v>74</v>
      </c>
      <c r="S129" t="s">
        <v>74</v>
      </c>
      <c r="T129" t="s">
        <v>2869</v>
      </c>
      <c r="U129" t="s">
        <v>2870</v>
      </c>
      <c r="V129" t="s">
        <v>2871</v>
      </c>
      <c r="W129" t="s">
        <v>2872</v>
      </c>
      <c r="X129" t="s">
        <v>2873</v>
      </c>
      <c r="Y129" t="s">
        <v>2874</v>
      </c>
      <c r="Z129" t="s">
        <v>2875</v>
      </c>
      <c r="AA129" t="s">
        <v>2876</v>
      </c>
      <c r="AB129" t="s">
        <v>2877</v>
      </c>
      <c r="AC129" t="s">
        <v>2878</v>
      </c>
      <c r="AD129" t="s">
        <v>2879</v>
      </c>
      <c r="AE129" t="s">
        <v>2880</v>
      </c>
      <c r="AF129" t="s">
        <v>74</v>
      </c>
      <c r="AG129">
        <v>88</v>
      </c>
      <c r="AH129">
        <v>11</v>
      </c>
      <c r="AI129">
        <v>11</v>
      </c>
      <c r="AJ129">
        <v>6</v>
      </c>
      <c r="AK129">
        <v>38</v>
      </c>
      <c r="AL129" t="s">
        <v>603</v>
      </c>
      <c r="AM129" t="s">
        <v>604</v>
      </c>
      <c r="AN129" t="s">
        <v>605</v>
      </c>
      <c r="AO129" t="s">
        <v>2881</v>
      </c>
      <c r="AP129" t="s">
        <v>74</v>
      </c>
      <c r="AQ129" t="s">
        <v>74</v>
      </c>
      <c r="AR129" t="s">
        <v>2882</v>
      </c>
      <c r="AS129" t="s">
        <v>2883</v>
      </c>
      <c r="AT129" t="s">
        <v>2835</v>
      </c>
      <c r="AU129">
        <v>2021</v>
      </c>
      <c r="AV129">
        <v>12</v>
      </c>
      <c r="AW129" t="s">
        <v>74</v>
      </c>
      <c r="AX129" t="s">
        <v>74</v>
      </c>
      <c r="AY129" t="s">
        <v>74</v>
      </c>
      <c r="AZ129" t="s">
        <v>74</v>
      </c>
      <c r="BA129" t="s">
        <v>74</v>
      </c>
      <c r="BB129" t="s">
        <v>74</v>
      </c>
      <c r="BC129" t="s">
        <v>74</v>
      </c>
      <c r="BD129">
        <v>617280</v>
      </c>
      <c r="BE129" t="s">
        <v>2884</v>
      </c>
      <c r="BF129" t="str">
        <f>HYPERLINK("http://dx.doi.org/10.3389/fmicb.2021.617280","http://dx.doi.org/10.3389/fmicb.2021.617280")</f>
        <v>http://dx.doi.org/10.3389/fmicb.2021.617280</v>
      </c>
      <c r="BG129" t="s">
        <v>74</v>
      </c>
      <c r="BH129" t="s">
        <v>74</v>
      </c>
      <c r="BI129">
        <v>15</v>
      </c>
      <c r="BJ129" t="s">
        <v>396</v>
      </c>
      <c r="BK129" t="s">
        <v>101</v>
      </c>
      <c r="BL129" t="s">
        <v>396</v>
      </c>
      <c r="BM129" t="s">
        <v>2885</v>
      </c>
      <c r="BN129">
        <v>33935987</v>
      </c>
      <c r="BO129" t="s">
        <v>558</v>
      </c>
      <c r="BP129" t="s">
        <v>74</v>
      </c>
      <c r="BQ129" t="s">
        <v>74</v>
      </c>
      <c r="BR129" t="s">
        <v>104</v>
      </c>
      <c r="BS129" t="s">
        <v>2886</v>
      </c>
      <c r="BT129" t="str">
        <f>HYPERLINK("https%3A%2F%2Fwww.webofscience.com%2Fwos%2Fwoscc%2Ffull-record%2FWOS:000644700800001","View Full Record in Web of Science")</f>
        <v>View Full Record in Web of Science</v>
      </c>
    </row>
    <row r="130" spans="1:72" x14ac:dyDescent="0.15">
      <c r="A130" t="s">
        <v>72</v>
      </c>
      <c r="B130" t="s">
        <v>2887</v>
      </c>
      <c r="C130" t="s">
        <v>74</v>
      </c>
      <c r="D130" t="s">
        <v>74</v>
      </c>
      <c r="E130" t="s">
        <v>74</v>
      </c>
      <c r="F130" t="s">
        <v>2888</v>
      </c>
      <c r="G130" t="s">
        <v>74</v>
      </c>
      <c r="H130" t="s">
        <v>74</v>
      </c>
      <c r="I130" t="s">
        <v>2889</v>
      </c>
      <c r="J130" t="s">
        <v>2890</v>
      </c>
      <c r="K130" t="s">
        <v>74</v>
      </c>
      <c r="L130" t="s">
        <v>74</v>
      </c>
      <c r="M130" t="s">
        <v>78</v>
      </c>
      <c r="N130" t="s">
        <v>79</v>
      </c>
      <c r="O130" t="s">
        <v>74</v>
      </c>
      <c r="P130" t="s">
        <v>74</v>
      </c>
      <c r="Q130" t="s">
        <v>74</v>
      </c>
      <c r="R130" t="s">
        <v>74</v>
      </c>
      <c r="S130" t="s">
        <v>74</v>
      </c>
      <c r="T130" t="s">
        <v>74</v>
      </c>
      <c r="U130" t="s">
        <v>2891</v>
      </c>
      <c r="V130" t="s">
        <v>2892</v>
      </c>
      <c r="W130" t="s">
        <v>2893</v>
      </c>
      <c r="X130" t="s">
        <v>2894</v>
      </c>
      <c r="Y130" t="s">
        <v>2895</v>
      </c>
      <c r="Z130" t="s">
        <v>2896</v>
      </c>
      <c r="AA130" t="s">
        <v>2897</v>
      </c>
      <c r="AB130" t="s">
        <v>2898</v>
      </c>
      <c r="AC130" t="s">
        <v>2899</v>
      </c>
      <c r="AD130" t="s">
        <v>2900</v>
      </c>
      <c r="AE130" t="s">
        <v>2901</v>
      </c>
      <c r="AF130" t="s">
        <v>74</v>
      </c>
      <c r="AG130">
        <v>84</v>
      </c>
      <c r="AH130">
        <v>10</v>
      </c>
      <c r="AI130">
        <v>10</v>
      </c>
      <c r="AJ130">
        <v>1</v>
      </c>
      <c r="AK130">
        <v>11</v>
      </c>
      <c r="AL130" t="s">
        <v>1269</v>
      </c>
      <c r="AM130" t="s">
        <v>1270</v>
      </c>
      <c r="AN130" t="s">
        <v>1271</v>
      </c>
      <c r="AO130" t="s">
        <v>2902</v>
      </c>
      <c r="AP130" t="s">
        <v>2903</v>
      </c>
      <c r="AQ130" t="s">
        <v>74</v>
      </c>
      <c r="AR130" t="s">
        <v>2904</v>
      </c>
      <c r="AS130" t="s">
        <v>2905</v>
      </c>
      <c r="AT130" t="s">
        <v>2835</v>
      </c>
      <c r="AU130">
        <v>2021</v>
      </c>
      <c r="AV130">
        <v>17</v>
      </c>
      <c r="AW130">
        <v>2</v>
      </c>
      <c r="AX130" t="s">
        <v>74</v>
      </c>
      <c r="AY130" t="s">
        <v>74</v>
      </c>
      <c r="AZ130" t="s">
        <v>74</v>
      </c>
      <c r="BA130" t="s">
        <v>74</v>
      </c>
      <c r="BB130">
        <v>843</v>
      </c>
      <c r="BC130">
        <v>867</v>
      </c>
      <c r="BD130" t="s">
        <v>74</v>
      </c>
      <c r="BE130" t="s">
        <v>2906</v>
      </c>
      <c r="BF130" t="str">
        <f>HYPERLINK("http://dx.doi.org/10.5194/cp-17-843-2021","http://dx.doi.org/10.5194/cp-17-843-2021")</f>
        <v>http://dx.doi.org/10.5194/cp-17-843-2021</v>
      </c>
      <c r="BG130" t="s">
        <v>74</v>
      </c>
      <c r="BH130" t="s">
        <v>74</v>
      </c>
      <c r="BI130">
        <v>25</v>
      </c>
      <c r="BJ130" t="s">
        <v>2907</v>
      </c>
      <c r="BK130" t="s">
        <v>101</v>
      </c>
      <c r="BL130" t="s">
        <v>2908</v>
      </c>
      <c r="BM130" t="s">
        <v>2909</v>
      </c>
      <c r="BN130" t="s">
        <v>74</v>
      </c>
      <c r="BO130" t="s">
        <v>1121</v>
      </c>
      <c r="BP130" t="s">
        <v>74</v>
      </c>
      <c r="BQ130" t="s">
        <v>74</v>
      </c>
      <c r="BR130" t="s">
        <v>104</v>
      </c>
      <c r="BS130" t="s">
        <v>2910</v>
      </c>
      <c r="BT130" t="str">
        <f>HYPERLINK("https%3A%2F%2Fwww.webofscience.com%2Fwos%2Fwoscc%2Ffull-record%2FWOS:000640569700001","View Full Record in Web of Science")</f>
        <v>View Full Record in Web of Science</v>
      </c>
    </row>
    <row r="131" spans="1:72" x14ac:dyDescent="0.15">
      <c r="A131" t="s">
        <v>72</v>
      </c>
      <c r="B131" t="s">
        <v>2911</v>
      </c>
      <c r="C131" t="s">
        <v>74</v>
      </c>
      <c r="D131" t="s">
        <v>74</v>
      </c>
      <c r="E131" t="s">
        <v>74</v>
      </c>
      <c r="F131" t="s">
        <v>2912</v>
      </c>
      <c r="G131" t="s">
        <v>74</v>
      </c>
      <c r="H131" t="s">
        <v>74</v>
      </c>
      <c r="I131" t="s">
        <v>2913</v>
      </c>
      <c r="J131" t="s">
        <v>2914</v>
      </c>
      <c r="K131" t="s">
        <v>74</v>
      </c>
      <c r="L131" t="s">
        <v>74</v>
      </c>
      <c r="M131" t="s">
        <v>78</v>
      </c>
      <c r="N131" t="s">
        <v>79</v>
      </c>
      <c r="O131" t="s">
        <v>74</v>
      </c>
      <c r="P131" t="s">
        <v>74</v>
      </c>
      <c r="Q131" t="s">
        <v>74</v>
      </c>
      <c r="R131" t="s">
        <v>74</v>
      </c>
      <c r="S131" t="s">
        <v>74</v>
      </c>
      <c r="T131" t="s">
        <v>74</v>
      </c>
      <c r="U131" t="s">
        <v>74</v>
      </c>
      <c r="V131" t="s">
        <v>2915</v>
      </c>
      <c r="W131" t="s">
        <v>2916</v>
      </c>
      <c r="X131" t="s">
        <v>2917</v>
      </c>
      <c r="Y131" t="s">
        <v>2918</v>
      </c>
      <c r="Z131" t="s">
        <v>2919</v>
      </c>
      <c r="AA131" t="s">
        <v>2920</v>
      </c>
      <c r="AB131" t="s">
        <v>2921</v>
      </c>
      <c r="AC131" t="s">
        <v>74</v>
      </c>
      <c r="AD131" t="s">
        <v>74</v>
      </c>
      <c r="AE131" t="s">
        <v>74</v>
      </c>
      <c r="AF131" t="s">
        <v>74</v>
      </c>
      <c r="AG131">
        <v>14</v>
      </c>
      <c r="AH131">
        <v>0</v>
      </c>
      <c r="AI131">
        <v>0</v>
      </c>
      <c r="AJ131">
        <v>0</v>
      </c>
      <c r="AK131">
        <v>2</v>
      </c>
      <c r="AL131" t="s">
        <v>2922</v>
      </c>
      <c r="AM131" t="s">
        <v>2923</v>
      </c>
      <c r="AN131" t="s">
        <v>2924</v>
      </c>
      <c r="AO131" t="s">
        <v>2925</v>
      </c>
      <c r="AP131" t="s">
        <v>2926</v>
      </c>
      <c r="AQ131" t="s">
        <v>74</v>
      </c>
      <c r="AR131" t="s">
        <v>2914</v>
      </c>
      <c r="AS131" t="s">
        <v>2927</v>
      </c>
      <c r="AT131" t="s">
        <v>2928</v>
      </c>
      <c r="AU131">
        <v>2020</v>
      </c>
      <c r="AV131">
        <v>67</v>
      </c>
      <c r="AW131">
        <v>4</v>
      </c>
      <c r="AX131" t="s">
        <v>74</v>
      </c>
      <c r="AY131" t="s">
        <v>74</v>
      </c>
      <c r="AZ131" t="s">
        <v>74</v>
      </c>
      <c r="BA131" t="s">
        <v>74</v>
      </c>
      <c r="BB131">
        <v>536</v>
      </c>
      <c r="BC131">
        <v>539</v>
      </c>
      <c r="BD131" t="s">
        <v>74</v>
      </c>
      <c r="BE131" t="s">
        <v>2929</v>
      </c>
      <c r="BF131" t="str">
        <f>HYPERLINK("http://dx.doi.org/10.1080/00063657.2021.1902466","http://dx.doi.org/10.1080/00063657.2021.1902466")</f>
        <v>http://dx.doi.org/10.1080/00063657.2021.1902466</v>
      </c>
      <c r="BG131" t="s">
        <v>74</v>
      </c>
      <c r="BH131" t="s">
        <v>514</v>
      </c>
      <c r="BI131">
        <v>4</v>
      </c>
      <c r="BJ131" t="s">
        <v>2930</v>
      </c>
      <c r="BK131" t="s">
        <v>101</v>
      </c>
      <c r="BL131" t="s">
        <v>1229</v>
      </c>
      <c r="BM131" t="s">
        <v>2931</v>
      </c>
      <c r="BN131" t="s">
        <v>74</v>
      </c>
      <c r="BO131" t="s">
        <v>74</v>
      </c>
      <c r="BP131" t="s">
        <v>74</v>
      </c>
      <c r="BQ131" t="s">
        <v>74</v>
      </c>
      <c r="BR131" t="s">
        <v>104</v>
      </c>
      <c r="BS131" t="s">
        <v>2932</v>
      </c>
      <c r="BT131" t="str">
        <f>HYPERLINK("https%3A%2F%2Fwww.webofscience.com%2Fwos%2Fwoscc%2Ffull-record%2FWOS:000639785500001","View Full Record in Web of Science")</f>
        <v>View Full Record in Web of Science</v>
      </c>
    </row>
    <row r="132" spans="1:72" x14ac:dyDescent="0.15">
      <c r="A132" t="s">
        <v>72</v>
      </c>
      <c r="B132" t="s">
        <v>2933</v>
      </c>
      <c r="C132" t="s">
        <v>74</v>
      </c>
      <c r="D132" t="s">
        <v>74</v>
      </c>
      <c r="E132" t="s">
        <v>74</v>
      </c>
      <c r="F132" t="s">
        <v>2934</v>
      </c>
      <c r="G132" t="s">
        <v>74</v>
      </c>
      <c r="H132" t="s">
        <v>74</v>
      </c>
      <c r="I132" t="s">
        <v>2935</v>
      </c>
      <c r="J132" t="s">
        <v>2936</v>
      </c>
      <c r="K132" t="s">
        <v>74</v>
      </c>
      <c r="L132" t="s">
        <v>74</v>
      </c>
      <c r="M132" t="s">
        <v>78</v>
      </c>
      <c r="N132" t="s">
        <v>2937</v>
      </c>
      <c r="O132" t="s">
        <v>2938</v>
      </c>
      <c r="P132" t="s">
        <v>2939</v>
      </c>
      <c r="Q132" t="s">
        <v>2940</v>
      </c>
      <c r="R132" t="s">
        <v>74</v>
      </c>
      <c r="S132" t="s">
        <v>74</v>
      </c>
      <c r="T132" t="s">
        <v>2941</v>
      </c>
      <c r="U132" t="s">
        <v>2942</v>
      </c>
      <c r="V132" t="s">
        <v>2943</v>
      </c>
      <c r="W132" t="s">
        <v>2944</v>
      </c>
      <c r="X132" t="s">
        <v>2945</v>
      </c>
      <c r="Y132" t="s">
        <v>2946</v>
      </c>
      <c r="Z132" t="s">
        <v>2947</v>
      </c>
      <c r="AA132" t="s">
        <v>2948</v>
      </c>
      <c r="AB132" t="s">
        <v>2949</v>
      </c>
      <c r="AC132" t="s">
        <v>2950</v>
      </c>
      <c r="AD132" t="s">
        <v>2951</v>
      </c>
      <c r="AE132" t="s">
        <v>2952</v>
      </c>
      <c r="AF132" t="s">
        <v>74</v>
      </c>
      <c r="AG132">
        <v>31</v>
      </c>
      <c r="AH132">
        <v>9</v>
      </c>
      <c r="AI132">
        <v>9</v>
      </c>
      <c r="AJ132">
        <v>5</v>
      </c>
      <c r="AK132">
        <v>42</v>
      </c>
      <c r="AL132" t="s">
        <v>1058</v>
      </c>
      <c r="AM132" t="s">
        <v>891</v>
      </c>
      <c r="AN132" t="s">
        <v>1059</v>
      </c>
      <c r="AO132" t="s">
        <v>2953</v>
      </c>
      <c r="AP132" t="s">
        <v>2954</v>
      </c>
      <c r="AQ132" t="s">
        <v>74</v>
      </c>
      <c r="AR132" t="s">
        <v>2955</v>
      </c>
      <c r="AS132" t="s">
        <v>2956</v>
      </c>
      <c r="AT132" t="s">
        <v>707</v>
      </c>
      <c r="AU132">
        <v>2021</v>
      </c>
      <c r="AV132">
        <v>180</v>
      </c>
      <c r="AW132" t="s">
        <v>74</v>
      </c>
      <c r="AX132" t="s">
        <v>74</v>
      </c>
      <c r="AY132" t="s">
        <v>74</v>
      </c>
      <c r="AZ132" t="s">
        <v>74</v>
      </c>
      <c r="BA132" t="s">
        <v>74</v>
      </c>
      <c r="BB132" t="s">
        <v>74</v>
      </c>
      <c r="BC132" t="s">
        <v>74</v>
      </c>
      <c r="BD132">
        <v>106191</v>
      </c>
      <c r="BE132" t="s">
        <v>2957</v>
      </c>
      <c r="BF132" t="str">
        <f>HYPERLINK("http://dx.doi.org/10.1016/j.sab.2021.106191","http://dx.doi.org/10.1016/j.sab.2021.106191")</f>
        <v>http://dx.doi.org/10.1016/j.sab.2021.106191</v>
      </c>
      <c r="BG132" t="s">
        <v>74</v>
      </c>
      <c r="BH132" t="s">
        <v>514</v>
      </c>
      <c r="BI132">
        <v>7</v>
      </c>
      <c r="BJ132" t="s">
        <v>2958</v>
      </c>
      <c r="BK132" t="s">
        <v>2959</v>
      </c>
      <c r="BL132" t="s">
        <v>2958</v>
      </c>
      <c r="BM132" t="s">
        <v>2960</v>
      </c>
      <c r="BN132" t="s">
        <v>74</v>
      </c>
      <c r="BO132" t="s">
        <v>1095</v>
      </c>
      <c r="BP132" t="s">
        <v>74</v>
      </c>
      <c r="BQ132" t="s">
        <v>74</v>
      </c>
      <c r="BR132" t="s">
        <v>104</v>
      </c>
      <c r="BS132" t="s">
        <v>2961</v>
      </c>
      <c r="BT132" t="str">
        <f>HYPERLINK("https%3A%2F%2Fwww.webofscience.com%2Fwos%2Fwoscc%2Ffull-record%2FWOS:000663449000002","View Full Record in Web of Science")</f>
        <v>View Full Record in Web of Science</v>
      </c>
    </row>
    <row r="133" spans="1:72" x14ac:dyDescent="0.15">
      <c r="A133" t="s">
        <v>72</v>
      </c>
      <c r="B133" t="s">
        <v>2962</v>
      </c>
      <c r="C133" t="s">
        <v>74</v>
      </c>
      <c r="D133" t="s">
        <v>74</v>
      </c>
      <c r="E133" t="s">
        <v>74</v>
      </c>
      <c r="F133" t="s">
        <v>2963</v>
      </c>
      <c r="G133" t="s">
        <v>74</v>
      </c>
      <c r="H133" t="s">
        <v>74</v>
      </c>
      <c r="I133" t="s">
        <v>2964</v>
      </c>
      <c r="J133" t="s">
        <v>2965</v>
      </c>
      <c r="K133" t="s">
        <v>74</v>
      </c>
      <c r="L133" t="s">
        <v>74</v>
      </c>
      <c r="M133" t="s">
        <v>78</v>
      </c>
      <c r="N133" t="s">
        <v>79</v>
      </c>
      <c r="O133" t="s">
        <v>74</v>
      </c>
      <c r="P133" t="s">
        <v>74</v>
      </c>
      <c r="Q133" t="s">
        <v>74</v>
      </c>
      <c r="R133" t="s">
        <v>74</v>
      </c>
      <c r="S133" t="s">
        <v>74</v>
      </c>
      <c r="T133" t="s">
        <v>2966</v>
      </c>
      <c r="U133" t="s">
        <v>2967</v>
      </c>
      <c r="V133" t="s">
        <v>2968</v>
      </c>
      <c r="W133" t="s">
        <v>2969</v>
      </c>
      <c r="X133" t="s">
        <v>2970</v>
      </c>
      <c r="Y133" t="s">
        <v>2971</v>
      </c>
      <c r="Z133" t="s">
        <v>2972</v>
      </c>
      <c r="AA133" t="s">
        <v>2973</v>
      </c>
      <c r="AB133" t="s">
        <v>2974</v>
      </c>
      <c r="AC133" t="s">
        <v>2975</v>
      </c>
      <c r="AD133" t="s">
        <v>2976</v>
      </c>
      <c r="AE133" t="s">
        <v>2977</v>
      </c>
      <c r="AF133" t="s">
        <v>74</v>
      </c>
      <c r="AG133">
        <v>57</v>
      </c>
      <c r="AH133">
        <v>12</v>
      </c>
      <c r="AI133">
        <v>12</v>
      </c>
      <c r="AJ133">
        <v>0</v>
      </c>
      <c r="AK133">
        <v>4</v>
      </c>
      <c r="AL133" t="s">
        <v>1058</v>
      </c>
      <c r="AM133" t="s">
        <v>891</v>
      </c>
      <c r="AN133" t="s">
        <v>1059</v>
      </c>
      <c r="AO133" t="s">
        <v>2978</v>
      </c>
      <c r="AP133" t="s">
        <v>2979</v>
      </c>
      <c r="AQ133" t="s">
        <v>74</v>
      </c>
      <c r="AR133" t="s">
        <v>2980</v>
      </c>
      <c r="AS133" t="s">
        <v>2981</v>
      </c>
      <c r="AT133" t="s">
        <v>707</v>
      </c>
      <c r="AU133">
        <v>2021</v>
      </c>
      <c r="AV133">
        <v>172</v>
      </c>
      <c r="AW133" t="s">
        <v>74</v>
      </c>
      <c r="AX133" t="s">
        <v>74</v>
      </c>
      <c r="AY133" t="s">
        <v>74</v>
      </c>
      <c r="AZ133" t="s">
        <v>74</v>
      </c>
      <c r="BA133" t="s">
        <v>74</v>
      </c>
      <c r="BB133" t="s">
        <v>74</v>
      </c>
      <c r="BC133" t="s">
        <v>74</v>
      </c>
      <c r="BD133">
        <v>103513</v>
      </c>
      <c r="BE133" t="s">
        <v>2982</v>
      </c>
      <c r="BF133" t="str">
        <f>HYPERLINK("http://dx.doi.org/10.1016/j.dsr.2021.103513","http://dx.doi.org/10.1016/j.dsr.2021.103513")</f>
        <v>http://dx.doi.org/10.1016/j.dsr.2021.103513</v>
      </c>
      <c r="BG133" t="s">
        <v>74</v>
      </c>
      <c r="BH133" t="s">
        <v>514</v>
      </c>
      <c r="BI133">
        <v>13</v>
      </c>
      <c r="BJ133" t="s">
        <v>369</v>
      </c>
      <c r="BK133" t="s">
        <v>101</v>
      </c>
      <c r="BL133" t="s">
        <v>369</v>
      </c>
      <c r="BM133" t="s">
        <v>2983</v>
      </c>
      <c r="BN133" t="s">
        <v>74</v>
      </c>
      <c r="BO133" t="s">
        <v>1095</v>
      </c>
      <c r="BP133" t="s">
        <v>74</v>
      </c>
      <c r="BQ133" t="s">
        <v>74</v>
      </c>
      <c r="BR133" t="s">
        <v>104</v>
      </c>
      <c r="BS133" t="s">
        <v>2984</v>
      </c>
      <c r="BT133" t="str">
        <f>HYPERLINK("https%3A%2F%2Fwww.webofscience.com%2Fwos%2Fwoscc%2Ffull-record%2FWOS:000657568300001","View Full Record in Web of Science")</f>
        <v>View Full Record in Web of Science</v>
      </c>
    </row>
    <row r="134" spans="1:72" x14ac:dyDescent="0.15">
      <c r="A134" t="s">
        <v>72</v>
      </c>
      <c r="B134" t="s">
        <v>2985</v>
      </c>
      <c r="C134" t="s">
        <v>74</v>
      </c>
      <c r="D134" t="s">
        <v>74</v>
      </c>
      <c r="E134" t="s">
        <v>74</v>
      </c>
      <c r="F134" t="s">
        <v>2986</v>
      </c>
      <c r="G134" t="s">
        <v>74</v>
      </c>
      <c r="H134" t="s">
        <v>74</v>
      </c>
      <c r="I134" t="s">
        <v>2987</v>
      </c>
      <c r="J134" t="s">
        <v>2988</v>
      </c>
      <c r="K134" t="s">
        <v>74</v>
      </c>
      <c r="L134" t="s">
        <v>74</v>
      </c>
      <c r="M134" t="s">
        <v>78</v>
      </c>
      <c r="N134" t="s">
        <v>79</v>
      </c>
      <c r="O134" t="s">
        <v>74</v>
      </c>
      <c r="P134" t="s">
        <v>74</v>
      </c>
      <c r="Q134" t="s">
        <v>74</v>
      </c>
      <c r="R134" t="s">
        <v>74</v>
      </c>
      <c r="S134" t="s">
        <v>74</v>
      </c>
      <c r="T134" t="s">
        <v>74</v>
      </c>
      <c r="U134" t="s">
        <v>2989</v>
      </c>
      <c r="V134" t="s">
        <v>2990</v>
      </c>
      <c r="W134" t="s">
        <v>2991</v>
      </c>
      <c r="X134" t="s">
        <v>2992</v>
      </c>
      <c r="Y134" t="s">
        <v>2993</v>
      </c>
      <c r="Z134" t="s">
        <v>2994</v>
      </c>
      <c r="AA134" t="s">
        <v>2995</v>
      </c>
      <c r="AB134" t="s">
        <v>2996</v>
      </c>
      <c r="AC134" t="s">
        <v>2997</v>
      </c>
      <c r="AD134" t="s">
        <v>2998</v>
      </c>
      <c r="AE134" t="s">
        <v>2999</v>
      </c>
      <c r="AF134" t="s">
        <v>74</v>
      </c>
      <c r="AG134">
        <v>33</v>
      </c>
      <c r="AH134">
        <v>0</v>
      </c>
      <c r="AI134">
        <v>0</v>
      </c>
      <c r="AJ134">
        <v>0</v>
      </c>
      <c r="AK134">
        <v>2</v>
      </c>
      <c r="AL134" t="s">
        <v>3000</v>
      </c>
      <c r="AM134" t="s">
        <v>167</v>
      </c>
      <c r="AN134" t="s">
        <v>3001</v>
      </c>
      <c r="AO134" t="s">
        <v>3002</v>
      </c>
      <c r="AP134" t="s">
        <v>3003</v>
      </c>
      <c r="AQ134" t="s">
        <v>74</v>
      </c>
      <c r="AR134" t="s">
        <v>2988</v>
      </c>
      <c r="AS134" t="s">
        <v>3004</v>
      </c>
      <c r="AT134" t="s">
        <v>1035</v>
      </c>
      <c r="AU134">
        <v>2021</v>
      </c>
      <c r="AV134">
        <v>171</v>
      </c>
      <c r="AW134" t="s">
        <v>74</v>
      </c>
      <c r="AX134" t="s">
        <v>74</v>
      </c>
      <c r="AY134" t="s">
        <v>74</v>
      </c>
      <c r="AZ134" t="s">
        <v>74</v>
      </c>
      <c r="BA134" t="s">
        <v>74</v>
      </c>
      <c r="BB134" t="s">
        <v>74</v>
      </c>
      <c r="BC134" t="s">
        <v>74</v>
      </c>
      <c r="BD134">
        <v>108832</v>
      </c>
      <c r="BE134" t="s">
        <v>3005</v>
      </c>
      <c r="BF134" t="str">
        <f>HYPERLINK("http://dx.doi.org/10.1016/j.steroids.2021.108832","http://dx.doi.org/10.1016/j.steroids.2021.108832")</f>
        <v>http://dx.doi.org/10.1016/j.steroids.2021.108832</v>
      </c>
      <c r="BG134" t="s">
        <v>74</v>
      </c>
      <c r="BH134" t="s">
        <v>514</v>
      </c>
      <c r="BI134">
        <v>9</v>
      </c>
      <c r="BJ134" t="s">
        <v>3006</v>
      </c>
      <c r="BK134" t="s">
        <v>3007</v>
      </c>
      <c r="BL134" t="s">
        <v>3006</v>
      </c>
      <c r="BM134" t="s">
        <v>3008</v>
      </c>
      <c r="BN134">
        <v>33831403</v>
      </c>
      <c r="BO134" t="s">
        <v>74</v>
      </c>
      <c r="BP134" t="s">
        <v>74</v>
      </c>
      <c r="BQ134" t="s">
        <v>74</v>
      </c>
      <c r="BR134" t="s">
        <v>104</v>
      </c>
      <c r="BS134" t="s">
        <v>3009</v>
      </c>
      <c r="BT134" t="str">
        <f>HYPERLINK("https%3A%2F%2Fwww.webofscience.com%2Fwos%2Fwoscc%2Ffull-record%2FWOS:000656463500003","View Full Record in Web of Science")</f>
        <v>View Full Record in Web of Science</v>
      </c>
    </row>
    <row r="135" spans="1:72" x14ac:dyDescent="0.15">
      <c r="A135" t="s">
        <v>72</v>
      </c>
      <c r="B135" t="s">
        <v>3010</v>
      </c>
      <c r="C135" t="s">
        <v>74</v>
      </c>
      <c r="D135" t="s">
        <v>74</v>
      </c>
      <c r="E135" t="s">
        <v>74</v>
      </c>
      <c r="F135" t="s">
        <v>3011</v>
      </c>
      <c r="G135" t="s">
        <v>74</v>
      </c>
      <c r="H135" t="s">
        <v>74</v>
      </c>
      <c r="I135" t="s">
        <v>3012</v>
      </c>
      <c r="J135" t="s">
        <v>1666</v>
      </c>
      <c r="K135" t="s">
        <v>74</v>
      </c>
      <c r="L135" t="s">
        <v>74</v>
      </c>
      <c r="M135" t="s">
        <v>78</v>
      </c>
      <c r="N135" t="s">
        <v>79</v>
      </c>
      <c r="O135" t="s">
        <v>74</v>
      </c>
      <c r="P135" t="s">
        <v>74</v>
      </c>
      <c r="Q135" t="s">
        <v>74</v>
      </c>
      <c r="R135" t="s">
        <v>74</v>
      </c>
      <c r="S135" t="s">
        <v>74</v>
      </c>
      <c r="T135" t="s">
        <v>3013</v>
      </c>
      <c r="U135" t="s">
        <v>3014</v>
      </c>
      <c r="V135" t="s">
        <v>3015</v>
      </c>
      <c r="W135" t="s">
        <v>3016</v>
      </c>
      <c r="X135" t="s">
        <v>3017</v>
      </c>
      <c r="Y135" t="s">
        <v>3018</v>
      </c>
      <c r="Z135" t="s">
        <v>3019</v>
      </c>
      <c r="AA135" t="s">
        <v>3020</v>
      </c>
      <c r="AB135" t="s">
        <v>3021</v>
      </c>
      <c r="AC135" t="s">
        <v>3022</v>
      </c>
      <c r="AD135" t="s">
        <v>3023</v>
      </c>
      <c r="AE135" t="s">
        <v>3024</v>
      </c>
      <c r="AF135" t="s">
        <v>74</v>
      </c>
      <c r="AG135">
        <v>90</v>
      </c>
      <c r="AH135">
        <v>12</v>
      </c>
      <c r="AI135">
        <v>13</v>
      </c>
      <c r="AJ135">
        <v>2</v>
      </c>
      <c r="AK135">
        <v>14</v>
      </c>
      <c r="AL135" t="s">
        <v>1058</v>
      </c>
      <c r="AM135" t="s">
        <v>891</v>
      </c>
      <c r="AN135" t="s">
        <v>1059</v>
      </c>
      <c r="AO135" t="s">
        <v>1679</v>
      </c>
      <c r="AP135" t="s">
        <v>1680</v>
      </c>
      <c r="AQ135" t="s">
        <v>74</v>
      </c>
      <c r="AR135" t="s">
        <v>1681</v>
      </c>
      <c r="AS135" t="s">
        <v>1682</v>
      </c>
      <c r="AT135" t="s">
        <v>2208</v>
      </c>
      <c r="AU135">
        <v>2021</v>
      </c>
      <c r="AV135">
        <v>260</v>
      </c>
      <c r="AW135" t="s">
        <v>74</v>
      </c>
      <c r="AX135" t="s">
        <v>74</v>
      </c>
      <c r="AY135" t="s">
        <v>74</v>
      </c>
      <c r="AZ135" t="s">
        <v>74</v>
      </c>
      <c r="BA135" t="s">
        <v>74</v>
      </c>
      <c r="BB135" t="s">
        <v>74</v>
      </c>
      <c r="BC135" t="s">
        <v>74</v>
      </c>
      <c r="BD135">
        <v>106915</v>
      </c>
      <c r="BE135" t="s">
        <v>3025</v>
      </c>
      <c r="BF135" t="str">
        <f>HYPERLINK("http://dx.doi.org/10.1016/j.quascirev.2021.106915","http://dx.doi.org/10.1016/j.quascirev.2021.106915")</f>
        <v>http://dx.doi.org/10.1016/j.quascirev.2021.106915</v>
      </c>
      <c r="BG135" t="s">
        <v>74</v>
      </c>
      <c r="BH135" t="s">
        <v>514</v>
      </c>
      <c r="BI135">
        <v>15</v>
      </c>
      <c r="BJ135" t="s">
        <v>1685</v>
      </c>
      <c r="BK135" t="s">
        <v>101</v>
      </c>
      <c r="BL135" t="s">
        <v>1686</v>
      </c>
      <c r="BM135" t="s">
        <v>3026</v>
      </c>
      <c r="BN135" t="s">
        <v>74</v>
      </c>
      <c r="BO135" t="s">
        <v>74</v>
      </c>
      <c r="BP135" t="s">
        <v>74</v>
      </c>
      <c r="BQ135" t="s">
        <v>74</v>
      </c>
      <c r="BR135" t="s">
        <v>104</v>
      </c>
      <c r="BS135" t="s">
        <v>3027</v>
      </c>
      <c r="BT135" t="str">
        <f>HYPERLINK("https%3A%2F%2Fwww.webofscience.com%2Fwos%2Fwoscc%2Ffull-record%2FWOS:000646519000004","View Full Record in Web of Science")</f>
        <v>View Full Record in Web of Science</v>
      </c>
    </row>
    <row r="136" spans="1:72" x14ac:dyDescent="0.15">
      <c r="A136" t="s">
        <v>72</v>
      </c>
      <c r="B136" t="s">
        <v>3028</v>
      </c>
      <c r="C136" t="s">
        <v>74</v>
      </c>
      <c r="D136" t="s">
        <v>74</v>
      </c>
      <c r="E136" t="s">
        <v>74</v>
      </c>
      <c r="F136" t="s">
        <v>3029</v>
      </c>
      <c r="G136" t="s">
        <v>74</v>
      </c>
      <c r="H136" t="s">
        <v>74</v>
      </c>
      <c r="I136" t="s">
        <v>3030</v>
      </c>
      <c r="J136" t="s">
        <v>3031</v>
      </c>
      <c r="K136" t="s">
        <v>74</v>
      </c>
      <c r="L136" t="s">
        <v>74</v>
      </c>
      <c r="M136" t="s">
        <v>78</v>
      </c>
      <c r="N136" t="s">
        <v>79</v>
      </c>
      <c r="O136" t="s">
        <v>74</v>
      </c>
      <c r="P136" t="s">
        <v>74</v>
      </c>
      <c r="Q136" t="s">
        <v>74</v>
      </c>
      <c r="R136" t="s">
        <v>74</v>
      </c>
      <c r="S136" t="s">
        <v>74</v>
      </c>
      <c r="T136" t="s">
        <v>3032</v>
      </c>
      <c r="U136" t="s">
        <v>3033</v>
      </c>
      <c r="V136" t="s">
        <v>3034</v>
      </c>
      <c r="W136" t="s">
        <v>3035</v>
      </c>
      <c r="X136" t="s">
        <v>3036</v>
      </c>
      <c r="Y136" t="s">
        <v>3037</v>
      </c>
      <c r="Z136" t="s">
        <v>3038</v>
      </c>
      <c r="AA136" t="s">
        <v>3039</v>
      </c>
      <c r="AB136" t="s">
        <v>3040</v>
      </c>
      <c r="AC136" t="s">
        <v>3041</v>
      </c>
      <c r="AD136" t="s">
        <v>3042</v>
      </c>
      <c r="AE136" t="s">
        <v>3043</v>
      </c>
      <c r="AF136" t="s">
        <v>74</v>
      </c>
      <c r="AG136">
        <v>52</v>
      </c>
      <c r="AH136">
        <v>10</v>
      </c>
      <c r="AI136">
        <v>13</v>
      </c>
      <c r="AJ136">
        <v>0</v>
      </c>
      <c r="AK136">
        <v>3</v>
      </c>
      <c r="AL136" t="s">
        <v>576</v>
      </c>
      <c r="AM136" t="s">
        <v>577</v>
      </c>
      <c r="AN136" t="s">
        <v>578</v>
      </c>
      <c r="AO136" t="s">
        <v>3044</v>
      </c>
      <c r="AP136" t="s">
        <v>3045</v>
      </c>
      <c r="AQ136" t="s">
        <v>74</v>
      </c>
      <c r="AR136" t="s">
        <v>3046</v>
      </c>
      <c r="AS136" t="s">
        <v>3047</v>
      </c>
      <c r="AT136" t="s">
        <v>1035</v>
      </c>
      <c r="AU136">
        <v>2021</v>
      </c>
      <c r="AV136">
        <v>130</v>
      </c>
      <c r="AW136" t="s">
        <v>74</v>
      </c>
      <c r="AX136" t="s">
        <v>74</v>
      </c>
      <c r="AY136" t="s">
        <v>74</v>
      </c>
      <c r="AZ136" t="s">
        <v>74</v>
      </c>
      <c r="BA136" t="s">
        <v>74</v>
      </c>
      <c r="BB136" t="s">
        <v>74</v>
      </c>
      <c r="BC136" t="s">
        <v>74</v>
      </c>
      <c r="BD136">
        <v>102580</v>
      </c>
      <c r="BE136" t="s">
        <v>3048</v>
      </c>
      <c r="BF136" t="str">
        <f>HYPERLINK("http://dx.doi.org/10.1016/j.astropartphys.2021.102580","http://dx.doi.org/10.1016/j.astropartphys.2021.102580")</f>
        <v>http://dx.doi.org/10.1016/j.astropartphys.2021.102580</v>
      </c>
      <c r="BG136" t="s">
        <v>74</v>
      </c>
      <c r="BH136" t="s">
        <v>514</v>
      </c>
      <c r="BI136">
        <v>7</v>
      </c>
      <c r="BJ136" t="s">
        <v>3049</v>
      </c>
      <c r="BK136" t="s">
        <v>101</v>
      </c>
      <c r="BL136" t="s">
        <v>3050</v>
      </c>
      <c r="BM136" t="s">
        <v>3051</v>
      </c>
      <c r="BN136" t="s">
        <v>74</v>
      </c>
      <c r="BO136" t="s">
        <v>3052</v>
      </c>
      <c r="BP136" t="s">
        <v>74</v>
      </c>
      <c r="BQ136" t="s">
        <v>74</v>
      </c>
      <c r="BR136" t="s">
        <v>104</v>
      </c>
      <c r="BS136" t="s">
        <v>3053</v>
      </c>
      <c r="BT136" t="str">
        <f>HYPERLINK("https%3A%2F%2Fwww.webofscience.com%2Fwos%2Fwoscc%2Ffull-record%2FWOS:000645622800005","View Full Record in Web of Science")</f>
        <v>View Full Record in Web of Science</v>
      </c>
    </row>
    <row r="137" spans="1:72" x14ac:dyDescent="0.15">
      <c r="A137" t="s">
        <v>72</v>
      </c>
      <c r="B137" t="s">
        <v>3054</v>
      </c>
      <c r="C137" t="s">
        <v>74</v>
      </c>
      <c r="D137" t="s">
        <v>74</v>
      </c>
      <c r="E137" t="s">
        <v>74</v>
      </c>
      <c r="F137" t="s">
        <v>3055</v>
      </c>
      <c r="G137" t="s">
        <v>74</v>
      </c>
      <c r="H137" t="s">
        <v>74</v>
      </c>
      <c r="I137" t="s">
        <v>3056</v>
      </c>
      <c r="J137" t="s">
        <v>3057</v>
      </c>
      <c r="K137" t="s">
        <v>74</v>
      </c>
      <c r="L137" t="s">
        <v>74</v>
      </c>
      <c r="M137" t="s">
        <v>78</v>
      </c>
      <c r="N137" t="s">
        <v>3058</v>
      </c>
      <c r="O137" t="s">
        <v>74</v>
      </c>
      <c r="P137" t="s">
        <v>74</v>
      </c>
      <c r="Q137" t="s">
        <v>74</v>
      </c>
      <c r="R137" t="s">
        <v>74</v>
      </c>
      <c r="S137" t="s">
        <v>74</v>
      </c>
      <c r="T137" t="s">
        <v>74</v>
      </c>
      <c r="U137" t="s">
        <v>74</v>
      </c>
      <c r="V137" t="s">
        <v>3059</v>
      </c>
      <c r="W137" t="s">
        <v>3060</v>
      </c>
      <c r="X137" t="s">
        <v>3061</v>
      </c>
      <c r="Y137" t="s">
        <v>3062</v>
      </c>
      <c r="Z137" t="s">
        <v>3063</v>
      </c>
      <c r="AA137" t="s">
        <v>3064</v>
      </c>
      <c r="AB137" t="s">
        <v>3065</v>
      </c>
      <c r="AC137" t="s">
        <v>3066</v>
      </c>
      <c r="AD137" t="s">
        <v>3067</v>
      </c>
      <c r="AE137" t="s">
        <v>3068</v>
      </c>
      <c r="AF137" t="s">
        <v>74</v>
      </c>
      <c r="AG137">
        <v>27</v>
      </c>
      <c r="AH137">
        <v>11</v>
      </c>
      <c r="AI137">
        <v>11</v>
      </c>
      <c r="AJ137">
        <v>0</v>
      </c>
      <c r="AK137">
        <v>9</v>
      </c>
      <c r="AL137" t="s">
        <v>1269</v>
      </c>
      <c r="AM137" t="s">
        <v>1270</v>
      </c>
      <c r="AN137" t="s">
        <v>1271</v>
      </c>
      <c r="AO137" t="s">
        <v>3069</v>
      </c>
      <c r="AP137" t="s">
        <v>3070</v>
      </c>
      <c r="AQ137" t="s">
        <v>74</v>
      </c>
      <c r="AR137" t="s">
        <v>3071</v>
      </c>
      <c r="AS137" t="s">
        <v>3072</v>
      </c>
      <c r="AT137" t="s">
        <v>3073</v>
      </c>
      <c r="AU137">
        <v>2021</v>
      </c>
      <c r="AV137">
        <v>13</v>
      </c>
      <c r="AW137">
        <v>4</v>
      </c>
      <c r="AX137" t="s">
        <v>74</v>
      </c>
      <c r="AY137" t="s">
        <v>74</v>
      </c>
      <c r="AZ137" t="s">
        <v>74</v>
      </c>
      <c r="BA137" t="s">
        <v>74</v>
      </c>
      <c r="BB137">
        <v>1531</v>
      </c>
      <c r="BC137">
        <v>1545</v>
      </c>
      <c r="BD137" t="s">
        <v>74</v>
      </c>
      <c r="BE137" t="s">
        <v>3074</v>
      </c>
      <c r="BF137" t="str">
        <f>HYPERLINK("http://dx.doi.org/10.5194/essd-13-1531-2021","http://dx.doi.org/10.5194/essd-13-1531-2021")</f>
        <v>http://dx.doi.org/10.5194/essd-13-1531-2021</v>
      </c>
      <c r="BG137" t="s">
        <v>74</v>
      </c>
      <c r="BH137" t="s">
        <v>74</v>
      </c>
      <c r="BI137">
        <v>15</v>
      </c>
      <c r="BJ137" t="s">
        <v>2907</v>
      </c>
      <c r="BK137" t="s">
        <v>101</v>
      </c>
      <c r="BL137" t="s">
        <v>2908</v>
      </c>
      <c r="BM137" t="s">
        <v>3075</v>
      </c>
      <c r="BN137" t="s">
        <v>74</v>
      </c>
      <c r="BO137" t="s">
        <v>1779</v>
      </c>
      <c r="BP137" t="s">
        <v>74</v>
      </c>
      <c r="BQ137" t="s">
        <v>74</v>
      </c>
      <c r="BR137" t="s">
        <v>104</v>
      </c>
      <c r="BS137" t="s">
        <v>3076</v>
      </c>
      <c r="BT137" t="str">
        <f>HYPERLINK("https%3A%2F%2Fwww.webofscience.com%2Fwos%2Fwoscc%2Ffull-record%2FWOS:000640250700001","View Full Record in Web of Science")</f>
        <v>View Full Record in Web of Science</v>
      </c>
    </row>
    <row r="138" spans="1:72" x14ac:dyDescent="0.15">
      <c r="A138" t="s">
        <v>72</v>
      </c>
      <c r="B138" t="s">
        <v>3077</v>
      </c>
      <c r="C138" t="s">
        <v>74</v>
      </c>
      <c r="D138" t="s">
        <v>74</v>
      </c>
      <c r="E138" t="s">
        <v>74</v>
      </c>
      <c r="F138" t="s">
        <v>3078</v>
      </c>
      <c r="G138" t="s">
        <v>74</v>
      </c>
      <c r="H138" t="s">
        <v>74</v>
      </c>
      <c r="I138" t="s">
        <v>3079</v>
      </c>
      <c r="J138" t="s">
        <v>1692</v>
      </c>
      <c r="K138" t="s">
        <v>74</v>
      </c>
      <c r="L138" t="s">
        <v>74</v>
      </c>
      <c r="M138" t="s">
        <v>78</v>
      </c>
      <c r="N138" t="s">
        <v>79</v>
      </c>
      <c r="O138" t="s">
        <v>74</v>
      </c>
      <c r="P138" t="s">
        <v>74</v>
      </c>
      <c r="Q138" t="s">
        <v>74</v>
      </c>
      <c r="R138" t="s">
        <v>74</v>
      </c>
      <c r="S138" t="s">
        <v>74</v>
      </c>
      <c r="T138" t="s">
        <v>74</v>
      </c>
      <c r="U138" t="s">
        <v>3080</v>
      </c>
      <c r="V138" t="s">
        <v>3081</v>
      </c>
      <c r="W138" t="s">
        <v>3082</v>
      </c>
      <c r="X138" t="s">
        <v>3083</v>
      </c>
      <c r="Y138" t="s">
        <v>3084</v>
      </c>
      <c r="Z138" t="s">
        <v>3085</v>
      </c>
      <c r="AA138" t="s">
        <v>3086</v>
      </c>
      <c r="AB138" t="s">
        <v>3087</v>
      </c>
      <c r="AC138" t="s">
        <v>3088</v>
      </c>
      <c r="AD138" t="s">
        <v>3089</v>
      </c>
      <c r="AE138" t="s">
        <v>3090</v>
      </c>
      <c r="AF138" t="s">
        <v>74</v>
      </c>
      <c r="AG138">
        <v>70</v>
      </c>
      <c r="AH138">
        <v>24</v>
      </c>
      <c r="AI138">
        <v>26</v>
      </c>
      <c r="AJ138">
        <v>3</v>
      </c>
      <c r="AK138">
        <v>47</v>
      </c>
      <c r="AL138" t="s">
        <v>861</v>
      </c>
      <c r="AM138" t="s">
        <v>862</v>
      </c>
      <c r="AN138" t="s">
        <v>863</v>
      </c>
      <c r="AO138" t="s">
        <v>74</v>
      </c>
      <c r="AP138" t="s">
        <v>1704</v>
      </c>
      <c r="AQ138" t="s">
        <v>74</v>
      </c>
      <c r="AR138" t="s">
        <v>1705</v>
      </c>
      <c r="AS138" t="s">
        <v>1706</v>
      </c>
      <c r="AT138" t="s">
        <v>3073</v>
      </c>
      <c r="AU138">
        <v>2021</v>
      </c>
      <c r="AV138">
        <v>12</v>
      </c>
      <c r="AW138">
        <v>1</v>
      </c>
      <c r="AX138" t="s">
        <v>74</v>
      </c>
      <c r="AY138" t="s">
        <v>74</v>
      </c>
      <c r="AZ138" t="s">
        <v>74</v>
      </c>
      <c r="BA138" t="s">
        <v>74</v>
      </c>
      <c r="BB138" t="s">
        <v>74</v>
      </c>
      <c r="BC138" t="s">
        <v>74</v>
      </c>
      <c r="BD138">
        <v>2213</v>
      </c>
      <c r="BE138" t="s">
        <v>3091</v>
      </c>
      <c r="BF138" t="str">
        <f>HYPERLINK("http://dx.doi.org/10.1038/s41467-021-22409-4","http://dx.doi.org/10.1038/s41467-021-22409-4")</f>
        <v>http://dx.doi.org/10.1038/s41467-021-22409-4</v>
      </c>
      <c r="BG138" t="s">
        <v>74</v>
      </c>
      <c r="BH138" t="s">
        <v>74</v>
      </c>
      <c r="BI138">
        <v>12</v>
      </c>
      <c r="BJ138" t="s">
        <v>555</v>
      </c>
      <c r="BK138" t="s">
        <v>101</v>
      </c>
      <c r="BL138" t="s">
        <v>556</v>
      </c>
      <c r="BM138" t="s">
        <v>3092</v>
      </c>
      <c r="BN138">
        <v>33850115</v>
      </c>
      <c r="BO138" t="s">
        <v>1573</v>
      </c>
      <c r="BP138" t="s">
        <v>74</v>
      </c>
      <c r="BQ138" t="s">
        <v>74</v>
      </c>
      <c r="BR138" t="s">
        <v>104</v>
      </c>
      <c r="BS138" t="s">
        <v>3093</v>
      </c>
      <c r="BT138" t="str">
        <f>HYPERLINK("https%3A%2F%2Fwww.webofscience.com%2Fwos%2Fwoscc%2Ffull-record%2FWOS:000640638900003","View Full Record in Web of Science")</f>
        <v>View Full Record in Web of Science</v>
      </c>
    </row>
    <row r="139" spans="1:72" x14ac:dyDescent="0.15">
      <c r="A139" t="s">
        <v>72</v>
      </c>
      <c r="B139" t="s">
        <v>3094</v>
      </c>
      <c r="C139" t="s">
        <v>74</v>
      </c>
      <c r="D139" t="s">
        <v>74</v>
      </c>
      <c r="E139" t="s">
        <v>74</v>
      </c>
      <c r="F139" t="s">
        <v>3095</v>
      </c>
      <c r="G139" t="s">
        <v>74</v>
      </c>
      <c r="H139" t="s">
        <v>74</v>
      </c>
      <c r="I139" t="s">
        <v>3096</v>
      </c>
      <c r="J139" t="s">
        <v>3097</v>
      </c>
      <c r="K139" t="s">
        <v>74</v>
      </c>
      <c r="L139" t="s">
        <v>74</v>
      </c>
      <c r="M139" t="s">
        <v>78</v>
      </c>
      <c r="N139" t="s">
        <v>79</v>
      </c>
      <c r="O139" t="s">
        <v>74</v>
      </c>
      <c r="P139" t="s">
        <v>74</v>
      </c>
      <c r="Q139" t="s">
        <v>74</v>
      </c>
      <c r="R139" t="s">
        <v>74</v>
      </c>
      <c r="S139" t="s">
        <v>74</v>
      </c>
      <c r="T139" t="s">
        <v>3098</v>
      </c>
      <c r="U139" t="s">
        <v>3099</v>
      </c>
      <c r="V139" t="s">
        <v>3100</v>
      </c>
      <c r="W139" t="s">
        <v>3101</v>
      </c>
      <c r="X139" t="s">
        <v>3102</v>
      </c>
      <c r="Y139" t="s">
        <v>3103</v>
      </c>
      <c r="Z139" t="s">
        <v>3104</v>
      </c>
      <c r="AA139" t="s">
        <v>74</v>
      </c>
      <c r="AB139" t="s">
        <v>3105</v>
      </c>
      <c r="AC139" t="s">
        <v>3106</v>
      </c>
      <c r="AD139" t="s">
        <v>3107</v>
      </c>
      <c r="AE139" t="s">
        <v>3108</v>
      </c>
      <c r="AF139" t="s">
        <v>74</v>
      </c>
      <c r="AG139">
        <v>130</v>
      </c>
      <c r="AH139">
        <v>0</v>
      </c>
      <c r="AI139">
        <v>0</v>
      </c>
      <c r="AJ139">
        <v>3</v>
      </c>
      <c r="AK139">
        <v>16</v>
      </c>
      <c r="AL139" t="s">
        <v>1221</v>
      </c>
      <c r="AM139" t="s">
        <v>1222</v>
      </c>
      <c r="AN139" t="s">
        <v>1223</v>
      </c>
      <c r="AO139" t="s">
        <v>3109</v>
      </c>
      <c r="AP139" t="s">
        <v>3110</v>
      </c>
      <c r="AQ139" t="s">
        <v>74</v>
      </c>
      <c r="AR139" t="s">
        <v>3097</v>
      </c>
      <c r="AS139" t="s">
        <v>2930</v>
      </c>
      <c r="AT139" t="s">
        <v>3111</v>
      </c>
      <c r="AU139">
        <v>2021</v>
      </c>
      <c r="AV139">
        <v>138</v>
      </c>
      <c r="AW139">
        <v>2</v>
      </c>
      <c r="AX139" t="s">
        <v>74</v>
      </c>
      <c r="AY139" t="s">
        <v>74</v>
      </c>
      <c r="AZ139" t="s">
        <v>74</v>
      </c>
      <c r="BA139" t="s">
        <v>74</v>
      </c>
      <c r="BB139" t="s">
        <v>74</v>
      </c>
      <c r="BC139" t="s">
        <v>74</v>
      </c>
      <c r="BD139" t="s">
        <v>3112</v>
      </c>
      <c r="BE139" t="s">
        <v>3113</v>
      </c>
      <c r="BF139" t="str">
        <f>HYPERLINK("http://dx.doi.org/10.1093/ornithology/ukab007","http://dx.doi.org/10.1093/ornithology/ukab007")</f>
        <v>http://dx.doi.org/10.1093/ornithology/ukab007</v>
      </c>
      <c r="BG139" t="s">
        <v>74</v>
      </c>
      <c r="BH139" t="s">
        <v>514</v>
      </c>
      <c r="BI139">
        <v>21</v>
      </c>
      <c r="BJ139" t="s">
        <v>2930</v>
      </c>
      <c r="BK139" t="s">
        <v>101</v>
      </c>
      <c r="BL139" t="s">
        <v>1229</v>
      </c>
      <c r="BM139" t="s">
        <v>3114</v>
      </c>
      <c r="BN139" t="s">
        <v>74</v>
      </c>
      <c r="BO139" t="s">
        <v>74</v>
      </c>
      <c r="BP139" t="s">
        <v>74</v>
      </c>
      <c r="BQ139" t="s">
        <v>74</v>
      </c>
      <c r="BR139" t="s">
        <v>104</v>
      </c>
      <c r="BS139" t="s">
        <v>3115</v>
      </c>
      <c r="BT139" t="str">
        <f>HYPERLINK("https%3A%2F%2Fwww.webofscience.com%2Fwos%2Fwoscc%2Ffull-record%2FWOS:000698981100014","View Full Record in Web of Science")</f>
        <v>View Full Record in Web of Science</v>
      </c>
    </row>
    <row r="140" spans="1:72" x14ac:dyDescent="0.15">
      <c r="A140" t="s">
        <v>72</v>
      </c>
      <c r="B140" t="s">
        <v>3116</v>
      </c>
      <c r="C140" t="s">
        <v>74</v>
      </c>
      <c r="D140" t="s">
        <v>74</v>
      </c>
      <c r="E140" t="s">
        <v>74</v>
      </c>
      <c r="F140" t="s">
        <v>3117</v>
      </c>
      <c r="G140" t="s">
        <v>74</v>
      </c>
      <c r="H140" t="s">
        <v>74</v>
      </c>
      <c r="I140" t="s">
        <v>3118</v>
      </c>
      <c r="J140" t="s">
        <v>3119</v>
      </c>
      <c r="K140" t="s">
        <v>74</v>
      </c>
      <c r="L140" t="s">
        <v>74</v>
      </c>
      <c r="M140" t="s">
        <v>78</v>
      </c>
      <c r="N140" t="s">
        <v>79</v>
      </c>
      <c r="O140" t="s">
        <v>74</v>
      </c>
      <c r="P140" t="s">
        <v>74</v>
      </c>
      <c r="Q140" t="s">
        <v>74</v>
      </c>
      <c r="R140" t="s">
        <v>74</v>
      </c>
      <c r="S140" t="s">
        <v>74</v>
      </c>
      <c r="T140" t="s">
        <v>3120</v>
      </c>
      <c r="U140" t="s">
        <v>3121</v>
      </c>
      <c r="V140" t="s">
        <v>3122</v>
      </c>
      <c r="W140" t="s">
        <v>3123</v>
      </c>
      <c r="X140" t="s">
        <v>3124</v>
      </c>
      <c r="Y140" t="s">
        <v>3125</v>
      </c>
      <c r="Z140" t="s">
        <v>3126</v>
      </c>
      <c r="AA140" t="s">
        <v>3127</v>
      </c>
      <c r="AB140" t="s">
        <v>3128</v>
      </c>
      <c r="AC140" t="s">
        <v>3129</v>
      </c>
      <c r="AD140" t="s">
        <v>3130</v>
      </c>
      <c r="AE140" t="s">
        <v>3131</v>
      </c>
      <c r="AF140" t="s">
        <v>74</v>
      </c>
      <c r="AG140">
        <v>78</v>
      </c>
      <c r="AH140">
        <v>5</v>
      </c>
      <c r="AI140">
        <v>6</v>
      </c>
      <c r="AJ140">
        <v>2</v>
      </c>
      <c r="AK140">
        <v>20</v>
      </c>
      <c r="AL140" t="s">
        <v>1058</v>
      </c>
      <c r="AM140" t="s">
        <v>891</v>
      </c>
      <c r="AN140" t="s">
        <v>1059</v>
      </c>
      <c r="AO140" t="s">
        <v>3132</v>
      </c>
      <c r="AP140" t="s">
        <v>3133</v>
      </c>
      <c r="AQ140" t="s">
        <v>74</v>
      </c>
      <c r="AR140" t="s">
        <v>3119</v>
      </c>
      <c r="AS140" t="s">
        <v>3134</v>
      </c>
      <c r="AT140" t="s">
        <v>1462</v>
      </c>
      <c r="AU140">
        <v>2021</v>
      </c>
      <c r="AV140">
        <v>279</v>
      </c>
      <c r="AW140" t="s">
        <v>74</v>
      </c>
      <c r="AX140" t="s">
        <v>74</v>
      </c>
      <c r="AY140" t="s">
        <v>74</v>
      </c>
      <c r="AZ140" t="s">
        <v>74</v>
      </c>
      <c r="BA140" t="s">
        <v>74</v>
      </c>
      <c r="BB140" t="s">
        <v>74</v>
      </c>
      <c r="BC140" t="s">
        <v>74</v>
      </c>
      <c r="BD140">
        <v>130477</v>
      </c>
      <c r="BE140" t="s">
        <v>3135</v>
      </c>
      <c r="BF140" t="str">
        <f>HYPERLINK("http://dx.doi.org/10.1016/j.chemosphere.2021.130477","http://dx.doi.org/10.1016/j.chemosphere.2021.130477")</f>
        <v>http://dx.doi.org/10.1016/j.chemosphere.2021.130477</v>
      </c>
      <c r="BG140" t="s">
        <v>74</v>
      </c>
      <c r="BH140" t="s">
        <v>514</v>
      </c>
      <c r="BI140">
        <v>12</v>
      </c>
      <c r="BJ140" t="s">
        <v>224</v>
      </c>
      <c r="BK140" t="s">
        <v>101</v>
      </c>
      <c r="BL140" t="s">
        <v>225</v>
      </c>
      <c r="BM140" t="s">
        <v>3136</v>
      </c>
      <c r="BN140">
        <v>33857648</v>
      </c>
      <c r="BO140" t="s">
        <v>74</v>
      </c>
      <c r="BP140" t="s">
        <v>74</v>
      </c>
      <c r="BQ140" t="s">
        <v>74</v>
      </c>
      <c r="BR140" t="s">
        <v>104</v>
      </c>
      <c r="BS140" t="s">
        <v>3137</v>
      </c>
      <c r="BT140" t="str">
        <f>HYPERLINK("https%3A%2F%2Fwww.webofscience.com%2Fwos%2Fwoscc%2Ffull-record%2FWOS:000659971200018","View Full Record in Web of Science")</f>
        <v>View Full Record in Web of Science</v>
      </c>
    </row>
    <row r="141" spans="1:72" x14ac:dyDescent="0.15">
      <c r="A141" t="s">
        <v>72</v>
      </c>
      <c r="B141" t="s">
        <v>3138</v>
      </c>
      <c r="C141" t="s">
        <v>74</v>
      </c>
      <c r="D141" t="s">
        <v>74</v>
      </c>
      <c r="E141" t="s">
        <v>74</v>
      </c>
      <c r="F141" t="s">
        <v>3139</v>
      </c>
      <c r="G141" t="s">
        <v>74</v>
      </c>
      <c r="H141" t="s">
        <v>74</v>
      </c>
      <c r="I141" t="s">
        <v>3140</v>
      </c>
      <c r="J141" t="s">
        <v>3141</v>
      </c>
      <c r="K141" t="s">
        <v>74</v>
      </c>
      <c r="L141" t="s">
        <v>74</v>
      </c>
      <c r="M141" t="s">
        <v>78</v>
      </c>
      <c r="N141" t="s">
        <v>1074</v>
      </c>
      <c r="O141" t="s">
        <v>74</v>
      </c>
      <c r="P141" t="s">
        <v>74</v>
      </c>
      <c r="Q141" t="s">
        <v>74</v>
      </c>
      <c r="R141" t="s">
        <v>74</v>
      </c>
      <c r="S141" t="s">
        <v>74</v>
      </c>
      <c r="T141" t="s">
        <v>3142</v>
      </c>
      <c r="U141" t="s">
        <v>3143</v>
      </c>
      <c r="V141" t="s">
        <v>3144</v>
      </c>
      <c r="W141" t="s">
        <v>3145</v>
      </c>
      <c r="X141" t="s">
        <v>3146</v>
      </c>
      <c r="Y141" t="s">
        <v>3147</v>
      </c>
      <c r="Z141" t="s">
        <v>3148</v>
      </c>
      <c r="AA141" t="s">
        <v>74</v>
      </c>
      <c r="AB141" t="s">
        <v>74</v>
      </c>
      <c r="AC141" t="s">
        <v>3149</v>
      </c>
      <c r="AD141" t="s">
        <v>3150</v>
      </c>
      <c r="AE141" t="s">
        <v>3151</v>
      </c>
      <c r="AF141" t="s">
        <v>74</v>
      </c>
      <c r="AG141">
        <v>264</v>
      </c>
      <c r="AH141">
        <v>32</v>
      </c>
      <c r="AI141">
        <v>34</v>
      </c>
      <c r="AJ141">
        <v>9</v>
      </c>
      <c r="AK141">
        <v>52</v>
      </c>
      <c r="AL141" t="s">
        <v>1058</v>
      </c>
      <c r="AM141" t="s">
        <v>891</v>
      </c>
      <c r="AN141" t="s">
        <v>1059</v>
      </c>
      <c r="AO141" t="s">
        <v>3152</v>
      </c>
      <c r="AP141" t="s">
        <v>3153</v>
      </c>
      <c r="AQ141" t="s">
        <v>74</v>
      </c>
      <c r="AR141" t="s">
        <v>3154</v>
      </c>
      <c r="AS141" t="s">
        <v>3155</v>
      </c>
      <c r="AT141" t="s">
        <v>1035</v>
      </c>
      <c r="AU141">
        <v>2021</v>
      </c>
      <c r="AV141">
        <v>126</v>
      </c>
      <c r="AW141" t="s">
        <v>74</v>
      </c>
      <c r="AX141" t="s">
        <v>74</v>
      </c>
      <c r="AY141" t="s">
        <v>74</v>
      </c>
      <c r="AZ141" t="s">
        <v>74</v>
      </c>
      <c r="BA141" t="s">
        <v>74</v>
      </c>
      <c r="BB141">
        <v>413</v>
      </c>
      <c r="BC141">
        <v>429</v>
      </c>
      <c r="BD141" t="s">
        <v>74</v>
      </c>
      <c r="BE141" t="s">
        <v>3156</v>
      </c>
      <c r="BF141" t="str">
        <f>HYPERLINK("http://dx.doi.org/10.1016/j.neubiorev.2021.03.032","http://dx.doi.org/10.1016/j.neubiorev.2021.03.032")</f>
        <v>http://dx.doi.org/10.1016/j.neubiorev.2021.03.032</v>
      </c>
      <c r="BG141" t="s">
        <v>74</v>
      </c>
      <c r="BH141" t="s">
        <v>514</v>
      </c>
      <c r="BI141">
        <v>17</v>
      </c>
      <c r="BJ141" t="s">
        <v>3157</v>
      </c>
      <c r="BK141" t="s">
        <v>1038</v>
      </c>
      <c r="BL141" t="s">
        <v>3158</v>
      </c>
      <c r="BM141" t="s">
        <v>3159</v>
      </c>
      <c r="BN141">
        <v>33836214</v>
      </c>
      <c r="BO141" t="s">
        <v>74</v>
      </c>
      <c r="BP141" t="s">
        <v>74</v>
      </c>
      <c r="BQ141" t="s">
        <v>74</v>
      </c>
      <c r="BR141" t="s">
        <v>104</v>
      </c>
      <c r="BS141" t="s">
        <v>3160</v>
      </c>
      <c r="BT141" t="str">
        <f>HYPERLINK("https%3A%2F%2Fwww.webofscience.com%2Fwos%2Fwoscc%2Ffull-record%2FWOS:000656249400016","View Full Record in Web of Science")</f>
        <v>View Full Record in Web of Science</v>
      </c>
    </row>
    <row r="142" spans="1:72" x14ac:dyDescent="0.15">
      <c r="A142" t="s">
        <v>72</v>
      </c>
      <c r="B142" t="s">
        <v>3161</v>
      </c>
      <c r="C142" t="s">
        <v>74</v>
      </c>
      <c r="D142" t="s">
        <v>74</v>
      </c>
      <c r="E142" t="s">
        <v>74</v>
      </c>
      <c r="F142" t="s">
        <v>3162</v>
      </c>
      <c r="G142" t="s">
        <v>74</v>
      </c>
      <c r="H142" t="s">
        <v>74</v>
      </c>
      <c r="I142" t="s">
        <v>3163</v>
      </c>
      <c r="J142" t="s">
        <v>3164</v>
      </c>
      <c r="K142" t="s">
        <v>74</v>
      </c>
      <c r="L142" t="s">
        <v>74</v>
      </c>
      <c r="M142" t="s">
        <v>78</v>
      </c>
      <c r="N142" t="s">
        <v>79</v>
      </c>
      <c r="O142" t="s">
        <v>74</v>
      </c>
      <c r="P142" t="s">
        <v>74</v>
      </c>
      <c r="Q142" t="s">
        <v>74</v>
      </c>
      <c r="R142" t="s">
        <v>74</v>
      </c>
      <c r="S142" t="s">
        <v>74</v>
      </c>
      <c r="T142" t="s">
        <v>3165</v>
      </c>
      <c r="U142" t="s">
        <v>74</v>
      </c>
      <c r="V142" t="s">
        <v>3166</v>
      </c>
      <c r="W142" t="s">
        <v>3167</v>
      </c>
      <c r="X142" t="s">
        <v>3168</v>
      </c>
      <c r="Y142" t="s">
        <v>3169</v>
      </c>
      <c r="Z142" t="s">
        <v>3170</v>
      </c>
      <c r="AA142" t="s">
        <v>3171</v>
      </c>
      <c r="AB142" t="s">
        <v>3172</v>
      </c>
      <c r="AC142" t="s">
        <v>3173</v>
      </c>
      <c r="AD142" t="s">
        <v>3174</v>
      </c>
      <c r="AE142" t="s">
        <v>3175</v>
      </c>
      <c r="AF142" t="s">
        <v>74</v>
      </c>
      <c r="AG142">
        <v>12</v>
      </c>
      <c r="AH142">
        <v>1</v>
      </c>
      <c r="AI142">
        <v>1</v>
      </c>
      <c r="AJ142">
        <v>1</v>
      </c>
      <c r="AK142">
        <v>9</v>
      </c>
      <c r="AL142" t="s">
        <v>2922</v>
      </c>
      <c r="AM142" t="s">
        <v>2923</v>
      </c>
      <c r="AN142" t="s">
        <v>2924</v>
      </c>
      <c r="AO142" t="s">
        <v>3176</v>
      </c>
      <c r="AP142" t="s">
        <v>3177</v>
      </c>
      <c r="AQ142" t="s">
        <v>74</v>
      </c>
      <c r="AR142" t="s">
        <v>3178</v>
      </c>
      <c r="AS142" t="s">
        <v>3179</v>
      </c>
      <c r="AT142" t="s">
        <v>3180</v>
      </c>
      <c r="AU142">
        <v>2022</v>
      </c>
      <c r="AV142">
        <v>24</v>
      </c>
      <c r="AW142">
        <v>3</v>
      </c>
      <c r="AX142" t="s">
        <v>74</v>
      </c>
      <c r="AY142" t="s">
        <v>74</v>
      </c>
      <c r="AZ142" t="s">
        <v>74</v>
      </c>
      <c r="BA142" t="s">
        <v>74</v>
      </c>
      <c r="BB142">
        <v>252</v>
      </c>
      <c r="BC142">
        <v>258</v>
      </c>
      <c r="BD142" t="s">
        <v>74</v>
      </c>
      <c r="BE142" t="s">
        <v>3181</v>
      </c>
      <c r="BF142" t="str">
        <f>HYPERLINK("http://dx.doi.org/10.1080/10286020.2021.1915995","http://dx.doi.org/10.1080/10286020.2021.1915995")</f>
        <v>http://dx.doi.org/10.1080/10286020.2021.1915995</v>
      </c>
      <c r="BG142" t="s">
        <v>74</v>
      </c>
      <c r="BH142" t="s">
        <v>514</v>
      </c>
      <c r="BI142">
        <v>7</v>
      </c>
      <c r="BJ142" t="s">
        <v>3182</v>
      </c>
      <c r="BK142" t="s">
        <v>3007</v>
      </c>
      <c r="BL142" t="s">
        <v>3183</v>
      </c>
      <c r="BM142" t="s">
        <v>3184</v>
      </c>
      <c r="BN142">
        <v>33892608</v>
      </c>
      <c r="BO142" t="s">
        <v>74</v>
      </c>
      <c r="BP142" t="s">
        <v>74</v>
      </c>
      <c r="BQ142" t="s">
        <v>74</v>
      </c>
      <c r="BR142" t="s">
        <v>104</v>
      </c>
      <c r="BS142" t="s">
        <v>3185</v>
      </c>
      <c r="BT142" t="str">
        <f>HYPERLINK("https%3A%2F%2Fwww.webofscience.com%2Fwos%2Fwoscc%2Ffull-record%2FWOS:000643801500001","View Full Record in Web of Science")</f>
        <v>View Full Record in Web of Science</v>
      </c>
    </row>
    <row r="143" spans="1:72" x14ac:dyDescent="0.15">
      <c r="A143" t="s">
        <v>72</v>
      </c>
      <c r="B143" t="s">
        <v>3186</v>
      </c>
      <c r="C143" t="s">
        <v>74</v>
      </c>
      <c r="D143" t="s">
        <v>74</v>
      </c>
      <c r="E143" t="s">
        <v>74</v>
      </c>
      <c r="F143" t="s">
        <v>3187</v>
      </c>
      <c r="G143" t="s">
        <v>74</v>
      </c>
      <c r="H143" t="s">
        <v>74</v>
      </c>
      <c r="I143" t="s">
        <v>3188</v>
      </c>
      <c r="J143" t="s">
        <v>3189</v>
      </c>
      <c r="K143" t="s">
        <v>74</v>
      </c>
      <c r="L143" t="s">
        <v>74</v>
      </c>
      <c r="M143" t="s">
        <v>78</v>
      </c>
      <c r="N143" t="s">
        <v>79</v>
      </c>
      <c r="O143" t="s">
        <v>74</v>
      </c>
      <c r="P143" t="s">
        <v>74</v>
      </c>
      <c r="Q143" t="s">
        <v>74</v>
      </c>
      <c r="R143" t="s">
        <v>74</v>
      </c>
      <c r="S143" t="s">
        <v>74</v>
      </c>
      <c r="T143" t="s">
        <v>74</v>
      </c>
      <c r="U143" t="s">
        <v>74</v>
      </c>
      <c r="V143" t="s">
        <v>3190</v>
      </c>
      <c r="W143" t="s">
        <v>3191</v>
      </c>
      <c r="X143" t="s">
        <v>3192</v>
      </c>
      <c r="Y143" t="s">
        <v>3193</v>
      </c>
      <c r="Z143" t="s">
        <v>3194</v>
      </c>
      <c r="AA143" t="s">
        <v>2555</v>
      </c>
      <c r="AB143" t="s">
        <v>3195</v>
      </c>
      <c r="AC143" t="s">
        <v>3196</v>
      </c>
      <c r="AD143" t="s">
        <v>3197</v>
      </c>
      <c r="AE143" t="s">
        <v>3198</v>
      </c>
      <c r="AF143" t="s">
        <v>74</v>
      </c>
      <c r="AG143">
        <v>55</v>
      </c>
      <c r="AH143">
        <v>5</v>
      </c>
      <c r="AI143">
        <v>5</v>
      </c>
      <c r="AJ143">
        <v>0</v>
      </c>
      <c r="AK143">
        <v>4</v>
      </c>
      <c r="AL143" t="s">
        <v>795</v>
      </c>
      <c r="AM143" t="s">
        <v>796</v>
      </c>
      <c r="AN143" t="s">
        <v>797</v>
      </c>
      <c r="AO143" t="s">
        <v>3199</v>
      </c>
      <c r="AP143" t="s">
        <v>3200</v>
      </c>
      <c r="AQ143" t="s">
        <v>74</v>
      </c>
      <c r="AR143" t="s">
        <v>3201</v>
      </c>
      <c r="AS143" t="s">
        <v>3202</v>
      </c>
      <c r="AT143" t="s">
        <v>2859</v>
      </c>
      <c r="AU143">
        <v>2021</v>
      </c>
      <c r="AV143">
        <v>56</v>
      </c>
      <c r="AW143">
        <v>4</v>
      </c>
      <c r="AX143" t="s">
        <v>74</v>
      </c>
      <c r="AY143" t="s">
        <v>74</v>
      </c>
      <c r="AZ143" t="s">
        <v>74</v>
      </c>
      <c r="BA143" t="s">
        <v>74</v>
      </c>
      <c r="BB143">
        <v>829</v>
      </c>
      <c r="BC143">
        <v>843</v>
      </c>
      <c r="BD143" t="s">
        <v>74</v>
      </c>
      <c r="BE143" t="s">
        <v>3203</v>
      </c>
      <c r="BF143" t="str">
        <f>HYPERLINK("http://dx.doi.org/10.1111/maps.13634","http://dx.doi.org/10.1111/maps.13634")</f>
        <v>http://dx.doi.org/10.1111/maps.13634</v>
      </c>
      <c r="BG143" t="s">
        <v>74</v>
      </c>
      <c r="BH143" t="s">
        <v>514</v>
      </c>
      <c r="BI143">
        <v>15</v>
      </c>
      <c r="BJ143" t="s">
        <v>1066</v>
      </c>
      <c r="BK143" t="s">
        <v>101</v>
      </c>
      <c r="BL143" t="s">
        <v>1066</v>
      </c>
      <c r="BM143" t="s">
        <v>3204</v>
      </c>
      <c r="BN143" t="s">
        <v>74</v>
      </c>
      <c r="BO143" t="s">
        <v>74</v>
      </c>
      <c r="BP143" t="s">
        <v>74</v>
      </c>
      <c r="BQ143" t="s">
        <v>74</v>
      </c>
      <c r="BR143" t="s">
        <v>104</v>
      </c>
      <c r="BS143" t="s">
        <v>3205</v>
      </c>
      <c r="BT143" t="str">
        <f>HYPERLINK("https%3A%2F%2Fwww.webofscience.com%2Fwos%2Fwoscc%2Ffull-record%2FWOS:000639363400001","View Full Record in Web of Science")</f>
        <v>View Full Record in Web of Science</v>
      </c>
    </row>
    <row r="144" spans="1:72" x14ac:dyDescent="0.15">
      <c r="A144" t="s">
        <v>72</v>
      </c>
      <c r="B144" t="s">
        <v>3206</v>
      </c>
      <c r="C144" t="s">
        <v>74</v>
      </c>
      <c r="D144" t="s">
        <v>74</v>
      </c>
      <c r="E144" t="s">
        <v>74</v>
      </c>
      <c r="F144" t="s">
        <v>3207</v>
      </c>
      <c r="G144" t="s">
        <v>74</v>
      </c>
      <c r="H144" t="s">
        <v>74</v>
      </c>
      <c r="I144" t="s">
        <v>3208</v>
      </c>
      <c r="J144" t="s">
        <v>877</v>
      </c>
      <c r="K144" t="s">
        <v>74</v>
      </c>
      <c r="L144" t="s">
        <v>74</v>
      </c>
      <c r="M144" t="s">
        <v>78</v>
      </c>
      <c r="N144" t="s">
        <v>79</v>
      </c>
      <c r="O144" t="s">
        <v>74</v>
      </c>
      <c r="P144" t="s">
        <v>74</v>
      </c>
      <c r="Q144" t="s">
        <v>74</v>
      </c>
      <c r="R144" t="s">
        <v>74</v>
      </c>
      <c r="S144" t="s">
        <v>74</v>
      </c>
      <c r="T144" t="s">
        <v>3209</v>
      </c>
      <c r="U144" t="s">
        <v>3210</v>
      </c>
      <c r="V144" t="s">
        <v>3211</v>
      </c>
      <c r="W144" t="s">
        <v>3212</v>
      </c>
      <c r="X144" t="s">
        <v>3213</v>
      </c>
      <c r="Y144" t="s">
        <v>3214</v>
      </c>
      <c r="Z144" t="s">
        <v>3215</v>
      </c>
      <c r="AA144" t="s">
        <v>3216</v>
      </c>
      <c r="AB144" t="s">
        <v>3217</v>
      </c>
      <c r="AC144" t="s">
        <v>3218</v>
      </c>
      <c r="AD144" t="s">
        <v>3219</v>
      </c>
      <c r="AE144" t="s">
        <v>3220</v>
      </c>
      <c r="AF144" t="s">
        <v>74</v>
      </c>
      <c r="AG144">
        <v>90</v>
      </c>
      <c r="AH144">
        <v>5</v>
      </c>
      <c r="AI144">
        <v>6</v>
      </c>
      <c r="AJ144">
        <v>4</v>
      </c>
      <c r="AK144">
        <v>53</v>
      </c>
      <c r="AL144" t="s">
        <v>890</v>
      </c>
      <c r="AM144" t="s">
        <v>891</v>
      </c>
      <c r="AN144" t="s">
        <v>892</v>
      </c>
      <c r="AO144" t="s">
        <v>893</v>
      </c>
      <c r="AP144" t="s">
        <v>894</v>
      </c>
      <c r="AQ144" t="s">
        <v>74</v>
      </c>
      <c r="AR144" t="s">
        <v>895</v>
      </c>
      <c r="AS144" t="s">
        <v>896</v>
      </c>
      <c r="AT144" t="s">
        <v>3221</v>
      </c>
      <c r="AU144">
        <v>2021</v>
      </c>
      <c r="AV144">
        <v>283</v>
      </c>
      <c r="AW144" t="s">
        <v>74</v>
      </c>
      <c r="AX144" t="s">
        <v>74</v>
      </c>
      <c r="AY144" t="s">
        <v>74</v>
      </c>
      <c r="AZ144" t="s">
        <v>74</v>
      </c>
      <c r="BA144" t="s">
        <v>74</v>
      </c>
      <c r="BB144" t="s">
        <v>74</v>
      </c>
      <c r="BC144" t="s">
        <v>74</v>
      </c>
      <c r="BD144">
        <v>117088</v>
      </c>
      <c r="BE144" t="s">
        <v>3222</v>
      </c>
      <c r="BF144" t="str">
        <f>HYPERLINK("http://dx.doi.org/10.1016/j.envpol.2021.117088","http://dx.doi.org/10.1016/j.envpol.2021.117088")</f>
        <v>http://dx.doi.org/10.1016/j.envpol.2021.117088</v>
      </c>
      <c r="BG144" t="s">
        <v>74</v>
      </c>
      <c r="BH144" t="s">
        <v>514</v>
      </c>
      <c r="BI144">
        <v>13</v>
      </c>
      <c r="BJ144" t="s">
        <v>224</v>
      </c>
      <c r="BK144" t="s">
        <v>101</v>
      </c>
      <c r="BL144" t="s">
        <v>225</v>
      </c>
      <c r="BM144" t="s">
        <v>3223</v>
      </c>
      <c r="BN144">
        <v>33857882</v>
      </c>
      <c r="BO144" t="s">
        <v>74</v>
      </c>
      <c r="BP144" t="s">
        <v>74</v>
      </c>
      <c r="BQ144" t="s">
        <v>74</v>
      </c>
      <c r="BR144" t="s">
        <v>104</v>
      </c>
      <c r="BS144" t="s">
        <v>3224</v>
      </c>
      <c r="BT144" t="str">
        <f>HYPERLINK("https%3A%2F%2Fwww.webofscience.com%2Fwos%2Fwoscc%2Ffull-record%2FWOS:000663131000001","View Full Record in Web of Science")</f>
        <v>View Full Record in Web of Science</v>
      </c>
    </row>
    <row r="145" spans="1:72" x14ac:dyDescent="0.15">
      <c r="A145" t="s">
        <v>72</v>
      </c>
      <c r="B145" t="s">
        <v>3225</v>
      </c>
      <c r="C145" t="s">
        <v>74</v>
      </c>
      <c r="D145" t="s">
        <v>74</v>
      </c>
      <c r="E145" t="s">
        <v>74</v>
      </c>
      <c r="F145" t="s">
        <v>3226</v>
      </c>
      <c r="G145" t="s">
        <v>74</v>
      </c>
      <c r="H145" t="s">
        <v>74</v>
      </c>
      <c r="I145" t="s">
        <v>3227</v>
      </c>
      <c r="J145" t="s">
        <v>3228</v>
      </c>
      <c r="K145" t="s">
        <v>74</v>
      </c>
      <c r="L145" t="s">
        <v>74</v>
      </c>
      <c r="M145" t="s">
        <v>78</v>
      </c>
      <c r="N145" t="s">
        <v>79</v>
      </c>
      <c r="O145" t="s">
        <v>74</v>
      </c>
      <c r="P145" t="s">
        <v>74</v>
      </c>
      <c r="Q145" t="s">
        <v>74</v>
      </c>
      <c r="R145" t="s">
        <v>74</v>
      </c>
      <c r="S145" t="s">
        <v>74</v>
      </c>
      <c r="T145" t="s">
        <v>3229</v>
      </c>
      <c r="U145" t="s">
        <v>3230</v>
      </c>
      <c r="V145" t="s">
        <v>3231</v>
      </c>
      <c r="W145" t="s">
        <v>3232</v>
      </c>
      <c r="X145" t="s">
        <v>3233</v>
      </c>
      <c r="Y145" t="s">
        <v>3234</v>
      </c>
      <c r="Z145" t="s">
        <v>3235</v>
      </c>
      <c r="AA145" t="s">
        <v>3236</v>
      </c>
      <c r="AB145" t="s">
        <v>3237</v>
      </c>
      <c r="AC145" t="s">
        <v>3238</v>
      </c>
      <c r="AD145" t="s">
        <v>3238</v>
      </c>
      <c r="AE145" t="s">
        <v>3239</v>
      </c>
      <c r="AF145" t="s">
        <v>74</v>
      </c>
      <c r="AG145">
        <v>36</v>
      </c>
      <c r="AH145">
        <v>30</v>
      </c>
      <c r="AI145">
        <v>30</v>
      </c>
      <c r="AJ145">
        <v>0</v>
      </c>
      <c r="AK145">
        <v>5</v>
      </c>
      <c r="AL145" t="s">
        <v>890</v>
      </c>
      <c r="AM145" t="s">
        <v>891</v>
      </c>
      <c r="AN145" t="s">
        <v>892</v>
      </c>
      <c r="AO145" t="s">
        <v>3240</v>
      </c>
      <c r="AP145" t="s">
        <v>3241</v>
      </c>
      <c r="AQ145" t="s">
        <v>74</v>
      </c>
      <c r="AR145" t="s">
        <v>3242</v>
      </c>
      <c r="AS145" t="s">
        <v>3243</v>
      </c>
      <c r="AT145" t="s">
        <v>1035</v>
      </c>
      <c r="AU145">
        <v>2021</v>
      </c>
      <c r="AV145">
        <v>129</v>
      </c>
      <c r="AW145" t="s">
        <v>74</v>
      </c>
      <c r="AX145" t="s">
        <v>74</v>
      </c>
      <c r="AY145" t="s">
        <v>74</v>
      </c>
      <c r="AZ145" t="s">
        <v>74</v>
      </c>
      <c r="BA145" t="s">
        <v>74</v>
      </c>
      <c r="BB145" t="s">
        <v>74</v>
      </c>
      <c r="BC145" t="s">
        <v>74</v>
      </c>
      <c r="BD145">
        <v>104522</v>
      </c>
      <c r="BE145" t="s">
        <v>3244</v>
      </c>
      <c r="BF145" t="str">
        <f>HYPERLINK("http://dx.doi.org/10.1016/j.marpol.2021.104522","http://dx.doi.org/10.1016/j.marpol.2021.104522")</f>
        <v>http://dx.doi.org/10.1016/j.marpol.2021.104522</v>
      </c>
      <c r="BG145" t="s">
        <v>74</v>
      </c>
      <c r="BH145" t="s">
        <v>514</v>
      </c>
      <c r="BI145">
        <v>5</v>
      </c>
      <c r="BJ145" t="s">
        <v>3245</v>
      </c>
      <c r="BK145" t="s">
        <v>3246</v>
      </c>
      <c r="BL145" t="s">
        <v>3247</v>
      </c>
      <c r="BM145" t="s">
        <v>3248</v>
      </c>
      <c r="BN145" t="s">
        <v>74</v>
      </c>
      <c r="BO145" t="s">
        <v>2726</v>
      </c>
      <c r="BP145" t="s">
        <v>74</v>
      </c>
      <c r="BQ145" t="s">
        <v>74</v>
      </c>
      <c r="BR145" t="s">
        <v>104</v>
      </c>
      <c r="BS145" t="s">
        <v>3249</v>
      </c>
      <c r="BT145" t="str">
        <f>HYPERLINK("https%3A%2F%2Fwww.webofscience.com%2Fwos%2Fwoscc%2Ffull-record%2FWOS:000735660900003","View Full Record in Web of Science")</f>
        <v>View Full Record in Web of Science</v>
      </c>
    </row>
    <row r="146" spans="1:72" x14ac:dyDescent="0.15">
      <c r="A146" t="s">
        <v>72</v>
      </c>
      <c r="B146" t="s">
        <v>3250</v>
      </c>
      <c r="C146" t="s">
        <v>74</v>
      </c>
      <c r="D146" t="s">
        <v>74</v>
      </c>
      <c r="E146" t="s">
        <v>74</v>
      </c>
      <c r="F146" t="s">
        <v>3251</v>
      </c>
      <c r="G146" t="s">
        <v>74</v>
      </c>
      <c r="H146" t="s">
        <v>74</v>
      </c>
      <c r="I146" t="s">
        <v>3252</v>
      </c>
      <c r="J146" t="s">
        <v>3253</v>
      </c>
      <c r="K146" t="s">
        <v>74</v>
      </c>
      <c r="L146" t="s">
        <v>74</v>
      </c>
      <c r="M146" t="s">
        <v>78</v>
      </c>
      <c r="N146" t="s">
        <v>79</v>
      </c>
      <c r="O146" t="s">
        <v>74</v>
      </c>
      <c r="P146" t="s">
        <v>74</v>
      </c>
      <c r="Q146" t="s">
        <v>74</v>
      </c>
      <c r="R146" t="s">
        <v>74</v>
      </c>
      <c r="S146" t="s">
        <v>74</v>
      </c>
      <c r="T146" t="s">
        <v>3254</v>
      </c>
      <c r="U146" t="s">
        <v>3255</v>
      </c>
      <c r="V146" t="s">
        <v>3256</v>
      </c>
      <c r="W146" t="s">
        <v>3257</v>
      </c>
      <c r="X146" t="s">
        <v>3258</v>
      </c>
      <c r="Y146" t="s">
        <v>3259</v>
      </c>
      <c r="Z146" t="s">
        <v>3260</v>
      </c>
      <c r="AA146" t="s">
        <v>3261</v>
      </c>
      <c r="AB146" t="s">
        <v>3262</v>
      </c>
      <c r="AC146" t="s">
        <v>3263</v>
      </c>
      <c r="AD146" t="s">
        <v>3264</v>
      </c>
      <c r="AE146" t="s">
        <v>3265</v>
      </c>
      <c r="AF146" t="s">
        <v>74</v>
      </c>
      <c r="AG146">
        <v>107</v>
      </c>
      <c r="AH146">
        <v>13</v>
      </c>
      <c r="AI146">
        <v>13</v>
      </c>
      <c r="AJ146">
        <v>0</v>
      </c>
      <c r="AK146">
        <v>5</v>
      </c>
      <c r="AL146" t="s">
        <v>890</v>
      </c>
      <c r="AM146" t="s">
        <v>891</v>
      </c>
      <c r="AN146" t="s">
        <v>892</v>
      </c>
      <c r="AO146" t="s">
        <v>3266</v>
      </c>
      <c r="AP146" t="s">
        <v>3267</v>
      </c>
      <c r="AQ146" t="s">
        <v>74</v>
      </c>
      <c r="AR146" t="s">
        <v>3268</v>
      </c>
      <c r="AS146" t="s">
        <v>3269</v>
      </c>
      <c r="AT146" t="s">
        <v>707</v>
      </c>
      <c r="AU146">
        <v>2021</v>
      </c>
      <c r="AV146">
        <v>162</v>
      </c>
      <c r="AW146" t="s">
        <v>74</v>
      </c>
      <c r="AX146" t="s">
        <v>74</v>
      </c>
      <c r="AY146" t="s">
        <v>74</v>
      </c>
      <c r="AZ146" t="s">
        <v>74</v>
      </c>
      <c r="BA146" t="s">
        <v>74</v>
      </c>
      <c r="BB146" t="s">
        <v>74</v>
      </c>
      <c r="BC146" t="s">
        <v>74</v>
      </c>
      <c r="BD146">
        <v>101794</v>
      </c>
      <c r="BE146" t="s">
        <v>3270</v>
      </c>
      <c r="BF146" t="str">
        <f>HYPERLINK("http://dx.doi.org/10.1016/j.ocemod.2021.101794","http://dx.doi.org/10.1016/j.ocemod.2021.101794")</f>
        <v>http://dx.doi.org/10.1016/j.ocemod.2021.101794</v>
      </c>
      <c r="BG146" t="s">
        <v>74</v>
      </c>
      <c r="BH146" t="s">
        <v>514</v>
      </c>
      <c r="BI146">
        <v>16</v>
      </c>
      <c r="BJ146" t="s">
        <v>3271</v>
      </c>
      <c r="BK146" t="s">
        <v>101</v>
      </c>
      <c r="BL146" t="s">
        <v>3271</v>
      </c>
      <c r="BM146" t="s">
        <v>3272</v>
      </c>
      <c r="BN146" t="s">
        <v>74</v>
      </c>
      <c r="BO146" t="s">
        <v>3273</v>
      </c>
      <c r="BP146" t="s">
        <v>74</v>
      </c>
      <c r="BQ146" t="s">
        <v>74</v>
      </c>
      <c r="BR146" t="s">
        <v>104</v>
      </c>
      <c r="BS146" t="s">
        <v>3274</v>
      </c>
      <c r="BT146" t="str">
        <f>HYPERLINK("https%3A%2F%2Fwww.webofscience.com%2Fwos%2Fwoscc%2Ffull-record%2FWOS:000652739800005","View Full Record in Web of Science")</f>
        <v>View Full Record in Web of Science</v>
      </c>
    </row>
    <row r="147" spans="1:72" x14ac:dyDescent="0.15">
      <c r="A147" t="s">
        <v>72</v>
      </c>
      <c r="B147" t="s">
        <v>3275</v>
      </c>
      <c r="C147" t="s">
        <v>74</v>
      </c>
      <c r="D147" t="s">
        <v>74</v>
      </c>
      <c r="E147" t="s">
        <v>74</v>
      </c>
      <c r="F147" t="s">
        <v>3276</v>
      </c>
      <c r="G147" t="s">
        <v>74</v>
      </c>
      <c r="H147" t="s">
        <v>74</v>
      </c>
      <c r="I147" t="s">
        <v>3277</v>
      </c>
      <c r="J147" t="s">
        <v>3278</v>
      </c>
      <c r="K147" t="s">
        <v>74</v>
      </c>
      <c r="L147" t="s">
        <v>74</v>
      </c>
      <c r="M147" t="s">
        <v>78</v>
      </c>
      <c r="N147" t="s">
        <v>79</v>
      </c>
      <c r="O147" t="s">
        <v>74</v>
      </c>
      <c r="P147" t="s">
        <v>74</v>
      </c>
      <c r="Q147" t="s">
        <v>74</v>
      </c>
      <c r="R147" t="s">
        <v>74</v>
      </c>
      <c r="S147" t="s">
        <v>74</v>
      </c>
      <c r="T147" t="s">
        <v>3279</v>
      </c>
      <c r="U147" t="s">
        <v>3280</v>
      </c>
      <c r="V147" t="s">
        <v>3281</v>
      </c>
      <c r="W147" t="s">
        <v>3282</v>
      </c>
      <c r="X147" t="s">
        <v>3283</v>
      </c>
      <c r="Y147" t="s">
        <v>3284</v>
      </c>
      <c r="Z147" t="s">
        <v>3285</v>
      </c>
      <c r="AA147" t="s">
        <v>3286</v>
      </c>
      <c r="AB147" t="s">
        <v>3287</v>
      </c>
      <c r="AC147" t="s">
        <v>3288</v>
      </c>
      <c r="AD147" t="s">
        <v>3289</v>
      </c>
      <c r="AE147" t="s">
        <v>3290</v>
      </c>
      <c r="AF147" t="s">
        <v>74</v>
      </c>
      <c r="AG147">
        <v>72</v>
      </c>
      <c r="AH147">
        <v>12</v>
      </c>
      <c r="AI147">
        <v>12</v>
      </c>
      <c r="AJ147">
        <v>1</v>
      </c>
      <c r="AK147">
        <v>19</v>
      </c>
      <c r="AL147" t="s">
        <v>3291</v>
      </c>
      <c r="AM147" t="s">
        <v>3292</v>
      </c>
      <c r="AN147" t="s">
        <v>3293</v>
      </c>
      <c r="AO147" t="s">
        <v>3294</v>
      </c>
      <c r="AP147" t="s">
        <v>3295</v>
      </c>
      <c r="AQ147" t="s">
        <v>74</v>
      </c>
      <c r="AR147" t="s">
        <v>3278</v>
      </c>
      <c r="AS147" t="s">
        <v>3296</v>
      </c>
      <c r="AT147" t="s">
        <v>127</v>
      </c>
      <c r="AU147">
        <v>2021</v>
      </c>
      <c r="AV147">
        <v>25</v>
      </c>
      <c r="AW147">
        <v>3</v>
      </c>
      <c r="AX147" t="s">
        <v>74</v>
      </c>
      <c r="AY147" t="s">
        <v>74</v>
      </c>
      <c r="AZ147" t="s">
        <v>74</v>
      </c>
      <c r="BA147" t="s">
        <v>74</v>
      </c>
      <c r="BB147">
        <v>257</v>
      </c>
      <c r="BC147">
        <v>265</v>
      </c>
      <c r="BD147" t="s">
        <v>74</v>
      </c>
      <c r="BE147" t="s">
        <v>3297</v>
      </c>
      <c r="BF147" t="str">
        <f>HYPERLINK("http://dx.doi.org/10.1007/s00792-021-01226-z","http://dx.doi.org/10.1007/s00792-021-01226-z")</f>
        <v>http://dx.doi.org/10.1007/s00792-021-01226-z</v>
      </c>
      <c r="BG147" t="s">
        <v>74</v>
      </c>
      <c r="BH147" t="s">
        <v>514</v>
      </c>
      <c r="BI147">
        <v>9</v>
      </c>
      <c r="BJ147" t="s">
        <v>3298</v>
      </c>
      <c r="BK147" t="s">
        <v>101</v>
      </c>
      <c r="BL147" t="s">
        <v>3298</v>
      </c>
      <c r="BM147" t="s">
        <v>3299</v>
      </c>
      <c r="BN147">
        <v>33837855</v>
      </c>
      <c r="BO147" t="s">
        <v>74</v>
      </c>
      <c r="BP147" t="s">
        <v>74</v>
      </c>
      <c r="BQ147" t="s">
        <v>74</v>
      </c>
      <c r="BR147" t="s">
        <v>104</v>
      </c>
      <c r="BS147" t="s">
        <v>3300</v>
      </c>
      <c r="BT147" t="str">
        <f>HYPERLINK("https%3A%2F%2Fwww.webofscience.com%2Fwos%2Fwoscc%2Ffull-record%2FWOS:000638823700001","View Full Record in Web of Science")</f>
        <v>View Full Record in Web of Science</v>
      </c>
    </row>
    <row r="148" spans="1:72" x14ac:dyDescent="0.15">
      <c r="A148" t="s">
        <v>72</v>
      </c>
      <c r="B148" t="s">
        <v>3301</v>
      </c>
      <c r="C148" t="s">
        <v>74</v>
      </c>
      <c r="D148" t="s">
        <v>74</v>
      </c>
      <c r="E148" t="s">
        <v>74</v>
      </c>
      <c r="F148" t="s">
        <v>3302</v>
      </c>
      <c r="G148" t="s">
        <v>74</v>
      </c>
      <c r="H148" t="s">
        <v>74</v>
      </c>
      <c r="I148" t="s">
        <v>3303</v>
      </c>
      <c r="J148" t="s">
        <v>563</v>
      </c>
      <c r="K148" t="s">
        <v>74</v>
      </c>
      <c r="L148" t="s">
        <v>74</v>
      </c>
      <c r="M148" t="s">
        <v>78</v>
      </c>
      <c r="N148" t="s">
        <v>79</v>
      </c>
      <c r="O148" t="s">
        <v>74</v>
      </c>
      <c r="P148" t="s">
        <v>74</v>
      </c>
      <c r="Q148" t="s">
        <v>74</v>
      </c>
      <c r="R148" t="s">
        <v>74</v>
      </c>
      <c r="S148" t="s">
        <v>74</v>
      </c>
      <c r="T148" t="s">
        <v>3304</v>
      </c>
      <c r="U148" t="s">
        <v>74</v>
      </c>
      <c r="V148" t="s">
        <v>3305</v>
      </c>
      <c r="W148" t="s">
        <v>3306</v>
      </c>
      <c r="X148" t="s">
        <v>3307</v>
      </c>
      <c r="Y148" t="s">
        <v>3308</v>
      </c>
      <c r="Z148" t="s">
        <v>3309</v>
      </c>
      <c r="AA148" t="s">
        <v>3310</v>
      </c>
      <c r="AB148" t="s">
        <v>3311</v>
      </c>
      <c r="AC148" t="s">
        <v>3312</v>
      </c>
      <c r="AD148" t="s">
        <v>3313</v>
      </c>
      <c r="AE148" t="s">
        <v>3314</v>
      </c>
      <c r="AF148" t="s">
        <v>74</v>
      </c>
      <c r="AG148">
        <v>63</v>
      </c>
      <c r="AH148">
        <v>10</v>
      </c>
      <c r="AI148">
        <v>10</v>
      </c>
      <c r="AJ148">
        <v>1</v>
      </c>
      <c r="AK148">
        <v>20</v>
      </c>
      <c r="AL148" t="s">
        <v>576</v>
      </c>
      <c r="AM148" t="s">
        <v>577</v>
      </c>
      <c r="AN148" t="s">
        <v>578</v>
      </c>
      <c r="AO148" t="s">
        <v>579</v>
      </c>
      <c r="AP148" t="s">
        <v>580</v>
      </c>
      <c r="AQ148" t="s">
        <v>74</v>
      </c>
      <c r="AR148" t="s">
        <v>581</v>
      </c>
      <c r="AS148" t="s">
        <v>582</v>
      </c>
      <c r="AT148" t="s">
        <v>3315</v>
      </c>
      <c r="AU148">
        <v>2021</v>
      </c>
      <c r="AV148">
        <v>764</v>
      </c>
      <c r="AW148" t="s">
        <v>74</v>
      </c>
      <c r="AX148" t="s">
        <v>74</v>
      </c>
      <c r="AY148" t="s">
        <v>74</v>
      </c>
      <c r="AZ148" t="s">
        <v>74</v>
      </c>
      <c r="BA148" t="s">
        <v>74</v>
      </c>
      <c r="BB148" t="s">
        <v>74</v>
      </c>
      <c r="BC148" t="s">
        <v>74</v>
      </c>
      <c r="BD148">
        <v>142798</v>
      </c>
      <c r="BE148" t="s">
        <v>3316</v>
      </c>
      <c r="BF148" t="str">
        <f>HYPERLINK("http://dx.doi.org/10.1016/j.scitotenv.2020.142798","http://dx.doi.org/10.1016/j.scitotenv.2020.142798")</f>
        <v>http://dx.doi.org/10.1016/j.scitotenv.2020.142798</v>
      </c>
      <c r="BG148" t="s">
        <v>74</v>
      </c>
      <c r="BH148" t="s">
        <v>74</v>
      </c>
      <c r="BI148">
        <v>14</v>
      </c>
      <c r="BJ148" t="s">
        <v>224</v>
      </c>
      <c r="BK148" t="s">
        <v>101</v>
      </c>
      <c r="BL148" t="s">
        <v>225</v>
      </c>
      <c r="BM148" t="s">
        <v>3317</v>
      </c>
      <c r="BN148">
        <v>33077209</v>
      </c>
      <c r="BO148" t="s">
        <v>712</v>
      </c>
      <c r="BP148" t="s">
        <v>74</v>
      </c>
      <c r="BQ148" t="s">
        <v>74</v>
      </c>
      <c r="BR148" t="s">
        <v>104</v>
      </c>
      <c r="BS148" t="s">
        <v>3318</v>
      </c>
      <c r="BT148" t="str">
        <f>HYPERLINK("https%3A%2F%2Fwww.webofscience.com%2Fwos%2Fwoscc%2Ffull-record%2FWOS:000614249600003","View Full Record in Web of Science")</f>
        <v>View Full Record in Web of Science</v>
      </c>
    </row>
    <row r="149" spans="1:72" x14ac:dyDescent="0.15">
      <c r="A149" t="s">
        <v>72</v>
      </c>
      <c r="B149" t="s">
        <v>3319</v>
      </c>
      <c r="C149" t="s">
        <v>74</v>
      </c>
      <c r="D149" t="s">
        <v>74</v>
      </c>
      <c r="E149" t="s">
        <v>74</v>
      </c>
      <c r="F149" t="s">
        <v>3320</v>
      </c>
      <c r="G149" t="s">
        <v>74</v>
      </c>
      <c r="H149" t="s">
        <v>74</v>
      </c>
      <c r="I149" t="s">
        <v>3321</v>
      </c>
      <c r="J149" t="s">
        <v>563</v>
      </c>
      <c r="K149" t="s">
        <v>74</v>
      </c>
      <c r="L149" t="s">
        <v>74</v>
      </c>
      <c r="M149" t="s">
        <v>78</v>
      </c>
      <c r="N149" t="s">
        <v>79</v>
      </c>
      <c r="O149" t="s">
        <v>74</v>
      </c>
      <c r="P149" t="s">
        <v>74</v>
      </c>
      <c r="Q149" t="s">
        <v>74</v>
      </c>
      <c r="R149" t="s">
        <v>74</v>
      </c>
      <c r="S149" t="s">
        <v>74</v>
      </c>
      <c r="T149" t="s">
        <v>3322</v>
      </c>
      <c r="U149" t="s">
        <v>74</v>
      </c>
      <c r="V149" t="s">
        <v>3323</v>
      </c>
      <c r="W149" t="s">
        <v>3324</v>
      </c>
      <c r="X149" t="s">
        <v>3325</v>
      </c>
      <c r="Y149" t="s">
        <v>3326</v>
      </c>
      <c r="Z149" t="s">
        <v>3327</v>
      </c>
      <c r="AA149" t="s">
        <v>74</v>
      </c>
      <c r="AB149" t="s">
        <v>3328</v>
      </c>
      <c r="AC149" t="s">
        <v>3329</v>
      </c>
      <c r="AD149" t="s">
        <v>3330</v>
      </c>
      <c r="AE149" t="s">
        <v>3331</v>
      </c>
      <c r="AF149" t="s">
        <v>74</v>
      </c>
      <c r="AG149">
        <v>68</v>
      </c>
      <c r="AH149">
        <v>3</v>
      </c>
      <c r="AI149">
        <v>4</v>
      </c>
      <c r="AJ149">
        <v>1</v>
      </c>
      <c r="AK149">
        <v>37</v>
      </c>
      <c r="AL149" t="s">
        <v>576</v>
      </c>
      <c r="AM149" t="s">
        <v>577</v>
      </c>
      <c r="AN149" t="s">
        <v>578</v>
      </c>
      <c r="AO149" t="s">
        <v>579</v>
      </c>
      <c r="AP149" t="s">
        <v>580</v>
      </c>
      <c r="AQ149" t="s">
        <v>74</v>
      </c>
      <c r="AR149" t="s">
        <v>581</v>
      </c>
      <c r="AS149" t="s">
        <v>582</v>
      </c>
      <c r="AT149" t="s">
        <v>3315</v>
      </c>
      <c r="AU149">
        <v>2021</v>
      </c>
      <c r="AV149">
        <v>764</v>
      </c>
      <c r="AW149" t="s">
        <v>74</v>
      </c>
      <c r="AX149" t="s">
        <v>74</v>
      </c>
      <c r="AY149" t="s">
        <v>74</v>
      </c>
      <c r="AZ149" t="s">
        <v>74</v>
      </c>
      <c r="BA149" t="s">
        <v>74</v>
      </c>
      <c r="BB149" t="s">
        <v>74</v>
      </c>
      <c r="BC149" t="s">
        <v>74</v>
      </c>
      <c r="BD149">
        <v>142833</v>
      </c>
      <c r="BE149" t="s">
        <v>3332</v>
      </c>
      <c r="BF149" t="str">
        <f>HYPERLINK("http://dx.doi.org/10.1016/j.scitotenv.2020.142833","http://dx.doi.org/10.1016/j.scitotenv.2020.142833")</f>
        <v>http://dx.doi.org/10.1016/j.scitotenv.2020.142833</v>
      </c>
      <c r="BG149" t="s">
        <v>74</v>
      </c>
      <c r="BH149" t="s">
        <v>74</v>
      </c>
      <c r="BI149">
        <v>15</v>
      </c>
      <c r="BJ149" t="s">
        <v>224</v>
      </c>
      <c r="BK149" t="s">
        <v>101</v>
      </c>
      <c r="BL149" t="s">
        <v>225</v>
      </c>
      <c r="BM149" t="s">
        <v>3317</v>
      </c>
      <c r="BN149">
        <v>33127122</v>
      </c>
      <c r="BO149" t="s">
        <v>74</v>
      </c>
      <c r="BP149" t="s">
        <v>74</v>
      </c>
      <c r="BQ149" t="s">
        <v>74</v>
      </c>
      <c r="BR149" t="s">
        <v>104</v>
      </c>
      <c r="BS149" t="s">
        <v>3333</v>
      </c>
      <c r="BT149" t="str">
        <f>HYPERLINK("https%3A%2F%2Fwww.webofscience.com%2Fwos%2Fwoscc%2Ffull-record%2FWOS:000614249600031","View Full Record in Web of Science")</f>
        <v>View Full Record in Web of Science</v>
      </c>
    </row>
    <row r="150" spans="1:72" x14ac:dyDescent="0.15">
      <c r="A150" t="s">
        <v>72</v>
      </c>
      <c r="B150" t="s">
        <v>3334</v>
      </c>
      <c r="C150" t="s">
        <v>74</v>
      </c>
      <c r="D150" t="s">
        <v>74</v>
      </c>
      <c r="E150" t="s">
        <v>74</v>
      </c>
      <c r="F150" t="s">
        <v>3335</v>
      </c>
      <c r="G150" t="s">
        <v>74</v>
      </c>
      <c r="H150" t="s">
        <v>74</v>
      </c>
      <c r="I150" t="s">
        <v>3336</v>
      </c>
      <c r="J150" t="s">
        <v>3337</v>
      </c>
      <c r="K150" t="s">
        <v>74</v>
      </c>
      <c r="L150" t="s">
        <v>74</v>
      </c>
      <c r="M150" t="s">
        <v>78</v>
      </c>
      <c r="N150" t="s">
        <v>79</v>
      </c>
      <c r="O150" t="s">
        <v>74</v>
      </c>
      <c r="P150" t="s">
        <v>74</v>
      </c>
      <c r="Q150" t="s">
        <v>74</v>
      </c>
      <c r="R150" t="s">
        <v>74</v>
      </c>
      <c r="S150" t="s">
        <v>74</v>
      </c>
      <c r="T150" t="s">
        <v>3338</v>
      </c>
      <c r="U150" t="s">
        <v>3339</v>
      </c>
      <c r="V150" t="s">
        <v>3340</v>
      </c>
      <c r="W150" t="s">
        <v>3341</v>
      </c>
      <c r="X150" t="s">
        <v>3342</v>
      </c>
      <c r="Y150" t="s">
        <v>3343</v>
      </c>
      <c r="Z150" t="s">
        <v>2652</v>
      </c>
      <c r="AA150" t="s">
        <v>74</v>
      </c>
      <c r="AB150" t="s">
        <v>3344</v>
      </c>
      <c r="AC150" t="s">
        <v>3345</v>
      </c>
      <c r="AD150" t="s">
        <v>3346</v>
      </c>
      <c r="AE150" t="s">
        <v>3347</v>
      </c>
      <c r="AF150" t="s">
        <v>74</v>
      </c>
      <c r="AG150">
        <v>46</v>
      </c>
      <c r="AH150">
        <v>7</v>
      </c>
      <c r="AI150">
        <v>9</v>
      </c>
      <c r="AJ150">
        <v>0</v>
      </c>
      <c r="AK150">
        <v>14</v>
      </c>
      <c r="AL150" t="s">
        <v>166</v>
      </c>
      <c r="AM150" t="s">
        <v>167</v>
      </c>
      <c r="AN150" t="s">
        <v>168</v>
      </c>
      <c r="AO150" t="s">
        <v>3348</v>
      </c>
      <c r="AP150" t="s">
        <v>3349</v>
      </c>
      <c r="AQ150" t="s">
        <v>74</v>
      </c>
      <c r="AR150" t="s">
        <v>3350</v>
      </c>
      <c r="AS150" t="s">
        <v>3351</v>
      </c>
      <c r="AT150" t="s">
        <v>1462</v>
      </c>
      <c r="AU150">
        <v>2021</v>
      </c>
      <c r="AV150">
        <v>52</v>
      </c>
      <c r="AW150">
        <v>3</v>
      </c>
      <c r="AX150" t="s">
        <v>74</v>
      </c>
      <c r="AY150" t="s">
        <v>74</v>
      </c>
      <c r="AZ150" t="s">
        <v>74</v>
      </c>
      <c r="BA150" t="s">
        <v>74</v>
      </c>
      <c r="BB150">
        <v>1275</v>
      </c>
      <c r="BC150">
        <v>1285</v>
      </c>
      <c r="BD150" t="s">
        <v>74</v>
      </c>
      <c r="BE150" t="s">
        <v>3352</v>
      </c>
      <c r="BF150" t="str">
        <f>HYPERLINK("http://dx.doi.org/10.1007/s42770-021-00475-6","http://dx.doi.org/10.1007/s42770-021-00475-6")</f>
        <v>http://dx.doi.org/10.1007/s42770-021-00475-6</v>
      </c>
      <c r="BG150" t="s">
        <v>74</v>
      </c>
      <c r="BH150" t="s">
        <v>514</v>
      </c>
      <c r="BI150">
        <v>11</v>
      </c>
      <c r="BJ150" t="s">
        <v>396</v>
      </c>
      <c r="BK150" t="s">
        <v>101</v>
      </c>
      <c r="BL150" t="s">
        <v>396</v>
      </c>
      <c r="BM150" t="s">
        <v>3353</v>
      </c>
      <c r="BN150">
        <v>33835420</v>
      </c>
      <c r="BO150" t="s">
        <v>398</v>
      </c>
      <c r="BP150" t="s">
        <v>74</v>
      </c>
      <c r="BQ150" t="s">
        <v>74</v>
      </c>
      <c r="BR150" t="s">
        <v>104</v>
      </c>
      <c r="BS150" t="s">
        <v>3354</v>
      </c>
      <c r="BT150" t="str">
        <f>HYPERLINK("https%3A%2F%2Fwww.webofscience.com%2Fwos%2Fwoscc%2Ffull-record%2FWOS:000638472800001","View Full Record in Web of Science")</f>
        <v>View Full Record in Web of Science</v>
      </c>
    </row>
    <row r="151" spans="1:72" x14ac:dyDescent="0.15">
      <c r="A151" t="s">
        <v>72</v>
      </c>
      <c r="B151" t="s">
        <v>3355</v>
      </c>
      <c r="C151" t="s">
        <v>74</v>
      </c>
      <c r="D151" t="s">
        <v>74</v>
      </c>
      <c r="E151" t="s">
        <v>74</v>
      </c>
      <c r="F151" t="s">
        <v>3356</v>
      </c>
      <c r="G151" t="s">
        <v>74</v>
      </c>
      <c r="H151" t="s">
        <v>74</v>
      </c>
      <c r="I151" t="s">
        <v>3357</v>
      </c>
      <c r="J151" t="s">
        <v>1421</v>
      </c>
      <c r="K151" t="s">
        <v>74</v>
      </c>
      <c r="L151" t="s">
        <v>74</v>
      </c>
      <c r="M151" t="s">
        <v>78</v>
      </c>
      <c r="N151" t="s">
        <v>79</v>
      </c>
      <c r="O151" t="s">
        <v>74</v>
      </c>
      <c r="P151" t="s">
        <v>74</v>
      </c>
      <c r="Q151" t="s">
        <v>74</v>
      </c>
      <c r="R151" t="s">
        <v>74</v>
      </c>
      <c r="S151" t="s">
        <v>74</v>
      </c>
      <c r="T151" t="s">
        <v>3358</v>
      </c>
      <c r="U151" t="s">
        <v>74</v>
      </c>
      <c r="V151" t="s">
        <v>3359</v>
      </c>
      <c r="W151" t="s">
        <v>3360</v>
      </c>
      <c r="X151" t="s">
        <v>3361</v>
      </c>
      <c r="Y151" t="s">
        <v>3362</v>
      </c>
      <c r="Z151" t="s">
        <v>3363</v>
      </c>
      <c r="AA151" t="s">
        <v>3364</v>
      </c>
      <c r="AB151" t="s">
        <v>3365</v>
      </c>
      <c r="AC151" t="s">
        <v>3366</v>
      </c>
      <c r="AD151" t="s">
        <v>3367</v>
      </c>
      <c r="AE151" t="s">
        <v>3368</v>
      </c>
      <c r="AF151" t="s">
        <v>74</v>
      </c>
      <c r="AG151">
        <v>110</v>
      </c>
      <c r="AH151">
        <v>3</v>
      </c>
      <c r="AI151">
        <v>3</v>
      </c>
      <c r="AJ151">
        <v>4</v>
      </c>
      <c r="AK151">
        <v>12</v>
      </c>
      <c r="AL151" t="s">
        <v>166</v>
      </c>
      <c r="AM151" t="s">
        <v>167</v>
      </c>
      <c r="AN151" t="s">
        <v>168</v>
      </c>
      <c r="AO151" t="s">
        <v>1433</v>
      </c>
      <c r="AP151" t="s">
        <v>1434</v>
      </c>
      <c r="AQ151" t="s">
        <v>74</v>
      </c>
      <c r="AR151" t="s">
        <v>1435</v>
      </c>
      <c r="AS151" t="s">
        <v>1436</v>
      </c>
      <c r="AT151" t="s">
        <v>127</v>
      </c>
      <c r="AU151">
        <v>2021</v>
      </c>
      <c r="AV151">
        <v>44</v>
      </c>
      <c r="AW151">
        <v>5</v>
      </c>
      <c r="AX151" t="s">
        <v>74</v>
      </c>
      <c r="AY151" t="s">
        <v>74</v>
      </c>
      <c r="AZ151" t="s">
        <v>74</v>
      </c>
      <c r="BA151" t="s">
        <v>74</v>
      </c>
      <c r="BB151">
        <v>941</v>
      </c>
      <c r="BC151">
        <v>957</v>
      </c>
      <c r="BD151" t="s">
        <v>74</v>
      </c>
      <c r="BE151" t="s">
        <v>3369</v>
      </c>
      <c r="BF151" t="str">
        <f>HYPERLINK("http://dx.doi.org/10.1007/s00300-021-02850-3","http://dx.doi.org/10.1007/s00300-021-02850-3")</f>
        <v>http://dx.doi.org/10.1007/s00300-021-02850-3</v>
      </c>
      <c r="BG151" t="s">
        <v>74</v>
      </c>
      <c r="BH151" t="s">
        <v>514</v>
      </c>
      <c r="BI151">
        <v>17</v>
      </c>
      <c r="BJ151" t="s">
        <v>1438</v>
      </c>
      <c r="BK151" t="s">
        <v>101</v>
      </c>
      <c r="BL151" t="s">
        <v>1439</v>
      </c>
      <c r="BM151" t="s">
        <v>2150</v>
      </c>
      <c r="BN151" t="s">
        <v>74</v>
      </c>
      <c r="BO151" t="s">
        <v>496</v>
      </c>
      <c r="BP151" t="s">
        <v>74</v>
      </c>
      <c r="BQ151" t="s">
        <v>74</v>
      </c>
      <c r="BR151" t="s">
        <v>104</v>
      </c>
      <c r="BS151" t="s">
        <v>3370</v>
      </c>
      <c r="BT151" t="str">
        <f>HYPERLINK("https%3A%2F%2Fwww.webofscience.com%2Fwos%2Fwoscc%2Ffull-record%2FWOS:000638492700001","View Full Record in Web of Science")</f>
        <v>View Full Record in Web of Science</v>
      </c>
    </row>
    <row r="152" spans="1:72" x14ac:dyDescent="0.15">
      <c r="A152" t="s">
        <v>72</v>
      </c>
      <c r="B152" t="s">
        <v>3371</v>
      </c>
      <c r="C152" t="s">
        <v>74</v>
      </c>
      <c r="D152" t="s">
        <v>74</v>
      </c>
      <c r="E152" t="s">
        <v>74</v>
      </c>
      <c r="F152" t="s">
        <v>3372</v>
      </c>
      <c r="G152" t="s">
        <v>74</v>
      </c>
      <c r="H152" t="s">
        <v>74</v>
      </c>
      <c r="I152" t="s">
        <v>3373</v>
      </c>
      <c r="J152" t="s">
        <v>3374</v>
      </c>
      <c r="K152" t="s">
        <v>74</v>
      </c>
      <c r="L152" t="s">
        <v>74</v>
      </c>
      <c r="M152" t="s">
        <v>78</v>
      </c>
      <c r="N152" t="s">
        <v>79</v>
      </c>
      <c r="O152" t="s">
        <v>74</v>
      </c>
      <c r="P152" t="s">
        <v>74</v>
      </c>
      <c r="Q152" t="s">
        <v>74</v>
      </c>
      <c r="R152" t="s">
        <v>74</v>
      </c>
      <c r="S152" t="s">
        <v>74</v>
      </c>
      <c r="T152" t="s">
        <v>3375</v>
      </c>
      <c r="U152" t="s">
        <v>74</v>
      </c>
      <c r="V152" t="s">
        <v>3376</v>
      </c>
      <c r="W152" t="s">
        <v>3377</v>
      </c>
      <c r="X152" t="s">
        <v>3378</v>
      </c>
      <c r="Y152" t="s">
        <v>3379</v>
      </c>
      <c r="Z152" t="s">
        <v>3380</v>
      </c>
      <c r="AA152" t="s">
        <v>3381</v>
      </c>
      <c r="AB152" t="s">
        <v>3382</v>
      </c>
      <c r="AC152" t="s">
        <v>3383</v>
      </c>
      <c r="AD152" t="s">
        <v>3384</v>
      </c>
      <c r="AE152" t="s">
        <v>3385</v>
      </c>
      <c r="AF152" t="s">
        <v>74</v>
      </c>
      <c r="AG152">
        <v>30</v>
      </c>
      <c r="AH152">
        <v>6</v>
      </c>
      <c r="AI152">
        <v>6</v>
      </c>
      <c r="AJ152">
        <v>0</v>
      </c>
      <c r="AK152">
        <v>9</v>
      </c>
      <c r="AL152" t="s">
        <v>3386</v>
      </c>
      <c r="AM152" t="s">
        <v>3387</v>
      </c>
      <c r="AN152" t="s">
        <v>3388</v>
      </c>
      <c r="AO152" t="s">
        <v>3389</v>
      </c>
      <c r="AP152" t="s">
        <v>3390</v>
      </c>
      <c r="AQ152" t="s">
        <v>74</v>
      </c>
      <c r="AR152" t="s">
        <v>3391</v>
      </c>
      <c r="AS152" t="s">
        <v>3392</v>
      </c>
      <c r="AT152" t="s">
        <v>707</v>
      </c>
      <c r="AU152">
        <v>2021</v>
      </c>
      <c r="AV152">
        <v>44</v>
      </c>
      <c r="AW152">
        <v>2</v>
      </c>
      <c r="AX152" t="s">
        <v>74</v>
      </c>
      <c r="AY152" t="s">
        <v>74</v>
      </c>
      <c r="AZ152" t="s">
        <v>74</v>
      </c>
      <c r="BA152" t="s">
        <v>74</v>
      </c>
      <c r="BB152">
        <v>429</v>
      </c>
      <c r="BC152">
        <v>438</v>
      </c>
      <c r="BD152" t="s">
        <v>74</v>
      </c>
      <c r="BE152" t="s">
        <v>3393</v>
      </c>
      <c r="BF152" t="str">
        <f>HYPERLINK("http://dx.doi.org/10.1007/s40415-021-00712-0","http://dx.doi.org/10.1007/s40415-021-00712-0")</f>
        <v>http://dx.doi.org/10.1007/s40415-021-00712-0</v>
      </c>
      <c r="BG152" t="s">
        <v>74</v>
      </c>
      <c r="BH152" t="s">
        <v>514</v>
      </c>
      <c r="BI152">
        <v>10</v>
      </c>
      <c r="BJ152" t="s">
        <v>2508</v>
      </c>
      <c r="BK152" t="s">
        <v>101</v>
      </c>
      <c r="BL152" t="s">
        <v>2508</v>
      </c>
      <c r="BM152" t="s">
        <v>3394</v>
      </c>
      <c r="BN152" t="s">
        <v>74</v>
      </c>
      <c r="BO152" t="s">
        <v>74</v>
      </c>
      <c r="BP152" t="s">
        <v>74</v>
      </c>
      <c r="BQ152" t="s">
        <v>74</v>
      </c>
      <c r="BR152" t="s">
        <v>104</v>
      </c>
      <c r="BS152" t="s">
        <v>3395</v>
      </c>
      <c r="BT152" t="str">
        <f>HYPERLINK("https%3A%2F%2Fwww.webofscience.com%2Fwos%2Fwoscc%2Ffull-record%2FWOS:000638513300001","View Full Record in Web of Science")</f>
        <v>View Full Record in Web of Science</v>
      </c>
    </row>
    <row r="153" spans="1:72" x14ac:dyDescent="0.15">
      <c r="A153" t="s">
        <v>72</v>
      </c>
      <c r="B153" t="s">
        <v>3396</v>
      </c>
      <c r="C153" t="s">
        <v>74</v>
      </c>
      <c r="D153" t="s">
        <v>74</v>
      </c>
      <c r="E153" t="s">
        <v>74</v>
      </c>
      <c r="F153" t="s">
        <v>3397</v>
      </c>
      <c r="G153" t="s">
        <v>74</v>
      </c>
      <c r="H153" t="s">
        <v>74</v>
      </c>
      <c r="I153" t="s">
        <v>3398</v>
      </c>
      <c r="J153" t="s">
        <v>1045</v>
      </c>
      <c r="K153" t="s">
        <v>74</v>
      </c>
      <c r="L153" t="s">
        <v>74</v>
      </c>
      <c r="M153" t="s">
        <v>78</v>
      </c>
      <c r="N153" t="s">
        <v>79</v>
      </c>
      <c r="O153" t="s">
        <v>74</v>
      </c>
      <c r="P153" t="s">
        <v>74</v>
      </c>
      <c r="Q153" t="s">
        <v>74</v>
      </c>
      <c r="R153" t="s">
        <v>74</v>
      </c>
      <c r="S153" t="s">
        <v>74</v>
      </c>
      <c r="T153" t="s">
        <v>3399</v>
      </c>
      <c r="U153" t="s">
        <v>3400</v>
      </c>
      <c r="V153" t="s">
        <v>3401</v>
      </c>
      <c r="W153" t="s">
        <v>3402</v>
      </c>
      <c r="X153" t="s">
        <v>3403</v>
      </c>
      <c r="Y153" t="s">
        <v>3404</v>
      </c>
      <c r="Z153" t="s">
        <v>3405</v>
      </c>
      <c r="AA153" t="s">
        <v>3406</v>
      </c>
      <c r="AB153" t="s">
        <v>3407</v>
      </c>
      <c r="AC153" t="s">
        <v>3408</v>
      </c>
      <c r="AD153" t="s">
        <v>3409</v>
      </c>
      <c r="AE153" t="s">
        <v>3410</v>
      </c>
      <c r="AF153" t="s">
        <v>74</v>
      </c>
      <c r="AG153">
        <v>66</v>
      </c>
      <c r="AH153">
        <v>4</v>
      </c>
      <c r="AI153">
        <v>4</v>
      </c>
      <c r="AJ153">
        <v>1</v>
      </c>
      <c r="AK153">
        <v>6</v>
      </c>
      <c r="AL153" t="s">
        <v>1058</v>
      </c>
      <c r="AM153" t="s">
        <v>891</v>
      </c>
      <c r="AN153" t="s">
        <v>1059</v>
      </c>
      <c r="AO153" t="s">
        <v>1060</v>
      </c>
      <c r="AP153" t="s">
        <v>1061</v>
      </c>
      <c r="AQ153" t="s">
        <v>74</v>
      </c>
      <c r="AR153" t="s">
        <v>1062</v>
      </c>
      <c r="AS153" t="s">
        <v>1063</v>
      </c>
      <c r="AT153" t="s">
        <v>1683</v>
      </c>
      <c r="AU153">
        <v>2021</v>
      </c>
      <c r="AV153">
        <v>302</v>
      </c>
      <c r="AW153" t="s">
        <v>74</v>
      </c>
      <c r="AX153" t="s">
        <v>74</v>
      </c>
      <c r="AY153" t="s">
        <v>74</v>
      </c>
      <c r="AZ153" t="s">
        <v>74</v>
      </c>
      <c r="BA153" t="s">
        <v>74</v>
      </c>
      <c r="BB153">
        <v>46</v>
      </c>
      <c r="BC153">
        <v>60</v>
      </c>
      <c r="BD153" t="s">
        <v>74</v>
      </c>
      <c r="BE153" t="s">
        <v>3411</v>
      </c>
      <c r="BF153" t="str">
        <f>HYPERLINK("http://dx.doi.org/10.1016/j.gca.2021.03.016","http://dx.doi.org/10.1016/j.gca.2021.03.016")</f>
        <v>http://dx.doi.org/10.1016/j.gca.2021.03.016</v>
      </c>
      <c r="BG153" t="s">
        <v>74</v>
      </c>
      <c r="BH153" t="s">
        <v>514</v>
      </c>
      <c r="BI153">
        <v>15</v>
      </c>
      <c r="BJ153" t="s">
        <v>1066</v>
      </c>
      <c r="BK153" t="s">
        <v>101</v>
      </c>
      <c r="BL153" t="s">
        <v>1066</v>
      </c>
      <c r="BM153" t="s">
        <v>3412</v>
      </c>
      <c r="BN153" t="s">
        <v>74</v>
      </c>
      <c r="BO153" t="s">
        <v>712</v>
      </c>
      <c r="BP153" t="s">
        <v>74</v>
      </c>
      <c r="BQ153" t="s">
        <v>74</v>
      </c>
      <c r="BR153" t="s">
        <v>104</v>
      </c>
      <c r="BS153" t="s">
        <v>3413</v>
      </c>
      <c r="BT153" t="str">
        <f>HYPERLINK("https%3A%2F%2Fwww.webofscience.com%2Fwos%2Fwoscc%2Ffull-record%2FWOS:000645903700003","View Full Record in Web of Science")</f>
        <v>View Full Record in Web of Science</v>
      </c>
    </row>
    <row r="154" spans="1:72" x14ac:dyDescent="0.15">
      <c r="A154" t="s">
        <v>72</v>
      </c>
      <c r="B154" t="s">
        <v>3414</v>
      </c>
      <c r="C154" t="s">
        <v>74</v>
      </c>
      <c r="D154" t="s">
        <v>74</v>
      </c>
      <c r="E154" t="s">
        <v>74</v>
      </c>
      <c r="F154" t="s">
        <v>3415</v>
      </c>
      <c r="G154" t="s">
        <v>74</v>
      </c>
      <c r="H154" t="s">
        <v>74</v>
      </c>
      <c r="I154" t="s">
        <v>3416</v>
      </c>
      <c r="J154" t="s">
        <v>1692</v>
      </c>
      <c r="K154" t="s">
        <v>74</v>
      </c>
      <c r="L154" t="s">
        <v>74</v>
      </c>
      <c r="M154" t="s">
        <v>78</v>
      </c>
      <c r="N154" t="s">
        <v>79</v>
      </c>
      <c r="O154" t="s">
        <v>74</v>
      </c>
      <c r="P154" t="s">
        <v>74</v>
      </c>
      <c r="Q154" t="s">
        <v>74</v>
      </c>
      <c r="R154" t="s">
        <v>74</v>
      </c>
      <c r="S154" t="s">
        <v>74</v>
      </c>
      <c r="T154" t="s">
        <v>74</v>
      </c>
      <c r="U154" t="s">
        <v>3417</v>
      </c>
      <c r="V154" t="s">
        <v>3418</v>
      </c>
      <c r="W154" t="s">
        <v>3419</v>
      </c>
      <c r="X154" t="s">
        <v>3420</v>
      </c>
      <c r="Y154" t="s">
        <v>3421</v>
      </c>
      <c r="Z154" t="s">
        <v>3422</v>
      </c>
      <c r="AA154" t="s">
        <v>3423</v>
      </c>
      <c r="AB154" t="s">
        <v>3424</v>
      </c>
      <c r="AC154" t="s">
        <v>3425</v>
      </c>
      <c r="AD154" t="s">
        <v>3426</v>
      </c>
      <c r="AE154" t="s">
        <v>3427</v>
      </c>
      <c r="AF154" t="s">
        <v>74</v>
      </c>
      <c r="AG154">
        <v>85</v>
      </c>
      <c r="AH154">
        <v>25</v>
      </c>
      <c r="AI154">
        <v>26</v>
      </c>
      <c r="AJ154">
        <v>4</v>
      </c>
      <c r="AK154">
        <v>27</v>
      </c>
      <c r="AL154" t="s">
        <v>861</v>
      </c>
      <c r="AM154" t="s">
        <v>862</v>
      </c>
      <c r="AN154" t="s">
        <v>863</v>
      </c>
      <c r="AO154" t="s">
        <v>74</v>
      </c>
      <c r="AP154" t="s">
        <v>1704</v>
      </c>
      <c r="AQ154" t="s">
        <v>74</v>
      </c>
      <c r="AR154" t="s">
        <v>1705</v>
      </c>
      <c r="AS154" t="s">
        <v>1706</v>
      </c>
      <c r="AT154" t="s">
        <v>3428</v>
      </c>
      <c r="AU154">
        <v>2021</v>
      </c>
      <c r="AV154">
        <v>12</v>
      </c>
      <c r="AW154">
        <v>1</v>
      </c>
      <c r="AX154" t="s">
        <v>74</v>
      </c>
      <c r="AY154" t="s">
        <v>74</v>
      </c>
      <c r="AZ154" t="s">
        <v>74</v>
      </c>
      <c r="BA154" t="s">
        <v>74</v>
      </c>
      <c r="BB154" t="s">
        <v>74</v>
      </c>
      <c r="BC154" t="s">
        <v>74</v>
      </c>
      <c r="BD154">
        <v>2106</v>
      </c>
      <c r="BE154" t="s">
        <v>3429</v>
      </c>
      <c r="BF154" t="str">
        <f>HYPERLINK("http://dx.doi.org/10.1038/s41467-021-22241-w","http://dx.doi.org/10.1038/s41467-021-22241-w")</f>
        <v>http://dx.doi.org/10.1038/s41467-021-22241-w</v>
      </c>
      <c r="BG154" t="s">
        <v>74</v>
      </c>
      <c r="BH154" t="s">
        <v>74</v>
      </c>
      <c r="BI154">
        <v>12</v>
      </c>
      <c r="BJ154" t="s">
        <v>555</v>
      </c>
      <c r="BK154" t="s">
        <v>101</v>
      </c>
      <c r="BL154" t="s">
        <v>556</v>
      </c>
      <c r="BM154" t="s">
        <v>3430</v>
      </c>
      <c r="BN154">
        <v>33833238</v>
      </c>
      <c r="BO154" t="s">
        <v>558</v>
      </c>
      <c r="BP154" t="s">
        <v>74</v>
      </c>
      <c r="BQ154" t="s">
        <v>74</v>
      </c>
      <c r="BR154" t="s">
        <v>104</v>
      </c>
      <c r="BS154" t="s">
        <v>3431</v>
      </c>
      <c r="BT154" t="str">
        <f>HYPERLINK("https%3A%2F%2Fwww.webofscience.com%2Fwos%2Fwoscc%2Ffull-record%2FWOS:000639205600005","View Full Record in Web of Science")</f>
        <v>View Full Record in Web of Science</v>
      </c>
    </row>
    <row r="155" spans="1:72" x14ac:dyDescent="0.15">
      <c r="A155" t="s">
        <v>72</v>
      </c>
      <c r="B155" t="s">
        <v>3432</v>
      </c>
      <c r="C155" t="s">
        <v>74</v>
      </c>
      <c r="D155" t="s">
        <v>74</v>
      </c>
      <c r="E155" t="s">
        <v>74</v>
      </c>
      <c r="F155" t="s">
        <v>3433</v>
      </c>
      <c r="G155" t="s">
        <v>74</v>
      </c>
      <c r="H155" t="s">
        <v>74</v>
      </c>
      <c r="I155" t="s">
        <v>3434</v>
      </c>
      <c r="J155" t="s">
        <v>2868</v>
      </c>
      <c r="K155" t="s">
        <v>74</v>
      </c>
      <c r="L155" t="s">
        <v>74</v>
      </c>
      <c r="M155" t="s">
        <v>78</v>
      </c>
      <c r="N155" t="s">
        <v>79</v>
      </c>
      <c r="O155" t="s">
        <v>74</v>
      </c>
      <c r="P155" t="s">
        <v>74</v>
      </c>
      <c r="Q155" t="s">
        <v>74</v>
      </c>
      <c r="R155" t="s">
        <v>74</v>
      </c>
      <c r="S155" t="s">
        <v>74</v>
      </c>
      <c r="T155" t="s">
        <v>3435</v>
      </c>
      <c r="U155" t="s">
        <v>74</v>
      </c>
      <c r="V155" t="s">
        <v>3436</v>
      </c>
      <c r="W155" t="s">
        <v>3437</v>
      </c>
      <c r="X155" t="s">
        <v>3438</v>
      </c>
      <c r="Y155" t="s">
        <v>3439</v>
      </c>
      <c r="Z155" t="s">
        <v>3440</v>
      </c>
      <c r="AA155" t="s">
        <v>3441</v>
      </c>
      <c r="AB155" t="s">
        <v>74</v>
      </c>
      <c r="AC155" t="s">
        <v>3442</v>
      </c>
      <c r="AD155" t="s">
        <v>3443</v>
      </c>
      <c r="AE155" t="s">
        <v>3444</v>
      </c>
      <c r="AF155" t="s">
        <v>74</v>
      </c>
      <c r="AG155">
        <v>42</v>
      </c>
      <c r="AH155">
        <v>4</v>
      </c>
      <c r="AI155">
        <v>4</v>
      </c>
      <c r="AJ155">
        <v>8</v>
      </c>
      <c r="AK155">
        <v>33</v>
      </c>
      <c r="AL155" t="s">
        <v>603</v>
      </c>
      <c r="AM155" t="s">
        <v>604</v>
      </c>
      <c r="AN155" t="s">
        <v>605</v>
      </c>
      <c r="AO155" t="s">
        <v>2881</v>
      </c>
      <c r="AP155" t="s">
        <v>74</v>
      </c>
      <c r="AQ155" t="s">
        <v>74</v>
      </c>
      <c r="AR155" t="s">
        <v>2882</v>
      </c>
      <c r="AS155" t="s">
        <v>2883</v>
      </c>
      <c r="AT155" t="s">
        <v>3428</v>
      </c>
      <c r="AU155">
        <v>2021</v>
      </c>
      <c r="AV155">
        <v>12</v>
      </c>
      <c r="AW155" t="s">
        <v>74</v>
      </c>
      <c r="AX155" t="s">
        <v>74</v>
      </c>
      <c r="AY155" t="s">
        <v>74</v>
      </c>
      <c r="AZ155" t="s">
        <v>74</v>
      </c>
      <c r="BA155" t="s">
        <v>74</v>
      </c>
      <c r="BB155" t="s">
        <v>74</v>
      </c>
      <c r="BC155" t="s">
        <v>74</v>
      </c>
      <c r="BD155">
        <v>633362</v>
      </c>
      <c r="BE155" t="s">
        <v>3445</v>
      </c>
      <c r="BF155" t="str">
        <f>HYPERLINK("http://dx.doi.org/10.3389/fmicb.2021.633362","http://dx.doi.org/10.3389/fmicb.2021.633362")</f>
        <v>http://dx.doi.org/10.3389/fmicb.2021.633362</v>
      </c>
      <c r="BG155" t="s">
        <v>74</v>
      </c>
      <c r="BH155" t="s">
        <v>74</v>
      </c>
      <c r="BI155">
        <v>10</v>
      </c>
      <c r="BJ155" t="s">
        <v>396</v>
      </c>
      <c r="BK155" t="s">
        <v>101</v>
      </c>
      <c r="BL155" t="s">
        <v>396</v>
      </c>
      <c r="BM155" t="s">
        <v>3446</v>
      </c>
      <c r="BN155">
        <v>33897638</v>
      </c>
      <c r="BO155" t="s">
        <v>298</v>
      </c>
      <c r="BP155" t="s">
        <v>74</v>
      </c>
      <c r="BQ155" t="s">
        <v>74</v>
      </c>
      <c r="BR155" t="s">
        <v>104</v>
      </c>
      <c r="BS155" t="s">
        <v>3447</v>
      </c>
      <c r="BT155" t="str">
        <f>HYPERLINK("https%3A%2F%2Fwww.webofscience.com%2Fwos%2Fwoscc%2Ffull-record%2FWOS:000642088500001","View Full Record in Web of Science")</f>
        <v>View Full Record in Web of Science</v>
      </c>
    </row>
    <row r="156" spans="1:72" x14ac:dyDescent="0.15">
      <c r="A156" t="s">
        <v>72</v>
      </c>
      <c r="B156" t="s">
        <v>3448</v>
      </c>
      <c r="C156" t="s">
        <v>74</v>
      </c>
      <c r="D156" t="s">
        <v>74</v>
      </c>
      <c r="E156" t="s">
        <v>74</v>
      </c>
      <c r="F156" t="s">
        <v>3449</v>
      </c>
      <c r="G156" t="s">
        <v>74</v>
      </c>
      <c r="H156" t="s">
        <v>74</v>
      </c>
      <c r="I156" t="s">
        <v>3450</v>
      </c>
      <c r="J156" t="s">
        <v>1761</v>
      </c>
      <c r="K156" t="s">
        <v>74</v>
      </c>
      <c r="L156" t="s">
        <v>74</v>
      </c>
      <c r="M156" t="s">
        <v>78</v>
      </c>
      <c r="N156" t="s">
        <v>79</v>
      </c>
      <c r="O156" t="s">
        <v>74</v>
      </c>
      <c r="P156" t="s">
        <v>74</v>
      </c>
      <c r="Q156" t="s">
        <v>74</v>
      </c>
      <c r="R156" t="s">
        <v>74</v>
      </c>
      <c r="S156" t="s">
        <v>74</v>
      </c>
      <c r="T156" t="s">
        <v>74</v>
      </c>
      <c r="U156" t="s">
        <v>74</v>
      </c>
      <c r="V156" t="s">
        <v>3451</v>
      </c>
      <c r="W156" t="s">
        <v>3452</v>
      </c>
      <c r="X156" t="s">
        <v>3453</v>
      </c>
      <c r="Y156" t="s">
        <v>3454</v>
      </c>
      <c r="Z156" t="s">
        <v>3455</v>
      </c>
      <c r="AA156" t="s">
        <v>3456</v>
      </c>
      <c r="AB156" t="s">
        <v>3457</v>
      </c>
      <c r="AC156" t="s">
        <v>3458</v>
      </c>
      <c r="AD156" t="s">
        <v>3459</v>
      </c>
      <c r="AE156" t="s">
        <v>3460</v>
      </c>
      <c r="AF156" t="s">
        <v>74</v>
      </c>
      <c r="AG156">
        <v>42</v>
      </c>
      <c r="AH156">
        <v>6</v>
      </c>
      <c r="AI156">
        <v>8</v>
      </c>
      <c r="AJ156">
        <v>1</v>
      </c>
      <c r="AK156">
        <v>3</v>
      </c>
      <c r="AL156" t="s">
        <v>1269</v>
      </c>
      <c r="AM156" t="s">
        <v>1270</v>
      </c>
      <c r="AN156" t="s">
        <v>1271</v>
      </c>
      <c r="AO156" t="s">
        <v>1773</v>
      </c>
      <c r="AP156" t="s">
        <v>1774</v>
      </c>
      <c r="AQ156" t="s">
        <v>74</v>
      </c>
      <c r="AR156" t="s">
        <v>1761</v>
      </c>
      <c r="AS156" t="s">
        <v>1775</v>
      </c>
      <c r="AT156" t="s">
        <v>3428</v>
      </c>
      <c r="AU156">
        <v>2021</v>
      </c>
      <c r="AV156">
        <v>15</v>
      </c>
      <c r="AW156">
        <v>4</v>
      </c>
      <c r="AX156" t="s">
        <v>74</v>
      </c>
      <c r="AY156" t="s">
        <v>74</v>
      </c>
      <c r="AZ156" t="s">
        <v>74</v>
      </c>
      <c r="BA156" t="s">
        <v>74</v>
      </c>
      <c r="BB156">
        <v>1719</v>
      </c>
      <c r="BC156">
        <v>1730</v>
      </c>
      <c r="BD156" t="s">
        <v>74</v>
      </c>
      <c r="BE156" t="s">
        <v>3461</v>
      </c>
      <c r="BF156" t="str">
        <f>HYPERLINK("http://dx.doi.org/10.5194/tc-15-1719-2021","http://dx.doi.org/10.5194/tc-15-1719-2021")</f>
        <v>http://dx.doi.org/10.5194/tc-15-1719-2021</v>
      </c>
      <c r="BG156" t="s">
        <v>74</v>
      </c>
      <c r="BH156" t="s">
        <v>74</v>
      </c>
      <c r="BI156">
        <v>12</v>
      </c>
      <c r="BJ156" t="s">
        <v>1685</v>
      </c>
      <c r="BK156" t="s">
        <v>101</v>
      </c>
      <c r="BL156" t="s">
        <v>1686</v>
      </c>
      <c r="BM156" t="s">
        <v>3462</v>
      </c>
      <c r="BN156" t="s">
        <v>74</v>
      </c>
      <c r="BO156" t="s">
        <v>1779</v>
      </c>
      <c r="BP156" t="s">
        <v>74</v>
      </c>
      <c r="BQ156" t="s">
        <v>74</v>
      </c>
      <c r="BR156" t="s">
        <v>104</v>
      </c>
      <c r="BS156" t="s">
        <v>3463</v>
      </c>
      <c r="BT156" t="str">
        <f>HYPERLINK("https%3A%2F%2Fwww.webofscience.com%2Fwos%2Fwoscc%2Ffull-record%2FWOS:000639003800001","View Full Record in Web of Science")</f>
        <v>View Full Record in Web of Science</v>
      </c>
    </row>
    <row r="157" spans="1:72" x14ac:dyDescent="0.15">
      <c r="A157" t="s">
        <v>72</v>
      </c>
      <c r="B157" t="s">
        <v>3464</v>
      </c>
      <c r="C157" t="s">
        <v>74</v>
      </c>
      <c r="D157" t="s">
        <v>74</v>
      </c>
      <c r="E157" t="s">
        <v>74</v>
      </c>
      <c r="F157" t="s">
        <v>3465</v>
      </c>
      <c r="G157" t="s">
        <v>74</v>
      </c>
      <c r="H157" t="s">
        <v>74</v>
      </c>
      <c r="I157" t="s">
        <v>3466</v>
      </c>
      <c r="J157" t="s">
        <v>3467</v>
      </c>
      <c r="K157" t="s">
        <v>74</v>
      </c>
      <c r="L157" t="s">
        <v>74</v>
      </c>
      <c r="M157" t="s">
        <v>78</v>
      </c>
      <c r="N157" t="s">
        <v>79</v>
      </c>
      <c r="O157" t="s">
        <v>74</v>
      </c>
      <c r="P157" t="s">
        <v>74</v>
      </c>
      <c r="Q157" t="s">
        <v>74</v>
      </c>
      <c r="R157" t="s">
        <v>74</v>
      </c>
      <c r="S157" t="s">
        <v>74</v>
      </c>
      <c r="T157" t="s">
        <v>3468</v>
      </c>
      <c r="U157" t="s">
        <v>3469</v>
      </c>
      <c r="V157" t="s">
        <v>3470</v>
      </c>
      <c r="W157" t="s">
        <v>3471</v>
      </c>
      <c r="X157" t="s">
        <v>3472</v>
      </c>
      <c r="Y157" t="s">
        <v>3473</v>
      </c>
      <c r="Z157" t="s">
        <v>3474</v>
      </c>
      <c r="AA157" t="s">
        <v>3475</v>
      </c>
      <c r="AB157" t="s">
        <v>3476</v>
      </c>
      <c r="AC157" t="s">
        <v>3477</v>
      </c>
      <c r="AD157" t="s">
        <v>3478</v>
      </c>
      <c r="AE157" t="s">
        <v>3479</v>
      </c>
      <c r="AF157" t="s">
        <v>74</v>
      </c>
      <c r="AG157">
        <v>103</v>
      </c>
      <c r="AH157">
        <v>15</v>
      </c>
      <c r="AI157">
        <v>18</v>
      </c>
      <c r="AJ157">
        <v>1</v>
      </c>
      <c r="AK157">
        <v>22</v>
      </c>
      <c r="AL157" t="s">
        <v>795</v>
      </c>
      <c r="AM157" t="s">
        <v>796</v>
      </c>
      <c r="AN157" t="s">
        <v>797</v>
      </c>
      <c r="AO157" t="s">
        <v>3480</v>
      </c>
      <c r="AP157" t="s">
        <v>3481</v>
      </c>
      <c r="AQ157" t="s">
        <v>74</v>
      </c>
      <c r="AR157" t="s">
        <v>3482</v>
      </c>
      <c r="AS157" t="s">
        <v>3483</v>
      </c>
      <c r="AT157" t="s">
        <v>1035</v>
      </c>
      <c r="AU157">
        <v>2021</v>
      </c>
      <c r="AV157">
        <v>48</v>
      </c>
      <c r="AW157">
        <v>7</v>
      </c>
      <c r="AX157" t="s">
        <v>74</v>
      </c>
      <c r="AY157" t="s">
        <v>74</v>
      </c>
      <c r="AZ157" t="s">
        <v>74</v>
      </c>
      <c r="BA157" t="s">
        <v>74</v>
      </c>
      <c r="BB157">
        <v>1797</v>
      </c>
      <c r="BC157">
        <v>1809</v>
      </c>
      <c r="BD157" t="s">
        <v>74</v>
      </c>
      <c r="BE157" t="s">
        <v>3484</v>
      </c>
      <c r="BF157" t="str">
        <f>HYPERLINK("http://dx.doi.org/10.1111/jbi.14116","http://dx.doi.org/10.1111/jbi.14116")</f>
        <v>http://dx.doi.org/10.1111/jbi.14116</v>
      </c>
      <c r="BG157" t="s">
        <v>74</v>
      </c>
      <c r="BH157" t="s">
        <v>514</v>
      </c>
      <c r="BI157">
        <v>13</v>
      </c>
      <c r="BJ157" t="s">
        <v>3485</v>
      </c>
      <c r="BK157" t="s">
        <v>101</v>
      </c>
      <c r="BL157" t="s">
        <v>3486</v>
      </c>
      <c r="BM157" t="s">
        <v>3487</v>
      </c>
      <c r="BN157" t="s">
        <v>74</v>
      </c>
      <c r="BO157" t="s">
        <v>74</v>
      </c>
      <c r="BP157" t="s">
        <v>74</v>
      </c>
      <c r="BQ157" t="s">
        <v>74</v>
      </c>
      <c r="BR157" t="s">
        <v>104</v>
      </c>
      <c r="BS157" t="s">
        <v>3488</v>
      </c>
      <c r="BT157" t="str">
        <f>HYPERLINK("https%3A%2F%2Fwww.webofscience.com%2Fwos%2Fwoscc%2Ffull-record%2FWOS:000637788400001","View Full Record in Web of Science")</f>
        <v>View Full Record in Web of Science</v>
      </c>
    </row>
    <row r="158" spans="1:72" x14ac:dyDescent="0.15">
      <c r="A158" t="s">
        <v>72</v>
      </c>
      <c r="B158" t="s">
        <v>3489</v>
      </c>
      <c r="C158" t="s">
        <v>74</v>
      </c>
      <c r="D158" t="s">
        <v>74</v>
      </c>
      <c r="E158" t="s">
        <v>74</v>
      </c>
      <c r="F158" t="s">
        <v>3490</v>
      </c>
      <c r="G158" t="s">
        <v>74</v>
      </c>
      <c r="H158" t="s">
        <v>74</v>
      </c>
      <c r="I158" t="s">
        <v>3491</v>
      </c>
      <c r="J158" t="s">
        <v>3492</v>
      </c>
      <c r="K158" t="s">
        <v>74</v>
      </c>
      <c r="L158" t="s">
        <v>74</v>
      </c>
      <c r="M158" t="s">
        <v>78</v>
      </c>
      <c r="N158" t="s">
        <v>79</v>
      </c>
      <c r="O158" t="s">
        <v>74</v>
      </c>
      <c r="P158" t="s">
        <v>74</v>
      </c>
      <c r="Q158" t="s">
        <v>74</v>
      </c>
      <c r="R158" t="s">
        <v>74</v>
      </c>
      <c r="S158" t="s">
        <v>74</v>
      </c>
      <c r="T158" t="s">
        <v>74</v>
      </c>
      <c r="U158" t="s">
        <v>3493</v>
      </c>
      <c r="V158" t="s">
        <v>3494</v>
      </c>
      <c r="W158" t="s">
        <v>3495</v>
      </c>
      <c r="X158" t="s">
        <v>3496</v>
      </c>
      <c r="Y158" t="s">
        <v>3497</v>
      </c>
      <c r="Z158" t="s">
        <v>3498</v>
      </c>
      <c r="AA158" t="s">
        <v>3499</v>
      </c>
      <c r="AB158" t="s">
        <v>3500</v>
      </c>
      <c r="AC158" t="s">
        <v>3501</v>
      </c>
      <c r="AD158" t="s">
        <v>3502</v>
      </c>
      <c r="AE158" t="s">
        <v>3503</v>
      </c>
      <c r="AF158" t="s">
        <v>74</v>
      </c>
      <c r="AG158">
        <v>48</v>
      </c>
      <c r="AH158">
        <v>41</v>
      </c>
      <c r="AI158">
        <v>44</v>
      </c>
      <c r="AJ158">
        <v>5</v>
      </c>
      <c r="AK158">
        <v>67</v>
      </c>
      <c r="AL158" t="s">
        <v>861</v>
      </c>
      <c r="AM158" t="s">
        <v>862</v>
      </c>
      <c r="AN158" t="s">
        <v>863</v>
      </c>
      <c r="AO158" t="s">
        <v>3504</v>
      </c>
      <c r="AP158" t="s">
        <v>74</v>
      </c>
      <c r="AQ158" t="s">
        <v>74</v>
      </c>
      <c r="AR158" t="s">
        <v>3505</v>
      </c>
      <c r="AS158" t="s">
        <v>3506</v>
      </c>
      <c r="AT158" t="s">
        <v>707</v>
      </c>
      <c r="AU158">
        <v>2021</v>
      </c>
      <c r="AV158">
        <v>5</v>
      </c>
      <c r="AW158">
        <v>6</v>
      </c>
      <c r="AX158" t="s">
        <v>74</v>
      </c>
      <c r="AY158" t="s">
        <v>74</v>
      </c>
      <c r="AZ158" t="s">
        <v>74</v>
      </c>
      <c r="BA158" t="s">
        <v>74</v>
      </c>
      <c r="BB158">
        <v>836</v>
      </c>
      <c r="BC158" t="s">
        <v>867</v>
      </c>
      <c r="BD158" t="s">
        <v>74</v>
      </c>
      <c r="BE158" t="s">
        <v>3507</v>
      </c>
      <c r="BF158" t="str">
        <f>HYPERLINK("http://dx.doi.org/10.1038/s41559-021-01432-0","http://dx.doi.org/10.1038/s41559-021-01432-0")</f>
        <v>http://dx.doi.org/10.1038/s41559-021-01432-0</v>
      </c>
      <c r="BG158" t="s">
        <v>74</v>
      </c>
      <c r="BH158" t="s">
        <v>514</v>
      </c>
      <c r="BI158">
        <v>17</v>
      </c>
      <c r="BJ158" t="s">
        <v>3508</v>
      </c>
      <c r="BK158" t="s">
        <v>101</v>
      </c>
      <c r="BL158" t="s">
        <v>3509</v>
      </c>
      <c r="BM158" t="s">
        <v>3510</v>
      </c>
      <c r="BN158">
        <v>33833421</v>
      </c>
      <c r="BO158" t="s">
        <v>3511</v>
      </c>
      <c r="BP158" t="s">
        <v>74</v>
      </c>
      <c r="BQ158" t="s">
        <v>74</v>
      </c>
      <c r="BR158" t="s">
        <v>104</v>
      </c>
      <c r="BS158" t="s">
        <v>3512</v>
      </c>
      <c r="BT158" t="str">
        <f>HYPERLINK("https%3A%2F%2Fwww.webofscience.com%2Fwos%2Fwoscc%2Ffull-record%2FWOS:000638077600001","View Full Record in Web of Science")</f>
        <v>View Full Record in Web of Science</v>
      </c>
    </row>
    <row r="159" spans="1:72" x14ac:dyDescent="0.15">
      <c r="A159" t="s">
        <v>72</v>
      </c>
      <c r="B159" t="s">
        <v>3513</v>
      </c>
      <c r="C159" t="s">
        <v>74</v>
      </c>
      <c r="D159" t="s">
        <v>74</v>
      </c>
      <c r="E159" t="s">
        <v>74</v>
      </c>
      <c r="F159" t="s">
        <v>3514</v>
      </c>
      <c r="G159" t="s">
        <v>74</v>
      </c>
      <c r="H159" t="s">
        <v>74</v>
      </c>
      <c r="I159" t="s">
        <v>3515</v>
      </c>
      <c r="J159" t="s">
        <v>3516</v>
      </c>
      <c r="K159" t="s">
        <v>74</v>
      </c>
      <c r="L159" t="s">
        <v>74</v>
      </c>
      <c r="M159" t="s">
        <v>78</v>
      </c>
      <c r="N159" t="s">
        <v>79</v>
      </c>
      <c r="O159" t="s">
        <v>74</v>
      </c>
      <c r="P159" t="s">
        <v>74</v>
      </c>
      <c r="Q159" t="s">
        <v>74</v>
      </c>
      <c r="R159" t="s">
        <v>74</v>
      </c>
      <c r="S159" t="s">
        <v>74</v>
      </c>
      <c r="T159" t="s">
        <v>3517</v>
      </c>
      <c r="U159" t="s">
        <v>74</v>
      </c>
      <c r="V159" t="s">
        <v>3518</v>
      </c>
      <c r="W159" t="s">
        <v>3519</v>
      </c>
      <c r="X159" t="s">
        <v>3520</v>
      </c>
      <c r="Y159" t="s">
        <v>3521</v>
      </c>
      <c r="Z159" t="s">
        <v>3522</v>
      </c>
      <c r="AA159" t="s">
        <v>74</v>
      </c>
      <c r="AB159" t="s">
        <v>3523</v>
      </c>
      <c r="AC159" t="s">
        <v>3524</v>
      </c>
      <c r="AD159" t="s">
        <v>3525</v>
      </c>
      <c r="AE159" t="s">
        <v>3526</v>
      </c>
      <c r="AF159" t="s">
        <v>74</v>
      </c>
      <c r="AG159">
        <v>62</v>
      </c>
      <c r="AH159">
        <v>21</v>
      </c>
      <c r="AI159">
        <v>22</v>
      </c>
      <c r="AJ159">
        <v>7</v>
      </c>
      <c r="AK159">
        <v>32</v>
      </c>
      <c r="AL159" t="s">
        <v>1058</v>
      </c>
      <c r="AM159" t="s">
        <v>891</v>
      </c>
      <c r="AN159" t="s">
        <v>1059</v>
      </c>
      <c r="AO159" t="s">
        <v>3527</v>
      </c>
      <c r="AP159" t="s">
        <v>3528</v>
      </c>
      <c r="AQ159" t="s">
        <v>74</v>
      </c>
      <c r="AR159" t="s">
        <v>3529</v>
      </c>
      <c r="AS159" t="s">
        <v>3530</v>
      </c>
      <c r="AT159" t="s">
        <v>1035</v>
      </c>
      <c r="AU159">
        <v>2021</v>
      </c>
      <c r="AV159">
        <v>125</v>
      </c>
      <c r="AW159" t="s">
        <v>74</v>
      </c>
      <c r="AX159" t="s">
        <v>74</v>
      </c>
      <c r="AY159" t="s">
        <v>74</v>
      </c>
      <c r="AZ159" t="s">
        <v>74</v>
      </c>
      <c r="BA159" t="s">
        <v>74</v>
      </c>
      <c r="BB159" t="s">
        <v>74</v>
      </c>
      <c r="BC159" t="s">
        <v>74</v>
      </c>
      <c r="BD159">
        <v>105355</v>
      </c>
      <c r="BE159" t="s">
        <v>3531</v>
      </c>
      <c r="BF159" t="str">
        <f>HYPERLINK("http://dx.doi.org/10.1016/j.engfailanal.2021.105355","http://dx.doi.org/10.1016/j.engfailanal.2021.105355")</f>
        <v>http://dx.doi.org/10.1016/j.engfailanal.2021.105355</v>
      </c>
      <c r="BG159" t="s">
        <v>74</v>
      </c>
      <c r="BH159" t="s">
        <v>514</v>
      </c>
      <c r="BI159">
        <v>20</v>
      </c>
      <c r="BJ159" t="s">
        <v>3532</v>
      </c>
      <c r="BK159" t="s">
        <v>101</v>
      </c>
      <c r="BL159" t="s">
        <v>3533</v>
      </c>
      <c r="BM159" t="s">
        <v>3534</v>
      </c>
      <c r="BN159" t="s">
        <v>74</v>
      </c>
      <c r="BO159" t="s">
        <v>712</v>
      </c>
      <c r="BP159" t="s">
        <v>74</v>
      </c>
      <c r="BQ159" t="s">
        <v>74</v>
      </c>
      <c r="BR159" t="s">
        <v>104</v>
      </c>
      <c r="BS159" t="s">
        <v>3535</v>
      </c>
      <c r="BT159" t="str">
        <f>HYPERLINK("https%3A%2F%2Fwww.webofscience.com%2Fwos%2Fwoscc%2Ffull-record%2FWOS:000663120800004","View Full Record in Web of Science")</f>
        <v>View Full Record in Web of Science</v>
      </c>
    </row>
    <row r="160" spans="1:72" x14ac:dyDescent="0.15">
      <c r="A160" t="s">
        <v>72</v>
      </c>
      <c r="B160" t="s">
        <v>3536</v>
      </c>
      <c r="C160" t="s">
        <v>74</v>
      </c>
      <c r="D160" t="s">
        <v>74</v>
      </c>
      <c r="E160" t="s">
        <v>74</v>
      </c>
      <c r="F160" t="s">
        <v>3537</v>
      </c>
      <c r="G160" t="s">
        <v>74</v>
      </c>
      <c r="H160" t="s">
        <v>74</v>
      </c>
      <c r="I160" t="s">
        <v>3538</v>
      </c>
      <c r="J160" t="s">
        <v>3539</v>
      </c>
      <c r="K160" t="s">
        <v>74</v>
      </c>
      <c r="L160" t="s">
        <v>74</v>
      </c>
      <c r="M160" t="s">
        <v>78</v>
      </c>
      <c r="N160" t="s">
        <v>79</v>
      </c>
      <c r="O160" t="s">
        <v>74</v>
      </c>
      <c r="P160" t="s">
        <v>74</v>
      </c>
      <c r="Q160" t="s">
        <v>74</v>
      </c>
      <c r="R160" t="s">
        <v>74</v>
      </c>
      <c r="S160" t="s">
        <v>74</v>
      </c>
      <c r="T160" t="s">
        <v>3540</v>
      </c>
      <c r="U160" t="s">
        <v>3541</v>
      </c>
      <c r="V160" t="s">
        <v>3542</v>
      </c>
      <c r="W160" t="s">
        <v>3543</v>
      </c>
      <c r="X160" t="s">
        <v>3544</v>
      </c>
      <c r="Y160" t="s">
        <v>3545</v>
      </c>
      <c r="Z160" t="s">
        <v>3546</v>
      </c>
      <c r="AA160" t="s">
        <v>3547</v>
      </c>
      <c r="AB160" t="s">
        <v>3548</v>
      </c>
      <c r="AC160" t="s">
        <v>3549</v>
      </c>
      <c r="AD160" t="s">
        <v>3550</v>
      </c>
      <c r="AE160" t="s">
        <v>3551</v>
      </c>
      <c r="AF160" t="s">
        <v>74</v>
      </c>
      <c r="AG160">
        <v>67</v>
      </c>
      <c r="AH160">
        <v>19</v>
      </c>
      <c r="AI160">
        <v>22</v>
      </c>
      <c r="AJ160">
        <v>11</v>
      </c>
      <c r="AK160">
        <v>61</v>
      </c>
      <c r="AL160" t="s">
        <v>576</v>
      </c>
      <c r="AM160" t="s">
        <v>577</v>
      </c>
      <c r="AN160" t="s">
        <v>578</v>
      </c>
      <c r="AO160" t="s">
        <v>3552</v>
      </c>
      <c r="AP160" t="s">
        <v>3553</v>
      </c>
      <c r="AQ160" t="s">
        <v>74</v>
      </c>
      <c r="AR160" t="s">
        <v>3554</v>
      </c>
      <c r="AS160" t="s">
        <v>3555</v>
      </c>
      <c r="AT160" t="s">
        <v>1064</v>
      </c>
      <c r="AU160">
        <v>2021</v>
      </c>
      <c r="AV160">
        <v>564</v>
      </c>
      <c r="AW160" t="s">
        <v>74</v>
      </c>
      <c r="AX160" t="s">
        <v>74</v>
      </c>
      <c r="AY160" t="s">
        <v>74</v>
      </c>
      <c r="AZ160" t="s">
        <v>74</v>
      </c>
      <c r="BA160" t="s">
        <v>74</v>
      </c>
      <c r="BB160" t="s">
        <v>74</v>
      </c>
      <c r="BC160" t="s">
        <v>74</v>
      </c>
      <c r="BD160">
        <v>116914</v>
      </c>
      <c r="BE160" t="s">
        <v>3556</v>
      </c>
      <c r="BF160" t="str">
        <f>HYPERLINK("http://dx.doi.org/10.1016/j.epsl.2021.116914","http://dx.doi.org/10.1016/j.epsl.2021.116914")</f>
        <v>http://dx.doi.org/10.1016/j.epsl.2021.116914</v>
      </c>
      <c r="BG160" t="s">
        <v>74</v>
      </c>
      <c r="BH160" t="s">
        <v>514</v>
      </c>
      <c r="BI160">
        <v>12</v>
      </c>
      <c r="BJ160" t="s">
        <v>1066</v>
      </c>
      <c r="BK160" t="s">
        <v>101</v>
      </c>
      <c r="BL160" t="s">
        <v>1066</v>
      </c>
      <c r="BM160" t="s">
        <v>3557</v>
      </c>
      <c r="BN160" t="s">
        <v>74</v>
      </c>
      <c r="BO160" t="s">
        <v>74</v>
      </c>
      <c r="BP160" t="s">
        <v>74</v>
      </c>
      <c r="BQ160" t="s">
        <v>74</v>
      </c>
      <c r="BR160" t="s">
        <v>104</v>
      </c>
      <c r="BS160" t="s">
        <v>3558</v>
      </c>
      <c r="BT160" t="str">
        <f>HYPERLINK("https%3A%2F%2Fwww.webofscience.com%2Fwos%2Fwoscc%2Ffull-record%2FWOS:000645097600015","View Full Record in Web of Science")</f>
        <v>View Full Record in Web of Science</v>
      </c>
    </row>
    <row r="161" spans="1:72" x14ac:dyDescent="0.15">
      <c r="A161" t="s">
        <v>72</v>
      </c>
      <c r="B161" t="s">
        <v>3559</v>
      </c>
      <c r="C161" t="s">
        <v>74</v>
      </c>
      <c r="D161" t="s">
        <v>74</v>
      </c>
      <c r="E161" t="s">
        <v>74</v>
      </c>
      <c r="F161" t="s">
        <v>3560</v>
      </c>
      <c r="G161" t="s">
        <v>74</v>
      </c>
      <c r="H161" t="s">
        <v>74</v>
      </c>
      <c r="I161" t="s">
        <v>3561</v>
      </c>
      <c r="J161" t="s">
        <v>2021</v>
      </c>
      <c r="K161" t="s">
        <v>74</v>
      </c>
      <c r="L161" t="s">
        <v>74</v>
      </c>
      <c r="M161" t="s">
        <v>78</v>
      </c>
      <c r="N161" t="s">
        <v>79</v>
      </c>
      <c r="O161" t="s">
        <v>74</v>
      </c>
      <c r="P161" t="s">
        <v>74</v>
      </c>
      <c r="Q161" t="s">
        <v>74</v>
      </c>
      <c r="R161" t="s">
        <v>74</v>
      </c>
      <c r="S161" t="s">
        <v>74</v>
      </c>
      <c r="T161" t="s">
        <v>74</v>
      </c>
      <c r="U161" t="s">
        <v>3562</v>
      </c>
      <c r="V161" t="s">
        <v>3563</v>
      </c>
      <c r="W161" t="s">
        <v>3564</v>
      </c>
      <c r="X161" t="s">
        <v>3565</v>
      </c>
      <c r="Y161" t="s">
        <v>3566</v>
      </c>
      <c r="Z161" t="s">
        <v>3567</v>
      </c>
      <c r="AA161" t="s">
        <v>3568</v>
      </c>
      <c r="AB161" t="s">
        <v>3569</v>
      </c>
      <c r="AC161" t="s">
        <v>3570</v>
      </c>
      <c r="AD161" t="s">
        <v>3571</v>
      </c>
      <c r="AE161" t="s">
        <v>3572</v>
      </c>
      <c r="AF161" t="s">
        <v>74</v>
      </c>
      <c r="AG161">
        <v>85</v>
      </c>
      <c r="AH161">
        <v>21</v>
      </c>
      <c r="AI161">
        <v>22</v>
      </c>
      <c r="AJ161">
        <v>0</v>
      </c>
      <c r="AK161">
        <v>5</v>
      </c>
      <c r="AL161" t="s">
        <v>861</v>
      </c>
      <c r="AM161" t="s">
        <v>862</v>
      </c>
      <c r="AN161" t="s">
        <v>863</v>
      </c>
      <c r="AO161" t="s">
        <v>2033</v>
      </c>
      <c r="AP161" t="s">
        <v>74</v>
      </c>
      <c r="AQ161" t="s">
        <v>74</v>
      </c>
      <c r="AR161" t="s">
        <v>2034</v>
      </c>
      <c r="AS161" t="s">
        <v>2035</v>
      </c>
      <c r="AT161" t="s">
        <v>3573</v>
      </c>
      <c r="AU161">
        <v>2021</v>
      </c>
      <c r="AV161">
        <v>11</v>
      </c>
      <c r="AW161">
        <v>1</v>
      </c>
      <c r="AX161" t="s">
        <v>74</v>
      </c>
      <c r="AY161" t="s">
        <v>74</v>
      </c>
      <c r="AZ161" t="s">
        <v>74</v>
      </c>
      <c r="BA161" t="s">
        <v>74</v>
      </c>
      <c r="BB161" t="s">
        <v>74</v>
      </c>
      <c r="BC161" t="s">
        <v>74</v>
      </c>
      <c r="BD161">
        <v>7594</v>
      </c>
      <c r="BE161" t="s">
        <v>3574</v>
      </c>
      <c r="BF161" t="str">
        <f>HYPERLINK("http://dx.doi.org/10.1038/s41598-021-87245-4","http://dx.doi.org/10.1038/s41598-021-87245-4")</f>
        <v>http://dx.doi.org/10.1038/s41598-021-87245-4</v>
      </c>
      <c r="BG161" t="s">
        <v>74</v>
      </c>
      <c r="BH161" t="s">
        <v>74</v>
      </c>
      <c r="BI161">
        <v>18</v>
      </c>
      <c r="BJ161" t="s">
        <v>555</v>
      </c>
      <c r="BK161" t="s">
        <v>101</v>
      </c>
      <c r="BL161" t="s">
        <v>556</v>
      </c>
      <c r="BM161" t="s">
        <v>3575</v>
      </c>
      <c r="BN161">
        <v>33828193</v>
      </c>
      <c r="BO161" t="s">
        <v>298</v>
      </c>
      <c r="BP161" t="s">
        <v>74</v>
      </c>
      <c r="BQ161" t="s">
        <v>74</v>
      </c>
      <c r="BR161" t="s">
        <v>104</v>
      </c>
      <c r="BS161" t="s">
        <v>3576</v>
      </c>
      <c r="BT161" t="str">
        <f>HYPERLINK("https%3A%2F%2Fwww.webofscience.com%2Fwos%2Fwoscc%2Ffull-record%2FWOS:000640391700031","View Full Record in Web of Science")</f>
        <v>View Full Record in Web of Science</v>
      </c>
    </row>
    <row r="162" spans="1:72" x14ac:dyDescent="0.15">
      <c r="A162" t="s">
        <v>72</v>
      </c>
      <c r="B162" t="s">
        <v>3577</v>
      </c>
      <c r="C162" t="s">
        <v>74</v>
      </c>
      <c r="D162" t="s">
        <v>74</v>
      </c>
      <c r="E162" t="s">
        <v>74</v>
      </c>
      <c r="F162" t="s">
        <v>3578</v>
      </c>
      <c r="G162" t="s">
        <v>74</v>
      </c>
      <c r="H162" t="s">
        <v>74</v>
      </c>
      <c r="I162" t="s">
        <v>3579</v>
      </c>
      <c r="J162" t="s">
        <v>1761</v>
      </c>
      <c r="K162" t="s">
        <v>74</v>
      </c>
      <c r="L162" t="s">
        <v>74</v>
      </c>
      <c r="M162" t="s">
        <v>78</v>
      </c>
      <c r="N162" t="s">
        <v>79</v>
      </c>
      <c r="O162" t="s">
        <v>74</v>
      </c>
      <c r="P162" t="s">
        <v>74</v>
      </c>
      <c r="Q162" t="s">
        <v>74</v>
      </c>
      <c r="R162" t="s">
        <v>74</v>
      </c>
      <c r="S162" t="s">
        <v>74</v>
      </c>
      <c r="T162" t="s">
        <v>74</v>
      </c>
      <c r="U162" t="s">
        <v>3580</v>
      </c>
      <c r="V162" t="s">
        <v>3581</v>
      </c>
      <c r="W162" t="s">
        <v>3582</v>
      </c>
      <c r="X162" t="s">
        <v>3583</v>
      </c>
      <c r="Y162" t="s">
        <v>3584</v>
      </c>
      <c r="Z162" t="s">
        <v>3585</v>
      </c>
      <c r="AA162" t="s">
        <v>3586</v>
      </c>
      <c r="AB162" t="s">
        <v>3587</v>
      </c>
      <c r="AC162" t="s">
        <v>3588</v>
      </c>
      <c r="AD162" t="s">
        <v>3589</v>
      </c>
      <c r="AE162" t="s">
        <v>3590</v>
      </c>
      <c r="AF162" t="s">
        <v>74</v>
      </c>
      <c r="AG162">
        <v>76</v>
      </c>
      <c r="AH162">
        <v>6</v>
      </c>
      <c r="AI162">
        <v>6</v>
      </c>
      <c r="AJ162">
        <v>1</v>
      </c>
      <c r="AK162">
        <v>5</v>
      </c>
      <c r="AL162" t="s">
        <v>1269</v>
      </c>
      <c r="AM162" t="s">
        <v>1270</v>
      </c>
      <c r="AN162" t="s">
        <v>1271</v>
      </c>
      <c r="AO162" t="s">
        <v>1773</v>
      </c>
      <c r="AP162" t="s">
        <v>1774</v>
      </c>
      <c r="AQ162" t="s">
        <v>74</v>
      </c>
      <c r="AR162" t="s">
        <v>1761</v>
      </c>
      <c r="AS162" t="s">
        <v>1775</v>
      </c>
      <c r="AT162" t="s">
        <v>3573</v>
      </c>
      <c r="AU162">
        <v>2021</v>
      </c>
      <c r="AV162">
        <v>15</v>
      </c>
      <c r="AW162">
        <v>4</v>
      </c>
      <c r="AX162" t="s">
        <v>74</v>
      </c>
      <c r="AY162" t="s">
        <v>74</v>
      </c>
      <c r="AZ162" t="s">
        <v>74</v>
      </c>
      <c r="BA162" t="s">
        <v>74</v>
      </c>
      <c r="BB162">
        <v>1697</v>
      </c>
      <c r="BC162">
        <v>1717</v>
      </c>
      <c r="BD162" t="s">
        <v>74</v>
      </c>
      <c r="BE162" t="s">
        <v>3591</v>
      </c>
      <c r="BF162" t="str">
        <f>HYPERLINK("http://dx.doi.org/10.5194/tc-15-1697-2021","http://dx.doi.org/10.5194/tc-15-1697-2021")</f>
        <v>http://dx.doi.org/10.5194/tc-15-1697-2021</v>
      </c>
      <c r="BG162" t="s">
        <v>74</v>
      </c>
      <c r="BH162" t="s">
        <v>74</v>
      </c>
      <c r="BI162">
        <v>21</v>
      </c>
      <c r="BJ162" t="s">
        <v>1685</v>
      </c>
      <c r="BK162" t="s">
        <v>101</v>
      </c>
      <c r="BL162" t="s">
        <v>1686</v>
      </c>
      <c r="BM162" t="s">
        <v>3592</v>
      </c>
      <c r="BN162" t="s">
        <v>74</v>
      </c>
      <c r="BO162" t="s">
        <v>3593</v>
      </c>
      <c r="BP162" t="s">
        <v>74</v>
      </c>
      <c r="BQ162" t="s">
        <v>74</v>
      </c>
      <c r="BR162" t="s">
        <v>104</v>
      </c>
      <c r="BS162" t="s">
        <v>3594</v>
      </c>
      <c r="BT162" t="str">
        <f>HYPERLINK("https%3A%2F%2Fwww.webofscience.com%2Fwos%2Fwoscc%2Ffull-record%2FWOS:000638996500002","View Full Record in Web of Science")</f>
        <v>View Full Record in Web of Science</v>
      </c>
    </row>
    <row r="163" spans="1:72" x14ac:dyDescent="0.15">
      <c r="A163" t="s">
        <v>72</v>
      </c>
      <c r="B163" t="s">
        <v>3595</v>
      </c>
      <c r="C163" t="s">
        <v>74</v>
      </c>
      <c r="D163" t="s">
        <v>74</v>
      </c>
      <c r="E163" t="s">
        <v>74</v>
      </c>
      <c r="F163" t="s">
        <v>3596</v>
      </c>
      <c r="G163" t="s">
        <v>74</v>
      </c>
      <c r="H163" t="s">
        <v>74</v>
      </c>
      <c r="I163" t="s">
        <v>3597</v>
      </c>
      <c r="J163" t="s">
        <v>2687</v>
      </c>
      <c r="K163" t="s">
        <v>74</v>
      </c>
      <c r="L163" t="s">
        <v>74</v>
      </c>
      <c r="M163" t="s">
        <v>78</v>
      </c>
      <c r="N163" t="s">
        <v>79</v>
      </c>
      <c r="O163" t="s">
        <v>74</v>
      </c>
      <c r="P163" t="s">
        <v>74</v>
      </c>
      <c r="Q163" t="s">
        <v>74</v>
      </c>
      <c r="R163" t="s">
        <v>74</v>
      </c>
      <c r="S163" t="s">
        <v>74</v>
      </c>
      <c r="T163" t="s">
        <v>3598</v>
      </c>
      <c r="U163" t="s">
        <v>74</v>
      </c>
      <c r="V163" t="s">
        <v>3599</v>
      </c>
      <c r="W163" t="s">
        <v>3600</v>
      </c>
      <c r="X163" t="s">
        <v>3601</v>
      </c>
      <c r="Y163" t="s">
        <v>3602</v>
      </c>
      <c r="Z163" t="s">
        <v>3603</v>
      </c>
      <c r="AA163" t="s">
        <v>3604</v>
      </c>
      <c r="AB163" t="s">
        <v>3605</v>
      </c>
      <c r="AC163" t="s">
        <v>3606</v>
      </c>
      <c r="AD163" t="s">
        <v>3607</v>
      </c>
      <c r="AE163" t="s">
        <v>3608</v>
      </c>
      <c r="AF163" t="s">
        <v>74</v>
      </c>
      <c r="AG163">
        <v>47</v>
      </c>
      <c r="AH163">
        <v>11</v>
      </c>
      <c r="AI163">
        <v>11</v>
      </c>
      <c r="AJ163">
        <v>0</v>
      </c>
      <c r="AK163">
        <v>6</v>
      </c>
      <c r="AL163" t="s">
        <v>603</v>
      </c>
      <c r="AM163" t="s">
        <v>604</v>
      </c>
      <c r="AN163" t="s">
        <v>605</v>
      </c>
      <c r="AO163" t="s">
        <v>74</v>
      </c>
      <c r="AP163" t="s">
        <v>2699</v>
      </c>
      <c r="AQ163" t="s">
        <v>74</v>
      </c>
      <c r="AR163" t="s">
        <v>2700</v>
      </c>
      <c r="AS163" t="s">
        <v>2701</v>
      </c>
      <c r="AT163" t="s">
        <v>3573</v>
      </c>
      <c r="AU163">
        <v>2021</v>
      </c>
      <c r="AV163">
        <v>8</v>
      </c>
      <c r="AW163" t="s">
        <v>74</v>
      </c>
      <c r="AX163" t="s">
        <v>74</v>
      </c>
      <c r="AY163" t="s">
        <v>74</v>
      </c>
      <c r="AZ163" t="s">
        <v>74</v>
      </c>
      <c r="BA163" t="s">
        <v>74</v>
      </c>
      <c r="BB163" t="s">
        <v>74</v>
      </c>
      <c r="BC163" t="s">
        <v>74</v>
      </c>
      <c r="BD163">
        <v>658384</v>
      </c>
      <c r="BE163" t="s">
        <v>3609</v>
      </c>
      <c r="BF163" t="str">
        <f>HYPERLINK("http://dx.doi.org/10.3389/fmars.2021.658384","http://dx.doi.org/10.3389/fmars.2021.658384")</f>
        <v>http://dx.doi.org/10.3389/fmars.2021.658384</v>
      </c>
      <c r="BG163" t="s">
        <v>74</v>
      </c>
      <c r="BH163" t="s">
        <v>74</v>
      </c>
      <c r="BI163">
        <v>14</v>
      </c>
      <c r="BJ163" t="s">
        <v>1646</v>
      </c>
      <c r="BK163" t="s">
        <v>101</v>
      </c>
      <c r="BL163" t="s">
        <v>710</v>
      </c>
      <c r="BM163" t="s">
        <v>3610</v>
      </c>
      <c r="BN163" t="s">
        <v>74</v>
      </c>
      <c r="BO163" t="s">
        <v>298</v>
      </c>
      <c r="BP163" t="s">
        <v>74</v>
      </c>
      <c r="BQ163" t="s">
        <v>74</v>
      </c>
      <c r="BR163" t="s">
        <v>104</v>
      </c>
      <c r="BS163" t="s">
        <v>3611</v>
      </c>
      <c r="BT163" t="str">
        <f>HYPERLINK("https%3A%2F%2Fwww.webofscience.com%2Fwos%2Fwoscc%2Ffull-record%2FWOS:000638238200001","View Full Record in Web of Science")</f>
        <v>View Full Record in Web of Science</v>
      </c>
    </row>
    <row r="164" spans="1:72" x14ac:dyDescent="0.15">
      <c r="A164" t="s">
        <v>72</v>
      </c>
      <c r="B164" t="s">
        <v>3612</v>
      </c>
      <c r="C164" t="s">
        <v>74</v>
      </c>
      <c r="D164" t="s">
        <v>74</v>
      </c>
      <c r="E164" t="s">
        <v>74</v>
      </c>
      <c r="F164" t="s">
        <v>3613</v>
      </c>
      <c r="G164" t="s">
        <v>74</v>
      </c>
      <c r="H164" t="s">
        <v>74</v>
      </c>
      <c r="I164" t="s">
        <v>3614</v>
      </c>
      <c r="J164" t="s">
        <v>3615</v>
      </c>
      <c r="K164" t="s">
        <v>74</v>
      </c>
      <c r="L164" t="s">
        <v>74</v>
      </c>
      <c r="M164" t="s">
        <v>78</v>
      </c>
      <c r="N164" t="s">
        <v>3616</v>
      </c>
      <c r="O164" t="s">
        <v>74</v>
      </c>
      <c r="P164" t="s">
        <v>74</v>
      </c>
      <c r="Q164" t="s">
        <v>74</v>
      </c>
      <c r="R164" t="s">
        <v>74</v>
      </c>
      <c r="S164" t="s">
        <v>74</v>
      </c>
      <c r="T164" t="s">
        <v>74</v>
      </c>
      <c r="U164" t="s">
        <v>74</v>
      </c>
      <c r="V164" t="s">
        <v>74</v>
      </c>
      <c r="W164" t="s">
        <v>74</v>
      </c>
      <c r="X164" t="s">
        <v>74</v>
      </c>
      <c r="Y164" t="s">
        <v>74</v>
      </c>
      <c r="Z164" t="s">
        <v>3617</v>
      </c>
      <c r="AA164" t="s">
        <v>3618</v>
      </c>
      <c r="AB164" t="s">
        <v>3619</v>
      </c>
      <c r="AC164" t="s">
        <v>74</v>
      </c>
      <c r="AD164" t="s">
        <v>74</v>
      </c>
      <c r="AE164" t="s">
        <v>74</v>
      </c>
      <c r="AF164" t="s">
        <v>74</v>
      </c>
      <c r="AG164">
        <v>1</v>
      </c>
      <c r="AH164">
        <v>0</v>
      </c>
      <c r="AI164">
        <v>0</v>
      </c>
      <c r="AJ164">
        <v>0</v>
      </c>
      <c r="AK164">
        <v>9</v>
      </c>
      <c r="AL164" t="s">
        <v>3620</v>
      </c>
      <c r="AM164" t="s">
        <v>862</v>
      </c>
      <c r="AN164" t="s">
        <v>863</v>
      </c>
      <c r="AO164" t="s">
        <v>3621</v>
      </c>
      <c r="AP164" t="s">
        <v>3622</v>
      </c>
      <c r="AQ164" t="s">
        <v>74</v>
      </c>
      <c r="AR164" t="s">
        <v>3623</v>
      </c>
      <c r="AS164" t="s">
        <v>3624</v>
      </c>
      <c r="AT164" t="s">
        <v>707</v>
      </c>
      <c r="AU164">
        <v>2021</v>
      </c>
      <c r="AV164">
        <v>11</v>
      </c>
      <c r="AW164">
        <v>6</v>
      </c>
      <c r="AX164" t="s">
        <v>74</v>
      </c>
      <c r="AY164" t="s">
        <v>74</v>
      </c>
      <c r="AZ164" t="s">
        <v>74</v>
      </c>
      <c r="BA164" t="s">
        <v>74</v>
      </c>
      <c r="BB164">
        <v>551</v>
      </c>
      <c r="BC164">
        <v>551</v>
      </c>
      <c r="BD164" t="s">
        <v>74</v>
      </c>
      <c r="BE164" t="s">
        <v>3625</v>
      </c>
      <c r="BF164" t="str">
        <f>HYPERLINK("http://dx.doi.org/10.1038/s41558-021-01036-3","http://dx.doi.org/10.1038/s41558-021-01036-3")</f>
        <v>http://dx.doi.org/10.1038/s41558-021-01036-3</v>
      </c>
      <c r="BG164" t="s">
        <v>74</v>
      </c>
      <c r="BH164" t="s">
        <v>514</v>
      </c>
      <c r="BI164">
        <v>1</v>
      </c>
      <c r="BJ164" t="s">
        <v>3626</v>
      </c>
      <c r="BK164" t="s">
        <v>1038</v>
      </c>
      <c r="BL164" t="s">
        <v>200</v>
      </c>
      <c r="BM164" t="s">
        <v>3627</v>
      </c>
      <c r="BN164" t="s">
        <v>74</v>
      </c>
      <c r="BO164" t="s">
        <v>148</v>
      </c>
      <c r="BP164" t="s">
        <v>74</v>
      </c>
      <c r="BQ164" t="s">
        <v>74</v>
      </c>
      <c r="BR164" t="s">
        <v>104</v>
      </c>
      <c r="BS164" t="s">
        <v>3628</v>
      </c>
      <c r="BT164" t="str">
        <f>HYPERLINK("https%3A%2F%2Fwww.webofscience.com%2Fwos%2Fwoscc%2Ffull-record%2FWOS:000637647600001","View Full Record in Web of Science")</f>
        <v>View Full Record in Web of Science</v>
      </c>
    </row>
    <row r="165" spans="1:72" x14ac:dyDescent="0.15">
      <c r="A165" t="s">
        <v>72</v>
      </c>
      <c r="B165" t="s">
        <v>3629</v>
      </c>
      <c r="C165" t="s">
        <v>74</v>
      </c>
      <c r="D165" t="s">
        <v>74</v>
      </c>
      <c r="E165" t="s">
        <v>74</v>
      </c>
      <c r="F165" t="s">
        <v>3630</v>
      </c>
      <c r="G165" t="s">
        <v>74</v>
      </c>
      <c r="H165" t="s">
        <v>74</v>
      </c>
      <c r="I165" t="s">
        <v>3631</v>
      </c>
      <c r="J165" t="s">
        <v>1373</v>
      </c>
      <c r="K165" t="s">
        <v>74</v>
      </c>
      <c r="L165" t="s">
        <v>74</v>
      </c>
      <c r="M165" t="s">
        <v>78</v>
      </c>
      <c r="N165" t="s">
        <v>79</v>
      </c>
      <c r="O165" t="s">
        <v>74</v>
      </c>
      <c r="P165" t="s">
        <v>74</v>
      </c>
      <c r="Q165" t="s">
        <v>74</v>
      </c>
      <c r="R165" t="s">
        <v>74</v>
      </c>
      <c r="S165" t="s">
        <v>74</v>
      </c>
      <c r="T165" t="s">
        <v>74</v>
      </c>
      <c r="U165" t="s">
        <v>74</v>
      </c>
      <c r="V165" t="s">
        <v>3632</v>
      </c>
      <c r="W165" t="s">
        <v>3633</v>
      </c>
      <c r="X165" t="s">
        <v>3634</v>
      </c>
      <c r="Y165" t="s">
        <v>3635</v>
      </c>
      <c r="Z165" t="s">
        <v>3636</v>
      </c>
      <c r="AA165" t="s">
        <v>3637</v>
      </c>
      <c r="AB165" t="s">
        <v>3638</v>
      </c>
      <c r="AC165" t="s">
        <v>3639</v>
      </c>
      <c r="AD165" t="s">
        <v>3640</v>
      </c>
      <c r="AE165" t="s">
        <v>3641</v>
      </c>
      <c r="AF165" t="s">
        <v>74</v>
      </c>
      <c r="AG165">
        <v>76</v>
      </c>
      <c r="AH165">
        <v>10</v>
      </c>
      <c r="AI165">
        <v>11</v>
      </c>
      <c r="AJ165">
        <v>2</v>
      </c>
      <c r="AK165">
        <v>12</v>
      </c>
      <c r="AL165" t="s">
        <v>795</v>
      </c>
      <c r="AM165" t="s">
        <v>796</v>
      </c>
      <c r="AN165" t="s">
        <v>797</v>
      </c>
      <c r="AO165" t="s">
        <v>1385</v>
      </c>
      <c r="AP165" t="s">
        <v>1386</v>
      </c>
      <c r="AQ165" t="s">
        <v>74</v>
      </c>
      <c r="AR165" t="s">
        <v>1387</v>
      </c>
      <c r="AS165" t="s">
        <v>1388</v>
      </c>
      <c r="AT165" t="s">
        <v>127</v>
      </c>
      <c r="AU165">
        <v>2021</v>
      </c>
      <c r="AV165">
        <v>66</v>
      </c>
      <c r="AW165">
        <v>5</v>
      </c>
      <c r="AX165" t="s">
        <v>74</v>
      </c>
      <c r="AY165" t="s">
        <v>74</v>
      </c>
      <c r="AZ165" t="s">
        <v>74</v>
      </c>
      <c r="BA165" t="s">
        <v>74</v>
      </c>
      <c r="BB165">
        <v>1896</v>
      </c>
      <c r="BC165">
        <v>1914</v>
      </c>
      <c r="BD165" t="s">
        <v>74</v>
      </c>
      <c r="BE165" t="s">
        <v>3642</v>
      </c>
      <c r="BF165" t="str">
        <f>HYPERLINK("http://dx.doi.org/10.1002/lno.11731","http://dx.doi.org/10.1002/lno.11731")</f>
        <v>http://dx.doi.org/10.1002/lno.11731</v>
      </c>
      <c r="BG165" t="s">
        <v>74</v>
      </c>
      <c r="BH165" t="s">
        <v>514</v>
      </c>
      <c r="BI165">
        <v>19</v>
      </c>
      <c r="BJ165" t="s">
        <v>1390</v>
      </c>
      <c r="BK165" t="s">
        <v>101</v>
      </c>
      <c r="BL165" t="s">
        <v>1391</v>
      </c>
      <c r="BM165" t="s">
        <v>3643</v>
      </c>
      <c r="BN165" t="s">
        <v>74</v>
      </c>
      <c r="BO165" t="s">
        <v>1492</v>
      </c>
      <c r="BP165" t="s">
        <v>74</v>
      </c>
      <c r="BQ165" t="s">
        <v>74</v>
      </c>
      <c r="BR165" t="s">
        <v>104</v>
      </c>
      <c r="BS165" t="s">
        <v>3644</v>
      </c>
      <c r="BT165" t="str">
        <f>HYPERLINK("https%3A%2F%2Fwww.webofscience.com%2Fwos%2Fwoscc%2Ffull-record%2FWOS:000637429800001","View Full Record in Web of Science")</f>
        <v>View Full Record in Web of Science</v>
      </c>
    </row>
    <row r="166" spans="1:72" x14ac:dyDescent="0.15">
      <c r="A166" t="s">
        <v>72</v>
      </c>
      <c r="B166" t="s">
        <v>3645</v>
      </c>
      <c r="C166" t="s">
        <v>74</v>
      </c>
      <c r="D166" t="s">
        <v>74</v>
      </c>
      <c r="E166" t="s">
        <v>74</v>
      </c>
      <c r="F166" t="s">
        <v>3646</v>
      </c>
      <c r="G166" t="s">
        <v>74</v>
      </c>
      <c r="H166" t="s">
        <v>74</v>
      </c>
      <c r="I166" t="s">
        <v>3647</v>
      </c>
      <c r="J166" t="s">
        <v>3648</v>
      </c>
      <c r="K166" t="s">
        <v>74</v>
      </c>
      <c r="L166" t="s">
        <v>74</v>
      </c>
      <c r="M166" t="s">
        <v>78</v>
      </c>
      <c r="N166" t="s">
        <v>79</v>
      </c>
      <c r="O166" t="s">
        <v>74</v>
      </c>
      <c r="P166" t="s">
        <v>74</v>
      </c>
      <c r="Q166" t="s">
        <v>74</v>
      </c>
      <c r="R166" t="s">
        <v>74</v>
      </c>
      <c r="S166" t="s">
        <v>74</v>
      </c>
      <c r="T166" t="s">
        <v>3649</v>
      </c>
      <c r="U166" t="s">
        <v>3650</v>
      </c>
      <c r="V166" t="s">
        <v>3651</v>
      </c>
      <c r="W166" t="s">
        <v>3652</v>
      </c>
      <c r="X166" t="s">
        <v>3653</v>
      </c>
      <c r="Y166" t="s">
        <v>3654</v>
      </c>
      <c r="Z166" t="s">
        <v>3655</v>
      </c>
      <c r="AA166" t="s">
        <v>3656</v>
      </c>
      <c r="AB166" t="s">
        <v>3657</v>
      </c>
      <c r="AC166" t="s">
        <v>3658</v>
      </c>
      <c r="AD166" t="s">
        <v>3659</v>
      </c>
      <c r="AE166" t="s">
        <v>3660</v>
      </c>
      <c r="AF166" t="s">
        <v>74</v>
      </c>
      <c r="AG166">
        <v>69</v>
      </c>
      <c r="AH166">
        <v>5</v>
      </c>
      <c r="AI166">
        <v>5</v>
      </c>
      <c r="AJ166">
        <v>0</v>
      </c>
      <c r="AK166">
        <v>10</v>
      </c>
      <c r="AL166" t="s">
        <v>795</v>
      </c>
      <c r="AM166" t="s">
        <v>796</v>
      </c>
      <c r="AN166" t="s">
        <v>797</v>
      </c>
      <c r="AO166" t="s">
        <v>3661</v>
      </c>
      <c r="AP166" t="s">
        <v>74</v>
      </c>
      <c r="AQ166" t="s">
        <v>74</v>
      </c>
      <c r="AR166" t="s">
        <v>3662</v>
      </c>
      <c r="AS166" t="s">
        <v>3663</v>
      </c>
      <c r="AT166" t="s">
        <v>127</v>
      </c>
      <c r="AU166">
        <v>2021</v>
      </c>
      <c r="AV166">
        <v>11</v>
      </c>
      <c r="AW166">
        <v>9</v>
      </c>
      <c r="AX166" t="s">
        <v>74</v>
      </c>
      <c r="AY166" t="s">
        <v>74</v>
      </c>
      <c r="AZ166" t="s">
        <v>74</v>
      </c>
      <c r="BA166" t="s">
        <v>74</v>
      </c>
      <c r="BB166">
        <v>4972</v>
      </c>
      <c r="BC166">
        <v>4991</v>
      </c>
      <c r="BD166" t="s">
        <v>74</v>
      </c>
      <c r="BE166" t="s">
        <v>3664</v>
      </c>
      <c r="BF166" t="str">
        <f>HYPERLINK("http://dx.doi.org/10.1002/ece3.7501","http://dx.doi.org/10.1002/ece3.7501")</f>
        <v>http://dx.doi.org/10.1002/ece3.7501</v>
      </c>
      <c r="BG166" t="s">
        <v>74</v>
      </c>
      <c r="BH166" t="s">
        <v>514</v>
      </c>
      <c r="BI166">
        <v>20</v>
      </c>
      <c r="BJ166" t="s">
        <v>3508</v>
      </c>
      <c r="BK166" t="s">
        <v>101</v>
      </c>
      <c r="BL166" t="s">
        <v>3509</v>
      </c>
      <c r="BM166" t="s">
        <v>3665</v>
      </c>
      <c r="BN166">
        <v>33976863</v>
      </c>
      <c r="BO166" t="s">
        <v>558</v>
      </c>
      <c r="BP166" t="s">
        <v>74</v>
      </c>
      <c r="BQ166" t="s">
        <v>74</v>
      </c>
      <c r="BR166" t="s">
        <v>104</v>
      </c>
      <c r="BS166" t="s">
        <v>3666</v>
      </c>
      <c r="BT166" t="str">
        <f>HYPERLINK("https%3A%2F%2Fwww.webofscience.com%2Fwos%2Fwoscc%2Ffull-record%2FWOS:000637155500001","View Full Record in Web of Science")</f>
        <v>View Full Record in Web of Science</v>
      </c>
    </row>
    <row r="167" spans="1:72" x14ac:dyDescent="0.15">
      <c r="A167" t="s">
        <v>72</v>
      </c>
      <c r="B167" t="s">
        <v>3667</v>
      </c>
      <c r="C167" t="s">
        <v>74</v>
      </c>
      <c r="D167" t="s">
        <v>74</v>
      </c>
      <c r="E167" t="s">
        <v>74</v>
      </c>
      <c r="F167" t="s">
        <v>3668</v>
      </c>
      <c r="G167" t="s">
        <v>74</v>
      </c>
      <c r="H167" t="s">
        <v>74</v>
      </c>
      <c r="I167" t="s">
        <v>3669</v>
      </c>
      <c r="J167" t="s">
        <v>2687</v>
      </c>
      <c r="K167" t="s">
        <v>74</v>
      </c>
      <c r="L167" t="s">
        <v>74</v>
      </c>
      <c r="M167" t="s">
        <v>78</v>
      </c>
      <c r="N167" t="s">
        <v>79</v>
      </c>
      <c r="O167" t="s">
        <v>74</v>
      </c>
      <c r="P167" t="s">
        <v>74</v>
      </c>
      <c r="Q167" t="s">
        <v>74</v>
      </c>
      <c r="R167" t="s">
        <v>74</v>
      </c>
      <c r="S167" t="s">
        <v>74</v>
      </c>
      <c r="T167" t="s">
        <v>3670</v>
      </c>
      <c r="U167" t="s">
        <v>3671</v>
      </c>
      <c r="V167" t="s">
        <v>3672</v>
      </c>
      <c r="W167" t="s">
        <v>3673</v>
      </c>
      <c r="X167" t="s">
        <v>3674</v>
      </c>
      <c r="Y167" t="s">
        <v>3675</v>
      </c>
      <c r="Z167" t="s">
        <v>3676</v>
      </c>
      <c r="AA167" t="s">
        <v>74</v>
      </c>
      <c r="AB167" t="s">
        <v>3677</v>
      </c>
      <c r="AC167" t="s">
        <v>3678</v>
      </c>
      <c r="AD167" t="s">
        <v>3679</v>
      </c>
      <c r="AE167" t="s">
        <v>3680</v>
      </c>
      <c r="AF167" t="s">
        <v>74</v>
      </c>
      <c r="AG167">
        <v>95</v>
      </c>
      <c r="AH167">
        <v>10</v>
      </c>
      <c r="AI167">
        <v>10</v>
      </c>
      <c r="AJ167">
        <v>2</v>
      </c>
      <c r="AK167">
        <v>15</v>
      </c>
      <c r="AL167" t="s">
        <v>603</v>
      </c>
      <c r="AM167" t="s">
        <v>604</v>
      </c>
      <c r="AN167" t="s">
        <v>605</v>
      </c>
      <c r="AO167" t="s">
        <v>74</v>
      </c>
      <c r="AP167" t="s">
        <v>2699</v>
      </c>
      <c r="AQ167" t="s">
        <v>74</v>
      </c>
      <c r="AR167" t="s">
        <v>2700</v>
      </c>
      <c r="AS167" t="s">
        <v>2701</v>
      </c>
      <c r="AT167" t="s">
        <v>3111</v>
      </c>
      <c r="AU167">
        <v>2021</v>
      </c>
      <c r="AV167">
        <v>8</v>
      </c>
      <c r="AW167" t="s">
        <v>74</v>
      </c>
      <c r="AX167" t="s">
        <v>74</v>
      </c>
      <c r="AY167" t="s">
        <v>74</v>
      </c>
      <c r="AZ167" t="s">
        <v>74</v>
      </c>
      <c r="BA167" t="s">
        <v>74</v>
      </c>
      <c r="BB167" t="s">
        <v>74</v>
      </c>
      <c r="BC167" t="s">
        <v>74</v>
      </c>
      <c r="BD167">
        <v>629787</v>
      </c>
      <c r="BE167" t="s">
        <v>3681</v>
      </c>
      <c r="BF167" t="str">
        <f>HYPERLINK("http://dx.doi.org/10.3389/fmars.2021.629787","http://dx.doi.org/10.3389/fmars.2021.629787")</f>
        <v>http://dx.doi.org/10.3389/fmars.2021.629787</v>
      </c>
      <c r="BG167" t="s">
        <v>74</v>
      </c>
      <c r="BH167" t="s">
        <v>74</v>
      </c>
      <c r="BI167">
        <v>21</v>
      </c>
      <c r="BJ167" t="s">
        <v>1646</v>
      </c>
      <c r="BK167" t="s">
        <v>101</v>
      </c>
      <c r="BL167" t="s">
        <v>710</v>
      </c>
      <c r="BM167" t="s">
        <v>3682</v>
      </c>
      <c r="BN167" t="s">
        <v>74</v>
      </c>
      <c r="BO167" t="s">
        <v>317</v>
      </c>
      <c r="BP167" t="s">
        <v>74</v>
      </c>
      <c r="BQ167" t="s">
        <v>74</v>
      </c>
      <c r="BR167" t="s">
        <v>104</v>
      </c>
      <c r="BS167" t="s">
        <v>3683</v>
      </c>
      <c r="BT167" t="str">
        <f>HYPERLINK("https%3A%2F%2Fwww.webofscience.com%2Fwos%2Fwoscc%2Ffull-record%2FWOS:000639203800001","View Full Record in Web of Science")</f>
        <v>View Full Record in Web of Science</v>
      </c>
    </row>
    <row r="168" spans="1:72" x14ac:dyDescent="0.15">
      <c r="A168" t="s">
        <v>72</v>
      </c>
      <c r="B168" t="s">
        <v>3684</v>
      </c>
      <c r="C168" t="s">
        <v>74</v>
      </c>
      <c r="D168" t="s">
        <v>74</v>
      </c>
      <c r="E168" t="s">
        <v>74</v>
      </c>
      <c r="F168" t="s">
        <v>3685</v>
      </c>
      <c r="G168" t="s">
        <v>74</v>
      </c>
      <c r="H168" t="s">
        <v>74</v>
      </c>
      <c r="I168" t="s">
        <v>3686</v>
      </c>
      <c r="J168" t="s">
        <v>2890</v>
      </c>
      <c r="K168" t="s">
        <v>74</v>
      </c>
      <c r="L168" t="s">
        <v>74</v>
      </c>
      <c r="M168" t="s">
        <v>78</v>
      </c>
      <c r="N168" t="s">
        <v>79</v>
      </c>
      <c r="O168" t="s">
        <v>74</v>
      </c>
      <c r="P168" t="s">
        <v>74</v>
      </c>
      <c r="Q168" t="s">
        <v>74</v>
      </c>
      <c r="R168" t="s">
        <v>74</v>
      </c>
      <c r="S168" t="s">
        <v>74</v>
      </c>
      <c r="T168" t="s">
        <v>74</v>
      </c>
      <c r="U168" t="s">
        <v>3687</v>
      </c>
      <c r="V168" t="s">
        <v>3688</v>
      </c>
      <c r="W168" t="s">
        <v>3689</v>
      </c>
      <c r="X168" t="s">
        <v>3690</v>
      </c>
      <c r="Y168" t="s">
        <v>3691</v>
      </c>
      <c r="Z168" t="s">
        <v>3692</v>
      </c>
      <c r="AA168" t="s">
        <v>3693</v>
      </c>
      <c r="AB168" t="s">
        <v>3694</v>
      </c>
      <c r="AC168" t="s">
        <v>3695</v>
      </c>
      <c r="AD168" t="s">
        <v>3696</v>
      </c>
      <c r="AE168" t="s">
        <v>3697</v>
      </c>
      <c r="AF168" t="s">
        <v>74</v>
      </c>
      <c r="AG168">
        <v>160</v>
      </c>
      <c r="AH168">
        <v>5</v>
      </c>
      <c r="AI168">
        <v>5</v>
      </c>
      <c r="AJ168">
        <v>1</v>
      </c>
      <c r="AK168">
        <v>14</v>
      </c>
      <c r="AL168" t="s">
        <v>1269</v>
      </c>
      <c r="AM168" t="s">
        <v>1270</v>
      </c>
      <c r="AN168" t="s">
        <v>1271</v>
      </c>
      <c r="AO168" t="s">
        <v>2902</v>
      </c>
      <c r="AP168" t="s">
        <v>2903</v>
      </c>
      <c r="AQ168" t="s">
        <v>74</v>
      </c>
      <c r="AR168" t="s">
        <v>2904</v>
      </c>
      <c r="AS168" t="s">
        <v>2905</v>
      </c>
      <c r="AT168" t="s">
        <v>3111</v>
      </c>
      <c r="AU168">
        <v>2021</v>
      </c>
      <c r="AV168">
        <v>17</v>
      </c>
      <c r="AW168">
        <v>2</v>
      </c>
      <c r="AX168" t="s">
        <v>74</v>
      </c>
      <c r="AY168" t="s">
        <v>74</v>
      </c>
      <c r="AZ168" t="s">
        <v>74</v>
      </c>
      <c r="BA168" t="s">
        <v>74</v>
      </c>
      <c r="BB168">
        <v>753</v>
      </c>
      <c r="BC168">
        <v>774</v>
      </c>
      <c r="BD168" t="s">
        <v>74</v>
      </c>
      <c r="BE168" t="s">
        <v>3698</v>
      </c>
      <c r="BF168" t="str">
        <f>HYPERLINK("http://dx.doi.org/10.5194/cp-17-753-2021","http://dx.doi.org/10.5194/cp-17-753-2021")</f>
        <v>http://dx.doi.org/10.5194/cp-17-753-2021</v>
      </c>
      <c r="BG168" t="s">
        <v>74</v>
      </c>
      <c r="BH168" t="s">
        <v>74</v>
      </c>
      <c r="BI168">
        <v>22</v>
      </c>
      <c r="BJ168" t="s">
        <v>2907</v>
      </c>
      <c r="BK168" t="s">
        <v>101</v>
      </c>
      <c r="BL168" t="s">
        <v>2908</v>
      </c>
      <c r="BM168" t="s">
        <v>3699</v>
      </c>
      <c r="BN168" t="s">
        <v>74</v>
      </c>
      <c r="BO168" t="s">
        <v>1121</v>
      </c>
      <c r="BP168" t="s">
        <v>74</v>
      </c>
      <c r="BQ168" t="s">
        <v>74</v>
      </c>
      <c r="BR168" t="s">
        <v>104</v>
      </c>
      <c r="BS168" t="s">
        <v>3700</v>
      </c>
      <c r="BT168" t="str">
        <f>HYPERLINK("https%3A%2F%2Fwww.webofscience.com%2Fwos%2Fwoscc%2Ffull-record%2FWOS:000638138000001","View Full Record in Web of Science")</f>
        <v>View Full Record in Web of Science</v>
      </c>
    </row>
    <row r="169" spans="1:72" x14ac:dyDescent="0.15">
      <c r="A169" t="s">
        <v>72</v>
      </c>
      <c r="B169" t="s">
        <v>3701</v>
      </c>
      <c r="C169" t="s">
        <v>74</v>
      </c>
      <c r="D169" t="s">
        <v>74</v>
      </c>
      <c r="E169" t="s">
        <v>74</v>
      </c>
      <c r="F169" t="s">
        <v>3702</v>
      </c>
      <c r="G169" t="s">
        <v>74</v>
      </c>
      <c r="H169" t="s">
        <v>74</v>
      </c>
      <c r="I169" t="s">
        <v>3703</v>
      </c>
      <c r="J169" t="s">
        <v>3704</v>
      </c>
      <c r="K169" t="s">
        <v>74</v>
      </c>
      <c r="L169" t="s">
        <v>74</v>
      </c>
      <c r="M169" t="s">
        <v>78</v>
      </c>
      <c r="N169" t="s">
        <v>79</v>
      </c>
      <c r="O169" t="s">
        <v>74</v>
      </c>
      <c r="P169" t="s">
        <v>74</v>
      </c>
      <c r="Q169" t="s">
        <v>74</v>
      </c>
      <c r="R169" t="s">
        <v>74</v>
      </c>
      <c r="S169" t="s">
        <v>74</v>
      </c>
      <c r="T169" t="s">
        <v>3705</v>
      </c>
      <c r="U169" t="s">
        <v>74</v>
      </c>
      <c r="V169" t="s">
        <v>3706</v>
      </c>
      <c r="W169" t="s">
        <v>3707</v>
      </c>
      <c r="X169" t="s">
        <v>3708</v>
      </c>
      <c r="Y169" t="s">
        <v>3709</v>
      </c>
      <c r="Z169" t="s">
        <v>3710</v>
      </c>
      <c r="AA169" t="s">
        <v>3711</v>
      </c>
      <c r="AB169" t="s">
        <v>3712</v>
      </c>
      <c r="AC169" t="s">
        <v>3713</v>
      </c>
      <c r="AD169" t="s">
        <v>3714</v>
      </c>
      <c r="AE169" t="s">
        <v>3715</v>
      </c>
      <c r="AF169" t="s">
        <v>74</v>
      </c>
      <c r="AG169">
        <v>59</v>
      </c>
      <c r="AH169">
        <v>1</v>
      </c>
      <c r="AI169">
        <v>1</v>
      </c>
      <c r="AJ169">
        <v>1</v>
      </c>
      <c r="AK169">
        <v>6</v>
      </c>
      <c r="AL169" t="s">
        <v>166</v>
      </c>
      <c r="AM169" t="s">
        <v>192</v>
      </c>
      <c r="AN169" t="s">
        <v>193</v>
      </c>
      <c r="AO169" t="s">
        <v>3716</v>
      </c>
      <c r="AP169" t="s">
        <v>3717</v>
      </c>
      <c r="AQ169" t="s">
        <v>74</v>
      </c>
      <c r="AR169" t="s">
        <v>3718</v>
      </c>
      <c r="AS169" t="s">
        <v>3719</v>
      </c>
      <c r="AT169" t="s">
        <v>1364</v>
      </c>
      <c r="AU169">
        <v>2021</v>
      </c>
      <c r="AV169">
        <v>33</v>
      </c>
      <c r="AW169">
        <v>4</v>
      </c>
      <c r="AX169" t="s">
        <v>74</v>
      </c>
      <c r="AY169" t="s">
        <v>74</v>
      </c>
      <c r="AZ169" t="s">
        <v>74</v>
      </c>
      <c r="BA169" t="s">
        <v>74</v>
      </c>
      <c r="BB169">
        <v>2537</v>
      </c>
      <c r="BC169">
        <v>2546</v>
      </c>
      <c r="BD169" t="s">
        <v>74</v>
      </c>
      <c r="BE169" t="s">
        <v>3720</v>
      </c>
      <c r="BF169" t="str">
        <f>HYPERLINK("http://dx.doi.org/10.1007/s10811-021-02452-w","http://dx.doi.org/10.1007/s10811-021-02452-w")</f>
        <v>http://dx.doi.org/10.1007/s10811-021-02452-w</v>
      </c>
      <c r="BG169" t="s">
        <v>74</v>
      </c>
      <c r="BH169" t="s">
        <v>514</v>
      </c>
      <c r="BI169">
        <v>10</v>
      </c>
      <c r="BJ169" t="s">
        <v>3721</v>
      </c>
      <c r="BK169" t="s">
        <v>101</v>
      </c>
      <c r="BL169" t="s">
        <v>3721</v>
      </c>
      <c r="BM169" t="s">
        <v>3722</v>
      </c>
      <c r="BN169" t="s">
        <v>74</v>
      </c>
      <c r="BO169" t="s">
        <v>74</v>
      </c>
      <c r="BP169" t="s">
        <v>74</v>
      </c>
      <c r="BQ169" t="s">
        <v>74</v>
      </c>
      <c r="BR169" t="s">
        <v>104</v>
      </c>
      <c r="BS169" t="s">
        <v>3723</v>
      </c>
      <c r="BT169" t="str">
        <f>HYPERLINK("https%3A%2F%2Fwww.webofscience.com%2Fwos%2Fwoscc%2Ffull-record%2FWOS:000637486700001","View Full Record in Web of Science")</f>
        <v>View Full Record in Web of Science</v>
      </c>
    </row>
    <row r="170" spans="1:72" x14ac:dyDescent="0.15">
      <c r="A170" t="s">
        <v>72</v>
      </c>
      <c r="B170" t="s">
        <v>3724</v>
      </c>
      <c r="C170" t="s">
        <v>74</v>
      </c>
      <c r="D170" t="s">
        <v>74</v>
      </c>
      <c r="E170" t="s">
        <v>74</v>
      </c>
      <c r="F170" t="s">
        <v>3725</v>
      </c>
      <c r="G170" t="s">
        <v>74</v>
      </c>
      <c r="H170" t="s">
        <v>74</v>
      </c>
      <c r="I170" t="s">
        <v>3726</v>
      </c>
      <c r="J170" t="s">
        <v>3727</v>
      </c>
      <c r="K170" t="s">
        <v>74</v>
      </c>
      <c r="L170" t="s">
        <v>74</v>
      </c>
      <c r="M170" t="s">
        <v>78</v>
      </c>
      <c r="N170" t="s">
        <v>79</v>
      </c>
      <c r="O170" t="s">
        <v>74</v>
      </c>
      <c r="P170" t="s">
        <v>74</v>
      </c>
      <c r="Q170" t="s">
        <v>74</v>
      </c>
      <c r="R170" t="s">
        <v>74</v>
      </c>
      <c r="S170" t="s">
        <v>74</v>
      </c>
      <c r="T170" t="s">
        <v>3728</v>
      </c>
      <c r="U170" t="s">
        <v>74</v>
      </c>
      <c r="V170" t="s">
        <v>3729</v>
      </c>
      <c r="W170" t="s">
        <v>3730</v>
      </c>
      <c r="X170" t="s">
        <v>3731</v>
      </c>
      <c r="Y170" t="s">
        <v>3732</v>
      </c>
      <c r="Z170" t="s">
        <v>3733</v>
      </c>
      <c r="AA170" t="s">
        <v>3734</v>
      </c>
      <c r="AB170" t="s">
        <v>3735</v>
      </c>
      <c r="AC170" t="s">
        <v>3736</v>
      </c>
      <c r="AD170" t="s">
        <v>3737</v>
      </c>
      <c r="AE170" t="s">
        <v>3738</v>
      </c>
      <c r="AF170" t="s">
        <v>74</v>
      </c>
      <c r="AG170">
        <v>73</v>
      </c>
      <c r="AH170">
        <v>8</v>
      </c>
      <c r="AI170">
        <v>8</v>
      </c>
      <c r="AJ170">
        <v>1</v>
      </c>
      <c r="AK170">
        <v>11</v>
      </c>
      <c r="AL170" t="s">
        <v>166</v>
      </c>
      <c r="AM170" t="s">
        <v>167</v>
      </c>
      <c r="AN170" t="s">
        <v>168</v>
      </c>
      <c r="AO170" t="s">
        <v>3739</v>
      </c>
      <c r="AP170" t="s">
        <v>74</v>
      </c>
      <c r="AQ170" t="s">
        <v>74</v>
      </c>
      <c r="AR170" t="s">
        <v>3740</v>
      </c>
      <c r="AS170" t="s">
        <v>3741</v>
      </c>
      <c r="AT170" t="s">
        <v>3111</v>
      </c>
      <c r="AU170">
        <v>2021</v>
      </c>
      <c r="AV170">
        <v>8</v>
      </c>
      <c r="AW170">
        <v>1</v>
      </c>
      <c r="AX170" t="s">
        <v>74</v>
      </c>
      <c r="AY170" t="s">
        <v>74</v>
      </c>
      <c r="AZ170" t="s">
        <v>74</v>
      </c>
      <c r="BA170" t="s">
        <v>74</v>
      </c>
      <c r="BB170" t="s">
        <v>74</v>
      </c>
      <c r="BC170" t="s">
        <v>74</v>
      </c>
      <c r="BD170">
        <v>23</v>
      </c>
      <c r="BE170" t="s">
        <v>3742</v>
      </c>
      <c r="BF170" t="str">
        <f>HYPERLINK("http://dx.doi.org/10.1186/s40645-021-00416-9","http://dx.doi.org/10.1186/s40645-021-00416-9")</f>
        <v>http://dx.doi.org/10.1186/s40645-021-00416-9</v>
      </c>
      <c r="BG170" t="s">
        <v>74</v>
      </c>
      <c r="BH170" t="s">
        <v>74</v>
      </c>
      <c r="BI170">
        <v>13</v>
      </c>
      <c r="BJ170" t="s">
        <v>100</v>
      </c>
      <c r="BK170" t="s">
        <v>101</v>
      </c>
      <c r="BL170" t="s">
        <v>102</v>
      </c>
      <c r="BM170" t="s">
        <v>3743</v>
      </c>
      <c r="BN170" t="s">
        <v>74</v>
      </c>
      <c r="BO170" t="s">
        <v>1779</v>
      </c>
      <c r="BP170" t="s">
        <v>74</v>
      </c>
      <c r="BQ170" t="s">
        <v>74</v>
      </c>
      <c r="BR170" t="s">
        <v>104</v>
      </c>
      <c r="BS170" t="s">
        <v>3744</v>
      </c>
      <c r="BT170" t="str">
        <f>HYPERLINK("https%3A%2F%2Fwww.webofscience.com%2Fwos%2Fwoscc%2Ffull-record%2FWOS:000637502300001","View Full Record in Web of Science")</f>
        <v>View Full Record in Web of Science</v>
      </c>
    </row>
    <row r="171" spans="1:72" x14ac:dyDescent="0.15">
      <c r="A171" t="s">
        <v>72</v>
      </c>
      <c r="B171" t="s">
        <v>3745</v>
      </c>
      <c r="C171" t="s">
        <v>74</v>
      </c>
      <c r="D171" t="s">
        <v>74</v>
      </c>
      <c r="E171" t="s">
        <v>74</v>
      </c>
      <c r="F171" t="s">
        <v>3746</v>
      </c>
      <c r="G171" t="s">
        <v>74</v>
      </c>
      <c r="H171" t="s">
        <v>74</v>
      </c>
      <c r="I171" t="s">
        <v>3747</v>
      </c>
      <c r="J171" t="s">
        <v>1980</v>
      </c>
      <c r="K171" t="s">
        <v>74</v>
      </c>
      <c r="L171" t="s">
        <v>74</v>
      </c>
      <c r="M171" t="s">
        <v>78</v>
      </c>
      <c r="N171" t="s">
        <v>79</v>
      </c>
      <c r="O171" t="s">
        <v>74</v>
      </c>
      <c r="P171" t="s">
        <v>74</v>
      </c>
      <c r="Q171" t="s">
        <v>74</v>
      </c>
      <c r="R171" t="s">
        <v>74</v>
      </c>
      <c r="S171" t="s">
        <v>74</v>
      </c>
      <c r="T171" t="s">
        <v>74</v>
      </c>
      <c r="U171" t="s">
        <v>3748</v>
      </c>
      <c r="V171" t="s">
        <v>3749</v>
      </c>
      <c r="W171" t="s">
        <v>3750</v>
      </c>
      <c r="X171" t="s">
        <v>3751</v>
      </c>
      <c r="Y171" t="s">
        <v>3752</v>
      </c>
      <c r="Z171" t="s">
        <v>3753</v>
      </c>
      <c r="AA171" t="s">
        <v>3754</v>
      </c>
      <c r="AB171" t="s">
        <v>3755</v>
      </c>
      <c r="AC171" t="s">
        <v>3756</v>
      </c>
      <c r="AD171" t="s">
        <v>3757</v>
      </c>
      <c r="AE171" t="s">
        <v>3758</v>
      </c>
      <c r="AF171" t="s">
        <v>74</v>
      </c>
      <c r="AG171">
        <v>51</v>
      </c>
      <c r="AH171">
        <v>11</v>
      </c>
      <c r="AI171">
        <v>11</v>
      </c>
      <c r="AJ171">
        <v>2</v>
      </c>
      <c r="AK171">
        <v>23</v>
      </c>
      <c r="AL171" t="s">
        <v>1269</v>
      </c>
      <c r="AM171" t="s">
        <v>1270</v>
      </c>
      <c r="AN171" t="s">
        <v>1271</v>
      </c>
      <c r="AO171" t="s">
        <v>1992</v>
      </c>
      <c r="AP171" t="s">
        <v>1993</v>
      </c>
      <c r="AQ171" t="s">
        <v>74</v>
      </c>
      <c r="AR171" t="s">
        <v>1994</v>
      </c>
      <c r="AS171" t="s">
        <v>1995</v>
      </c>
      <c r="AT171" t="s">
        <v>3111</v>
      </c>
      <c r="AU171">
        <v>2021</v>
      </c>
      <c r="AV171">
        <v>21</v>
      </c>
      <c r="AW171">
        <v>7</v>
      </c>
      <c r="AX171" t="s">
        <v>74</v>
      </c>
      <c r="AY171" t="s">
        <v>74</v>
      </c>
      <c r="AZ171" t="s">
        <v>74</v>
      </c>
      <c r="BA171" t="s">
        <v>74</v>
      </c>
      <c r="BB171">
        <v>5289</v>
      </c>
      <c r="BC171">
        <v>5300</v>
      </c>
      <c r="BD171" t="s">
        <v>74</v>
      </c>
      <c r="BE171" t="s">
        <v>3759</v>
      </c>
      <c r="BF171" t="str">
        <f>HYPERLINK("http://dx.doi.org/10.5194/acp-21-5289-2021","http://dx.doi.org/10.5194/acp-21-5289-2021")</f>
        <v>http://dx.doi.org/10.5194/acp-21-5289-2021</v>
      </c>
      <c r="BG171" t="s">
        <v>74</v>
      </c>
      <c r="BH171" t="s">
        <v>74</v>
      </c>
      <c r="BI171">
        <v>12</v>
      </c>
      <c r="BJ171" t="s">
        <v>199</v>
      </c>
      <c r="BK171" t="s">
        <v>101</v>
      </c>
      <c r="BL171" t="s">
        <v>200</v>
      </c>
      <c r="BM171" t="s">
        <v>3760</v>
      </c>
      <c r="BN171" t="s">
        <v>74</v>
      </c>
      <c r="BO171" t="s">
        <v>558</v>
      </c>
      <c r="BP171" t="s">
        <v>74</v>
      </c>
      <c r="BQ171" t="s">
        <v>74</v>
      </c>
      <c r="BR171" t="s">
        <v>104</v>
      </c>
      <c r="BS171" t="s">
        <v>3761</v>
      </c>
      <c r="BT171" t="str">
        <f>HYPERLINK("https%3A%2F%2Fwww.webofscience.com%2Fwos%2Fwoscc%2Ffull-record%2FWOS:000638133200003","View Full Record in Web of Science")</f>
        <v>View Full Record in Web of Science</v>
      </c>
    </row>
    <row r="172" spans="1:72" x14ac:dyDescent="0.15">
      <c r="A172" t="s">
        <v>72</v>
      </c>
      <c r="B172" t="s">
        <v>3762</v>
      </c>
      <c r="C172" t="s">
        <v>74</v>
      </c>
      <c r="D172" t="s">
        <v>74</v>
      </c>
      <c r="E172" t="s">
        <v>74</v>
      </c>
      <c r="F172" t="s">
        <v>3763</v>
      </c>
      <c r="G172" t="s">
        <v>74</v>
      </c>
      <c r="H172" t="s">
        <v>74</v>
      </c>
      <c r="I172" t="s">
        <v>3764</v>
      </c>
      <c r="J172" t="s">
        <v>3765</v>
      </c>
      <c r="K172" t="s">
        <v>74</v>
      </c>
      <c r="L172" t="s">
        <v>74</v>
      </c>
      <c r="M172" t="s">
        <v>78</v>
      </c>
      <c r="N172" t="s">
        <v>79</v>
      </c>
      <c r="O172" t="s">
        <v>74</v>
      </c>
      <c r="P172" t="s">
        <v>74</v>
      </c>
      <c r="Q172" t="s">
        <v>74</v>
      </c>
      <c r="R172" t="s">
        <v>74</v>
      </c>
      <c r="S172" t="s">
        <v>74</v>
      </c>
      <c r="T172" t="s">
        <v>3766</v>
      </c>
      <c r="U172" t="s">
        <v>3767</v>
      </c>
      <c r="V172" t="s">
        <v>3768</v>
      </c>
      <c r="W172" t="s">
        <v>3769</v>
      </c>
      <c r="X172" t="s">
        <v>3770</v>
      </c>
      <c r="Y172" t="s">
        <v>3771</v>
      </c>
      <c r="Z172" t="s">
        <v>3772</v>
      </c>
      <c r="AA172" t="s">
        <v>3773</v>
      </c>
      <c r="AB172" t="s">
        <v>3774</v>
      </c>
      <c r="AC172" t="s">
        <v>3775</v>
      </c>
      <c r="AD172" t="s">
        <v>3775</v>
      </c>
      <c r="AE172" t="s">
        <v>3776</v>
      </c>
      <c r="AF172" t="s">
        <v>74</v>
      </c>
      <c r="AG172">
        <v>76</v>
      </c>
      <c r="AH172">
        <v>10</v>
      </c>
      <c r="AI172">
        <v>10</v>
      </c>
      <c r="AJ172">
        <v>0</v>
      </c>
      <c r="AK172">
        <v>4</v>
      </c>
      <c r="AL172" t="s">
        <v>576</v>
      </c>
      <c r="AM172" t="s">
        <v>577</v>
      </c>
      <c r="AN172" t="s">
        <v>578</v>
      </c>
      <c r="AO172" t="s">
        <v>3777</v>
      </c>
      <c r="AP172" t="s">
        <v>3778</v>
      </c>
      <c r="AQ172" t="s">
        <v>74</v>
      </c>
      <c r="AR172" t="s">
        <v>3779</v>
      </c>
      <c r="AS172" t="s">
        <v>3780</v>
      </c>
      <c r="AT172" t="s">
        <v>3781</v>
      </c>
      <c r="AU172">
        <v>2021</v>
      </c>
      <c r="AV172">
        <v>359</v>
      </c>
      <c r="AW172" t="s">
        <v>74</v>
      </c>
      <c r="AX172" t="s">
        <v>74</v>
      </c>
      <c r="AY172" t="s">
        <v>74</v>
      </c>
      <c r="AZ172" t="s">
        <v>74</v>
      </c>
      <c r="BA172" t="s">
        <v>74</v>
      </c>
      <c r="BB172" t="s">
        <v>74</v>
      </c>
      <c r="BC172" t="s">
        <v>74</v>
      </c>
      <c r="BD172">
        <v>106189</v>
      </c>
      <c r="BE172" t="s">
        <v>3782</v>
      </c>
      <c r="BF172" t="str">
        <f>HYPERLINK("http://dx.doi.org/10.1016/j.precamres.2021.106189","http://dx.doi.org/10.1016/j.precamres.2021.106189")</f>
        <v>http://dx.doi.org/10.1016/j.precamres.2021.106189</v>
      </c>
      <c r="BG172" t="s">
        <v>74</v>
      </c>
      <c r="BH172" t="s">
        <v>514</v>
      </c>
      <c r="BI172">
        <v>21</v>
      </c>
      <c r="BJ172" t="s">
        <v>100</v>
      </c>
      <c r="BK172" t="s">
        <v>101</v>
      </c>
      <c r="BL172" t="s">
        <v>102</v>
      </c>
      <c r="BM172" t="s">
        <v>3783</v>
      </c>
      <c r="BN172" t="s">
        <v>74</v>
      </c>
      <c r="BO172" t="s">
        <v>74</v>
      </c>
      <c r="BP172" t="s">
        <v>74</v>
      </c>
      <c r="BQ172" t="s">
        <v>74</v>
      </c>
      <c r="BR172" t="s">
        <v>104</v>
      </c>
      <c r="BS172" t="s">
        <v>3784</v>
      </c>
      <c r="BT172" t="str">
        <f>HYPERLINK("https%3A%2F%2Fwww.webofscience.com%2Fwos%2Fwoscc%2Ffull-record%2FWOS:000652106800013","View Full Record in Web of Science")</f>
        <v>View Full Record in Web of Science</v>
      </c>
    </row>
    <row r="173" spans="1:72" x14ac:dyDescent="0.15">
      <c r="A173" t="s">
        <v>72</v>
      </c>
      <c r="B173" t="s">
        <v>3785</v>
      </c>
      <c r="C173" t="s">
        <v>74</v>
      </c>
      <c r="D173" t="s">
        <v>74</v>
      </c>
      <c r="E173" t="s">
        <v>74</v>
      </c>
      <c r="F173" t="s">
        <v>3786</v>
      </c>
      <c r="G173" t="s">
        <v>74</v>
      </c>
      <c r="H173" t="s">
        <v>74</v>
      </c>
      <c r="I173" t="s">
        <v>3787</v>
      </c>
      <c r="J173" t="s">
        <v>3788</v>
      </c>
      <c r="K173" t="s">
        <v>74</v>
      </c>
      <c r="L173" t="s">
        <v>74</v>
      </c>
      <c r="M173" t="s">
        <v>78</v>
      </c>
      <c r="N173" t="s">
        <v>1799</v>
      </c>
      <c r="O173" t="s">
        <v>74</v>
      </c>
      <c r="P173" t="s">
        <v>74</v>
      </c>
      <c r="Q173" t="s">
        <v>74</v>
      </c>
      <c r="R173" t="s">
        <v>74</v>
      </c>
      <c r="S173" t="s">
        <v>74</v>
      </c>
      <c r="T173" t="s">
        <v>3789</v>
      </c>
      <c r="U173" t="s">
        <v>3790</v>
      </c>
      <c r="V173" t="s">
        <v>3791</v>
      </c>
      <c r="W173" t="s">
        <v>3792</v>
      </c>
      <c r="X173" t="s">
        <v>3793</v>
      </c>
      <c r="Y173" t="s">
        <v>3794</v>
      </c>
      <c r="Z173" t="s">
        <v>3795</v>
      </c>
      <c r="AA173" t="s">
        <v>3796</v>
      </c>
      <c r="AB173" t="s">
        <v>3797</v>
      </c>
      <c r="AC173" t="s">
        <v>3798</v>
      </c>
      <c r="AD173" t="s">
        <v>3799</v>
      </c>
      <c r="AE173" t="s">
        <v>3800</v>
      </c>
      <c r="AF173" t="s">
        <v>74</v>
      </c>
      <c r="AG173">
        <v>98</v>
      </c>
      <c r="AH173">
        <v>29</v>
      </c>
      <c r="AI173">
        <v>32</v>
      </c>
      <c r="AJ173">
        <v>2</v>
      </c>
      <c r="AK173">
        <v>27</v>
      </c>
      <c r="AL173" t="s">
        <v>3801</v>
      </c>
      <c r="AM173" t="s">
        <v>1909</v>
      </c>
      <c r="AN173" t="s">
        <v>3802</v>
      </c>
      <c r="AO173" t="s">
        <v>3803</v>
      </c>
      <c r="AP173" t="s">
        <v>3804</v>
      </c>
      <c r="AQ173" t="s">
        <v>74</v>
      </c>
      <c r="AR173" t="s">
        <v>3805</v>
      </c>
      <c r="AS173" t="s">
        <v>3806</v>
      </c>
      <c r="AT173" t="s">
        <v>3807</v>
      </c>
      <c r="AU173">
        <v>2021</v>
      </c>
      <c r="AV173">
        <v>379</v>
      </c>
      <c r="AW173">
        <v>2194</v>
      </c>
      <c r="AX173" t="s">
        <v>74</v>
      </c>
      <c r="AY173" t="s">
        <v>74</v>
      </c>
      <c r="AZ173" t="s">
        <v>74</v>
      </c>
      <c r="BA173" t="s">
        <v>74</v>
      </c>
      <c r="BB173" t="s">
        <v>74</v>
      </c>
      <c r="BC173" t="s">
        <v>74</v>
      </c>
      <c r="BD173">
        <v>20200091</v>
      </c>
      <c r="BE173" t="s">
        <v>3808</v>
      </c>
      <c r="BF173" t="str">
        <f>HYPERLINK("http://dx.doi.org/10.1098/rsta.2020.0091","http://dx.doi.org/10.1098/rsta.2020.0091")</f>
        <v>http://dx.doi.org/10.1098/rsta.2020.0091</v>
      </c>
      <c r="BG173" t="s">
        <v>74</v>
      </c>
      <c r="BH173" t="s">
        <v>74</v>
      </c>
      <c r="BI173">
        <v>21</v>
      </c>
      <c r="BJ173" t="s">
        <v>555</v>
      </c>
      <c r="BK173" t="s">
        <v>101</v>
      </c>
      <c r="BL173" t="s">
        <v>556</v>
      </c>
      <c r="BM173" t="s">
        <v>3809</v>
      </c>
      <c r="BN173">
        <v>33583264</v>
      </c>
      <c r="BO173" t="s">
        <v>2344</v>
      </c>
      <c r="BP173" t="s">
        <v>74</v>
      </c>
      <c r="BQ173" t="s">
        <v>74</v>
      </c>
      <c r="BR173" t="s">
        <v>104</v>
      </c>
      <c r="BS173" t="s">
        <v>3810</v>
      </c>
      <c r="BT173" t="str">
        <f>HYPERLINK("https%3A%2F%2Fwww.webofscience.com%2Fwos%2Fwoscc%2Ffull-record%2FWOS:000649132600005","View Full Record in Web of Science")</f>
        <v>View Full Record in Web of Science</v>
      </c>
    </row>
    <row r="174" spans="1:72" x14ac:dyDescent="0.15">
      <c r="A174" t="s">
        <v>72</v>
      </c>
      <c r="B174" t="s">
        <v>3811</v>
      </c>
      <c r="C174" t="s">
        <v>74</v>
      </c>
      <c r="D174" t="s">
        <v>74</v>
      </c>
      <c r="E174" t="s">
        <v>74</v>
      </c>
      <c r="F174" t="s">
        <v>3812</v>
      </c>
      <c r="G174" t="s">
        <v>74</v>
      </c>
      <c r="H174" t="s">
        <v>74</v>
      </c>
      <c r="I174" t="s">
        <v>3813</v>
      </c>
      <c r="J174" t="s">
        <v>1349</v>
      </c>
      <c r="K174" t="s">
        <v>74</v>
      </c>
      <c r="L174" t="s">
        <v>74</v>
      </c>
      <c r="M174" t="s">
        <v>78</v>
      </c>
      <c r="N174" t="s">
        <v>79</v>
      </c>
      <c r="O174" t="s">
        <v>74</v>
      </c>
      <c r="P174" t="s">
        <v>74</v>
      </c>
      <c r="Q174" t="s">
        <v>74</v>
      </c>
      <c r="R174" t="s">
        <v>74</v>
      </c>
      <c r="S174" t="s">
        <v>74</v>
      </c>
      <c r="T174" t="s">
        <v>3814</v>
      </c>
      <c r="U174" t="s">
        <v>3815</v>
      </c>
      <c r="V174" t="s">
        <v>3816</v>
      </c>
      <c r="W174" t="s">
        <v>3817</v>
      </c>
      <c r="X174" t="s">
        <v>3818</v>
      </c>
      <c r="Y174" t="s">
        <v>3819</v>
      </c>
      <c r="Z174" t="s">
        <v>3820</v>
      </c>
      <c r="AA174" t="s">
        <v>3821</v>
      </c>
      <c r="AB174" t="s">
        <v>3822</v>
      </c>
      <c r="AC174" t="s">
        <v>3823</v>
      </c>
      <c r="AD174" t="s">
        <v>3824</v>
      </c>
      <c r="AE174" t="s">
        <v>3825</v>
      </c>
      <c r="AF174" t="s">
        <v>74</v>
      </c>
      <c r="AG174">
        <v>96</v>
      </c>
      <c r="AH174">
        <v>2</v>
      </c>
      <c r="AI174">
        <v>2</v>
      </c>
      <c r="AJ174">
        <v>1</v>
      </c>
      <c r="AK174">
        <v>11</v>
      </c>
      <c r="AL174" t="s">
        <v>795</v>
      </c>
      <c r="AM174" t="s">
        <v>796</v>
      </c>
      <c r="AN174" t="s">
        <v>797</v>
      </c>
      <c r="AO174" t="s">
        <v>1360</v>
      </c>
      <c r="AP174" t="s">
        <v>1361</v>
      </c>
      <c r="AQ174" t="s">
        <v>74</v>
      </c>
      <c r="AR174" t="s">
        <v>1362</v>
      </c>
      <c r="AS174" t="s">
        <v>1363</v>
      </c>
      <c r="AT174" t="s">
        <v>1035</v>
      </c>
      <c r="AU174">
        <v>2021</v>
      </c>
      <c r="AV174">
        <v>31</v>
      </c>
      <c r="AW174">
        <v>7</v>
      </c>
      <c r="AX174" t="s">
        <v>74</v>
      </c>
      <c r="AY174" t="s">
        <v>74</v>
      </c>
      <c r="AZ174" t="s">
        <v>74</v>
      </c>
      <c r="BA174" t="s">
        <v>74</v>
      </c>
      <c r="BB174">
        <v>1715</v>
      </c>
      <c r="BC174">
        <v>1729</v>
      </c>
      <c r="BD174" t="s">
        <v>74</v>
      </c>
      <c r="BE174" t="s">
        <v>3826</v>
      </c>
      <c r="BF174" t="str">
        <f>HYPERLINK("http://dx.doi.org/10.1002/aqc.3573","http://dx.doi.org/10.1002/aqc.3573")</f>
        <v>http://dx.doi.org/10.1002/aqc.3573</v>
      </c>
      <c r="BG174" t="s">
        <v>74</v>
      </c>
      <c r="BH174" t="s">
        <v>514</v>
      </c>
      <c r="BI174">
        <v>15</v>
      </c>
      <c r="BJ174" t="s">
        <v>1366</v>
      </c>
      <c r="BK174" t="s">
        <v>101</v>
      </c>
      <c r="BL174" t="s">
        <v>1367</v>
      </c>
      <c r="BM174" t="s">
        <v>3827</v>
      </c>
      <c r="BN174" t="s">
        <v>74</v>
      </c>
      <c r="BO174" t="s">
        <v>2344</v>
      </c>
      <c r="BP174" t="s">
        <v>74</v>
      </c>
      <c r="BQ174" t="s">
        <v>74</v>
      </c>
      <c r="BR174" t="s">
        <v>104</v>
      </c>
      <c r="BS174" t="s">
        <v>3828</v>
      </c>
      <c r="BT174" t="str">
        <f>HYPERLINK("https%3A%2F%2Fwww.webofscience.com%2Fwos%2Fwoscc%2Ffull-record%2FWOS:000636597200001","View Full Record in Web of Science")</f>
        <v>View Full Record in Web of Science</v>
      </c>
    </row>
    <row r="175" spans="1:72" x14ac:dyDescent="0.15">
      <c r="A175" t="s">
        <v>72</v>
      </c>
      <c r="B175" t="s">
        <v>3829</v>
      </c>
      <c r="C175" t="s">
        <v>74</v>
      </c>
      <c r="D175" t="s">
        <v>74</v>
      </c>
      <c r="E175" t="s">
        <v>74</v>
      </c>
      <c r="F175" t="s">
        <v>3830</v>
      </c>
      <c r="G175" t="s">
        <v>74</v>
      </c>
      <c r="H175" t="s">
        <v>74</v>
      </c>
      <c r="I175" t="s">
        <v>3831</v>
      </c>
      <c r="J175" t="s">
        <v>3832</v>
      </c>
      <c r="K175" t="s">
        <v>74</v>
      </c>
      <c r="L175" t="s">
        <v>74</v>
      </c>
      <c r="M175" t="s">
        <v>78</v>
      </c>
      <c r="N175" t="s">
        <v>79</v>
      </c>
      <c r="O175" t="s">
        <v>74</v>
      </c>
      <c r="P175" t="s">
        <v>74</v>
      </c>
      <c r="Q175" t="s">
        <v>74</v>
      </c>
      <c r="R175" t="s">
        <v>74</v>
      </c>
      <c r="S175" t="s">
        <v>74</v>
      </c>
      <c r="T175" t="s">
        <v>3833</v>
      </c>
      <c r="U175" t="s">
        <v>3834</v>
      </c>
      <c r="V175" t="s">
        <v>3835</v>
      </c>
      <c r="W175" t="s">
        <v>3836</v>
      </c>
      <c r="X175" t="s">
        <v>3837</v>
      </c>
      <c r="Y175" t="s">
        <v>3838</v>
      </c>
      <c r="Z175" t="s">
        <v>3839</v>
      </c>
      <c r="AA175" t="s">
        <v>74</v>
      </c>
      <c r="AB175" t="s">
        <v>3840</v>
      </c>
      <c r="AC175" t="s">
        <v>3841</v>
      </c>
      <c r="AD175" t="s">
        <v>3842</v>
      </c>
      <c r="AE175" t="s">
        <v>3843</v>
      </c>
      <c r="AF175" t="s">
        <v>74</v>
      </c>
      <c r="AG175">
        <v>65</v>
      </c>
      <c r="AH175">
        <v>1</v>
      </c>
      <c r="AI175">
        <v>1</v>
      </c>
      <c r="AJ175">
        <v>0</v>
      </c>
      <c r="AK175">
        <v>3</v>
      </c>
      <c r="AL175" t="s">
        <v>795</v>
      </c>
      <c r="AM175" t="s">
        <v>796</v>
      </c>
      <c r="AN175" t="s">
        <v>797</v>
      </c>
      <c r="AO175" t="s">
        <v>3844</v>
      </c>
      <c r="AP175" t="s">
        <v>3845</v>
      </c>
      <c r="AQ175" t="s">
        <v>74</v>
      </c>
      <c r="AR175" t="s">
        <v>3846</v>
      </c>
      <c r="AS175" t="s">
        <v>3847</v>
      </c>
      <c r="AT175" t="s">
        <v>845</v>
      </c>
      <c r="AU175">
        <v>2021</v>
      </c>
      <c r="AV175">
        <v>37</v>
      </c>
      <c r="AW175">
        <v>4</v>
      </c>
      <c r="AX175" t="s">
        <v>74</v>
      </c>
      <c r="AY175" t="s">
        <v>74</v>
      </c>
      <c r="AZ175" t="s">
        <v>74</v>
      </c>
      <c r="BA175" t="s">
        <v>74</v>
      </c>
      <c r="BB175">
        <v>1277</v>
      </c>
      <c r="BC175">
        <v>1291</v>
      </c>
      <c r="BD175" t="s">
        <v>74</v>
      </c>
      <c r="BE175" t="s">
        <v>3848</v>
      </c>
      <c r="BF175" t="str">
        <f>HYPERLINK("http://dx.doi.org/10.1111/mms.12812","http://dx.doi.org/10.1111/mms.12812")</f>
        <v>http://dx.doi.org/10.1111/mms.12812</v>
      </c>
      <c r="BG175" t="s">
        <v>74</v>
      </c>
      <c r="BH175" t="s">
        <v>514</v>
      </c>
      <c r="BI175">
        <v>15</v>
      </c>
      <c r="BJ175" t="s">
        <v>3849</v>
      </c>
      <c r="BK175" t="s">
        <v>101</v>
      </c>
      <c r="BL175" t="s">
        <v>3849</v>
      </c>
      <c r="BM175" t="s">
        <v>3850</v>
      </c>
      <c r="BN175" t="s">
        <v>74</v>
      </c>
      <c r="BO175" t="s">
        <v>74</v>
      </c>
      <c r="BP175" t="s">
        <v>74</v>
      </c>
      <c r="BQ175" t="s">
        <v>74</v>
      </c>
      <c r="BR175" t="s">
        <v>104</v>
      </c>
      <c r="BS175" t="s">
        <v>3851</v>
      </c>
      <c r="BT175" t="str">
        <f>HYPERLINK("https%3A%2F%2Fwww.webofscience.com%2Fwos%2Fwoscc%2Ffull-record%2FWOS:000636601500001","View Full Record in Web of Science")</f>
        <v>View Full Record in Web of Science</v>
      </c>
    </row>
    <row r="176" spans="1:72" x14ac:dyDescent="0.15">
      <c r="A176" t="s">
        <v>72</v>
      </c>
      <c r="B176" t="s">
        <v>3852</v>
      </c>
      <c r="C176" t="s">
        <v>74</v>
      </c>
      <c r="D176" t="s">
        <v>74</v>
      </c>
      <c r="E176" t="s">
        <v>74</v>
      </c>
      <c r="F176" t="s">
        <v>3853</v>
      </c>
      <c r="G176" t="s">
        <v>74</v>
      </c>
      <c r="H176" t="s">
        <v>74</v>
      </c>
      <c r="I176" t="s">
        <v>3854</v>
      </c>
      <c r="J176" t="s">
        <v>3855</v>
      </c>
      <c r="K176" t="s">
        <v>74</v>
      </c>
      <c r="L176" t="s">
        <v>74</v>
      </c>
      <c r="M176" t="s">
        <v>78</v>
      </c>
      <c r="N176" t="s">
        <v>79</v>
      </c>
      <c r="O176" t="s">
        <v>74</v>
      </c>
      <c r="P176" t="s">
        <v>74</v>
      </c>
      <c r="Q176" t="s">
        <v>74</v>
      </c>
      <c r="R176" t="s">
        <v>74</v>
      </c>
      <c r="S176" t="s">
        <v>74</v>
      </c>
      <c r="T176" t="s">
        <v>3856</v>
      </c>
      <c r="U176" t="s">
        <v>3857</v>
      </c>
      <c r="V176" t="s">
        <v>3858</v>
      </c>
      <c r="W176" t="s">
        <v>3859</v>
      </c>
      <c r="X176" t="s">
        <v>3860</v>
      </c>
      <c r="Y176" t="s">
        <v>3861</v>
      </c>
      <c r="Z176" t="s">
        <v>3862</v>
      </c>
      <c r="AA176" t="s">
        <v>74</v>
      </c>
      <c r="AB176" t="s">
        <v>74</v>
      </c>
      <c r="AC176" t="s">
        <v>74</v>
      </c>
      <c r="AD176" t="s">
        <v>74</v>
      </c>
      <c r="AE176" t="s">
        <v>74</v>
      </c>
      <c r="AF176" t="s">
        <v>74</v>
      </c>
      <c r="AG176">
        <v>63</v>
      </c>
      <c r="AH176">
        <v>2</v>
      </c>
      <c r="AI176">
        <v>2</v>
      </c>
      <c r="AJ176">
        <v>1</v>
      </c>
      <c r="AK176">
        <v>2</v>
      </c>
      <c r="AL176" t="s">
        <v>2922</v>
      </c>
      <c r="AM176" t="s">
        <v>2923</v>
      </c>
      <c r="AN176" t="s">
        <v>2924</v>
      </c>
      <c r="AO176" t="s">
        <v>3863</v>
      </c>
      <c r="AP176" t="s">
        <v>3864</v>
      </c>
      <c r="AQ176" t="s">
        <v>74</v>
      </c>
      <c r="AR176" t="s">
        <v>3855</v>
      </c>
      <c r="AS176" t="s">
        <v>3865</v>
      </c>
      <c r="AT176" t="s">
        <v>3866</v>
      </c>
      <c r="AU176">
        <v>2021</v>
      </c>
      <c r="AV176">
        <v>45</v>
      </c>
      <c r="AW176">
        <v>2</v>
      </c>
      <c r="AX176" t="s">
        <v>74</v>
      </c>
      <c r="AY176" t="s">
        <v>74</v>
      </c>
      <c r="AZ176" t="s">
        <v>74</v>
      </c>
      <c r="BA176" t="s">
        <v>74</v>
      </c>
      <c r="BB176">
        <v>217</v>
      </c>
      <c r="BC176">
        <v>259</v>
      </c>
      <c r="BD176" t="s">
        <v>74</v>
      </c>
      <c r="BE176" t="s">
        <v>3867</v>
      </c>
      <c r="BF176" t="str">
        <f>HYPERLINK("http://dx.doi.org/10.1080/03115518.2021.1937700","http://dx.doi.org/10.1080/03115518.2021.1937700")</f>
        <v>http://dx.doi.org/10.1080/03115518.2021.1937700</v>
      </c>
      <c r="BG176" t="s">
        <v>74</v>
      </c>
      <c r="BH176" t="s">
        <v>74</v>
      </c>
      <c r="BI176">
        <v>43</v>
      </c>
      <c r="BJ176" t="s">
        <v>3868</v>
      </c>
      <c r="BK176" t="s">
        <v>101</v>
      </c>
      <c r="BL176" t="s">
        <v>3868</v>
      </c>
      <c r="BM176" t="s">
        <v>3869</v>
      </c>
      <c r="BN176" t="s">
        <v>74</v>
      </c>
      <c r="BO176" t="s">
        <v>74</v>
      </c>
      <c r="BP176" t="s">
        <v>74</v>
      </c>
      <c r="BQ176" t="s">
        <v>74</v>
      </c>
      <c r="BR176" t="s">
        <v>104</v>
      </c>
      <c r="BS176" t="s">
        <v>3870</v>
      </c>
      <c r="BT176" t="str">
        <f>HYPERLINK("https%3A%2F%2Fwww.webofscience.com%2Fwos%2Fwoscc%2Ffull-record%2FWOS:000695969800006","View Full Record in Web of Science")</f>
        <v>View Full Record in Web of Science</v>
      </c>
    </row>
    <row r="177" spans="1:72" x14ac:dyDescent="0.15">
      <c r="A177" t="s">
        <v>72</v>
      </c>
      <c r="B177" t="s">
        <v>3871</v>
      </c>
      <c r="C177" t="s">
        <v>74</v>
      </c>
      <c r="D177" t="s">
        <v>74</v>
      </c>
      <c r="E177" t="s">
        <v>74</v>
      </c>
      <c r="F177" t="s">
        <v>3872</v>
      </c>
      <c r="G177" t="s">
        <v>74</v>
      </c>
      <c r="H177" t="s">
        <v>74</v>
      </c>
      <c r="I177" t="s">
        <v>3873</v>
      </c>
      <c r="J177" t="s">
        <v>3874</v>
      </c>
      <c r="K177" t="s">
        <v>74</v>
      </c>
      <c r="L177" t="s">
        <v>74</v>
      </c>
      <c r="M177" t="s">
        <v>78</v>
      </c>
      <c r="N177" t="s">
        <v>79</v>
      </c>
      <c r="O177" t="s">
        <v>74</v>
      </c>
      <c r="P177" t="s">
        <v>74</v>
      </c>
      <c r="Q177" t="s">
        <v>74</v>
      </c>
      <c r="R177" t="s">
        <v>74</v>
      </c>
      <c r="S177" t="s">
        <v>74</v>
      </c>
      <c r="T177" t="s">
        <v>3875</v>
      </c>
      <c r="U177" t="s">
        <v>3876</v>
      </c>
      <c r="V177" t="s">
        <v>3877</v>
      </c>
      <c r="W177" t="s">
        <v>3878</v>
      </c>
      <c r="X177" t="s">
        <v>3879</v>
      </c>
      <c r="Y177" t="s">
        <v>3880</v>
      </c>
      <c r="Z177" t="s">
        <v>3881</v>
      </c>
      <c r="AA177" t="s">
        <v>3882</v>
      </c>
      <c r="AB177" t="s">
        <v>3883</v>
      </c>
      <c r="AC177" t="s">
        <v>3884</v>
      </c>
      <c r="AD177" t="s">
        <v>3885</v>
      </c>
      <c r="AE177" t="s">
        <v>3886</v>
      </c>
      <c r="AF177" t="s">
        <v>74</v>
      </c>
      <c r="AG177">
        <v>70</v>
      </c>
      <c r="AH177">
        <v>6</v>
      </c>
      <c r="AI177">
        <v>6</v>
      </c>
      <c r="AJ177">
        <v>0</v>
      </c>
      <c r="AK177">
        <v>9</v>
      </c>
      <c r="AL177" t="s">
        <v>2922</v>
      </c>
      <c r="AM177" t="s">
        <v>2923</v>
      </c>
      <c r="AN177" t="s">
        <v>2924</v>
      </c>
      <c r="AO177" t="s">
        <v>3887</v>
      </c>
      <c r="AP177" t="s">
        <v>3888</v>
      </c>
      <c r="AQ177" t="s">
        <v>74</v>
      </c>
      <c r="AR177" t="s">
        <v>3889</v>
      </c>
      <c r="AS177" t="s">
        <v>3890</v>
      </c>
      <c r="AT177" t="s">
        <v>3866</v>
      </c>
      <c r="AU177">
        <v>2021</v>
      </c>
      <c r="AV177">
        <v>55</v>
      </c>
      <c r="AW177" t="s">
        <v>3891</v>
      </c>
      <c r="AX177" t="s">
        <v>74</v>
      </c>
      <c r="AY177" t="s">
        <v>74</v>
      </c>
      <c r="AZ177" t="s">
        <v>74</v>
      </c>
      <c r="BA177" t="s">
        <v>74</v>
      </c>
      <c r="BB177">
        <v>867</v>
      </c>
      <c r="BC177">
        <v>887</v>
      </c>
      <c r="BD177" t="s">
        <v>74</v>
      </c>
      <c r="BE177" t="s">
        <v>3892</v>
      </c>
      <c r="BF177" t="str">
        <f>HYPERLINK("http://dx.doi.org/10.1080/00222933.2021.1923852","http://dx.doi.org/10.1080/00222933.2021.1923852")</f>
        <v>http://dx.doi.org/10.1080/00222933.2021.1923852</v>
      </c>
      <c r="BG177" t="s">
        <v>74</v>
      </c>
      <c r="BH177" t="s">
        <v>74</v>
      </c>
      <c r="BI177">
        <v>21</v>
      </c>
      <c r="BJ177" t="s">
        <v>3893</v>
      </c>
      <c r="BK177" t="s">
        <v>101</v>
      </c>
      <c r="BL177" t="s">
        <v>3894</v>
      </c>
      <c r="BM177" t="s">
        <v>3895</v>
      </c>
      <c r="BN177" t="s">
        <v>74</v>
      </c>
      <c r="BO177" t="s">
        <v>74</v>
      </c>
      <c r="BP177" t="s">
        <v>74</v>
      </c>
      <c r="BQ177" t="s">
        <v>74</v>
      </c>
      <c r="BR177" t="s">
        <v>104</v>
      </c>
      <c r="BS177" t="s">
        <v>3896</v>
      </c>
      <c r="BT177" t="str">
        <f>HYPERLINK("https%3A%2F%2Fwww.webofscience.com%2Fwos%2Fwoscc%2Ffull-record%2FWOS:000662248100001","View Full Record in Web of Science")</f>
        <v>View Full Record in Web of Science</v>
      </c>
    </row>
    <row r="178" spans="1:72" x14ac:dyDescent="0.15">
      <c r="A178" t="s">
        <v>72</v>
      </c>
      <c r="B178" t="s">
        <v>3897</v>
      </c>
      <c r="C178" t="s">
        <v>74</v>
      </c>
      <c r="D178" t="s">
        <v>74</v>
      </c>
      <c r="E178" t="s">
        <v>74</v>
      </c>
      <c r="F178" t="s">
        <v>3898</v>
      </c>
      <c r="G178" t="s">
        <v>74</v>
      </c>
      <c r="H178" t="s">
        <v>74</v>
      </c>
      <c r="I178" t="s">
        <v>3899</v>
      </c>
      <c r="J178" t="s">
        <v>3900</v>
      </c>
      <c r="K178" t="s">
        <v>74</v>
      </c>
      <c r="L178" t="s">
        <v>74</v>
      </c>
      <c r="M178" t="s">
        <v>78</v>
      </c>
      <c r="N178" t="s">
        <v>79</v>
      </c>
      <c r="O178" t="s">
        <v>74</v>
      </c>
      <c r="P178" t="s">
        <v>74</v>
      </c>
      <c r="Q178" t="s">
        <v>74</v>
      </c>
      <c r="R178" t="s">
        <v>74</v>
      </c>
      <c r="S178" t="s">
        <v>74</v>
      </c>
      <c r="T178" t="s">
        <v>3901</v>
      </c>
      <c r="U178" t="s">
        <v>74</v>
      </c>
      <c r="V178" t="s">
        <v>3902</v>
      </c>
      <c r="W178" t="s">
        <v>3903</v>
      </c>
      <c r="X178" t="s">
        <v>3904</v>
      </c>
      <c r="Y178" t="s">
        <v>3905</v>
      </c>
      <c r="Z178" t="s">
        <v>3906</v>
      </c>
      <c r="AA178" t="s">
        <v>3907</v>
      </c>
      <c r="AB178" t="s">
        <v>3908</v>
      </c>
      <c r="AC178" t="s">
        <v>3909</v>
      </c>
      <c r="AD178" t="s">
        <v>3910</v>
      </c>
      <c r="AE178" t="s">
        <v>3911</v>
      </c>
      <c r="AF178" t="s">
        <v>74</v>
      </c>
      <c r="AG178">
        <v>20</v>
      </c>
      <c r="AH178">
        <v>3</v>
      </c>
      <c r="AI178">
        <v>3</v>
      </c>
      <c r="AJ178">
        <v>0</v>
      </c>
      <c r="AK178">
        <v>3</v>
      </c>
      <c r="AL178" t="s">
        <v>2922</v>
      </c>
      <c r="AM178" t="s">
        <v>2923</v>
      </c>
      <c r="AN178" t="s">
        <v>2924</v>
      </c>
      <c r="AO178" t="s">
        <v>74</v>
      </c>
      <c r="AP178" t="s">
        <v>3912</v>
      </c>
      <c r="AQ178" t="s">
        <v>74</v>
      </c>
      <c r="AR178" t="s">
        <v>3913</v>
      </c>
      <c r="AS178" t="s">
        <v>3914</v>
      </c>
      <c r="AT178" t="s">
        <v>3866</v>
      </c>
      <c r="AU178">
        <v>2021</v>
      </c>
      <c r="AV178">
        <v>6</v>
      </c>
      <c r="AW178">
        <v>4</v>
      </c>
      <c r="AX178" t="s">
        <v>74</v>
      </c>
      <c r="AY178" t="s">
        <v>74</v>
      </c>
      <c r="AZ178" t="s">
        <v>74</v>
      </c>
      <c r="BA178" t="s">
        <v>74</v>
      </c>
      <c r="BB178">
        <v>1507</v>
      </c>
      <c r="BC178">
        <v>1511</v>
      </c>
      <c r="BD178" t="s">
        <v>74</v>
      </c>
      <c r="BE178" t="s">
        <v>3915</v>
      </c>
      <c r="BF178" t="str">
        <f>HYPERLINK("http://dx.doi.org/10.1080/23802359.2021.1914234","http://dx.doi.org/10.1080/23802359.2021.1914234")</f>
        <v>http://dx.doi.org/10.1080/23802359.2021.1914234</v>
      </c>
      <c r="BG178" t="s">
        <v>74</v>
      </c>
      <c r="BH178" t="s">
        <v>74</v>
      </c>
      <c r="BI178">
        <v>5</v>
      </c>
      <c r="BJ178" t="s">
        <v>3916</v>
      </c>
      <c r="BK178" t="s">
        <v>101</v>
      </c>
      <c r="BL178" t="s">
        <v>3916</v>
      </c>
      <c r="BM178" t="s">
        <v>3917</v>
      </c>
      <c r="BN178" t="s">
        <v>74</v>
      </c>
      <c r="BO178" t="s">
        <v>3593</v>
      </c>
      <c r="BP178" t="s">
        <v>74</v>
      </c>
      <c r="BQ178" t="s">
        <v>74</v>
      </c>
      <c r="BR178" t="s">
        <v>104</v>
      </c>
      <c r="BS178" t="s">
        <v>3918</v>
      </c>
      <c r="BT178" t="str">
        <f>HYPERLINK("https%3A%2F%2Fwww.webofscience.com%2Fwos%2Fwoscc%2Ffull-record%2FWOS:000645015100001","View Full Record in Web of Science")</f>
        <v>View Full Record in Web of Science</v>
      </c>
    </row>
    <row r="179" spans="1:72" x14ac:dyDescent="0.15">
      <c r="A179" t="s">
        <v>72</v>
      </c>
      <c r="B179" t="s">
        <v>3919</v>
      </c>
      <c r="C179" t="s">
        <v>74</v>
      </c>
      <c r="D179" t="s">
        <v>74</v>
      </c>
      <c r="E179" t="s">
        <v>74</v>
      </c>
      <c r="F179" t="s">
        <v>3920</v>
      </c>
      <c r="G179" t="s">
        <v>74</v>
      </c>
      <c r="H179" t="s">
        <v>74</v>
      </c>
      <c r="I179" t="s">
        <v>3921</v>
      </c>
      <c r="J179" t="s">
        <v>3922</v>
      </c>
      <c r="K179" t="s">
        <v>74</v>
      </c>
      <c r="L179" t="s">
        <v>74</v>
      </c>
      <c r="M179" t="s">
        <v>78</v>
      </c>
      <c r="N179" t="s">
        <v>1074</v>
      </c>
      <c r="O179" t="s">
        <v>74</v>
      </c>
      <c r="P179" t="s">
        <v>74</v>
      </c>
      <c r="Q179" t="s">
        <v>74</v>
      </c>
      <c r="R179" t="s">
        <v>74</v>
      </c>
      <c r="S179" t="s">
        <v>74</v>
      </c>
      <c r="T179" t="s">
        <v>74</v>
      </c>
      <c r="U179" t="s">
        <v>3923</v>
      </c>
      <c r="V179" t="s">
        <v>3924</v>
      </c>
      <c r="W179" t="s">
        <v>3925</v>
      </c>
      <c r="X179" t="s">
        <v>3926</v>
      </c>
      <c r="Y179" t="s">
        <v>3927</v>
      </c>
      <c r="Z179" t="s">
        <v>3928</v>
      </c>
      <c r="AA179" t="s">
        <v>3929</v>
      </c>
      <c r="AB179" t="s">
        <v>3930</v>
      </c>
      <c r="AC179" t="s">
        <v>3931</v>
      </c>
      <c r="AD179" t="s">
        <v>3932</v>
      </c>
      <c r="AE179" t="s">
        <v>3933</v>
      </c>
      <c r="AF179" t="s">
        <v>74</v>
      </c>
      <c r="AG179">
        <v>155</v>
      </c>
      <c r="AH179">
        <v>32</v>
      </c>
      <c r="AI179">
        <v>32</v>
      </c>
      <c r="AJ179">
        <v>2</v>
      </c>
      <c r="AK179">
        <v>19</v>
      </c>
      <c r="AL179" t="s">
        <v>166</v>
      </c>
      <c r="AM179" t="s">
        <v>167</v>
      </c>
      <c r="AN179" t="s">
        <v>168</v>
      </c>
      <c r="AO179" t="s">
        <v>3934</v>
      </c>
      <c r="AP179" t="s">
        <v>74</v>
      </c>
      <c r="AQ179" t="s">
        <v>74</v>
      </c>
      <c r="AR179" t="s">
        <v>3935</v>
      </c>
      <c r="AS179" t="s">
        <v>3936</v>
      </c>
      <c r="AT179" t="s">
        <v>3866</v>
      </c>
      <c r="AU179">
        <v>2021</v>
      </c>
      <c r="AV179">
        <v>8</v>
      </c>
      <c r="AW179">
        <v>1</v>
      </c>
      <c r="AX179" t="s">
        <v>74</v>
      </c>
      <c r="AY179" t="s">
        <v>74</v>
      </c>
      <c r="AZ179" t="s">
        <v>74</v>
      </c>
      <c r="BA179" t="s">
        <v>74</v>
      </c>
      <c r="BB179" t="s">
        <v>74</v>
      </c>
      <c r="BC179" t="s">
        <v>74</v>
      </c>
      <c r="BD179">
        <v>13</v>
      </c>
      <c r="BE179" t="s">
        <v>3937</v>
      </c>
      <c r="BF179" t="str">
        <f>HYPERLINK("http://dx.doi.org/10.1186/s40562-021-00184-w","http://dx.doi.org/10.1186/s40562-021-00184-w")</f>
        <v>http://dx.doi.org/10.1186/s40562-021-00184-w</v>
      </c>
      <c r="BG179" t="s">
        <v>74</v>
      </c>
      <c r="BH179" t="s">
        <v>74</v>
      </c>
      <c r="BI179">
        <v>19</v>
      </c>
      <c r="BJ179" t="s">
        <v>2907</v>
      </c>
      <c r="BK179" t="s">
        <v>101</v>
      </c>
      <c r="BL179" t="s">
        <v>2908</v>
      </c>
      <c r="BM179" t="s">
        <v>3938</v>
      </c>
      <c r="BN179" t="s">
        <v>74</v>
      </c>
      <c r="BO179" t="s">
        <v>317</v>
      </c>
      <c r="BP179" t="s">
        <v>74</v>
      </c>
      <c r="BQ179" t="s">
        <v>74</v>
      </c>
      <c r="BR179" t="s">
        <v>104</v>
      </c>
      <c r="BS179" t="s">
        <v>3939</v>
      </c>
      <c r="BT179" t="str">
        <f>HYPERLINK("https%3A%2F%2Fwww.webofscience.com%2Fwos%2Fwoscc%2Ffull-record%2FWOS:000636384500001","View Full Record in Web of Science")</f>
        <v>View Full Record in Web of Science</v>
      </c>
    </row>
    <row r="180" spans="1:72" x14ac:dyDescent="0.15">
      <c r="A180" t="s">
        <v>72</v>
      </c>
      <c r="B180" t="s">
        <v>3940</v>
      </c>
      <c r="C180" t="s">
        <v>74</v>
      </c>
      <c r="D180" t="s">
        <v>74</v>
      </c>
      <c r="E180" t="s">
        <v>74</v>
      </c>
      <c r="F180" t="s">
        <v>3941</v>
      </c>
      <c r="G180" t="s">
        <v>74</v>
      </c>
      <c r="H180" t="s">
        <v>74</v>
      </c>
      <c r="I180" t="s">
        <v>3942</v>
      </c>
      <c r="J180" t="s">
        <v>3943</v>
      </c>
      <c r="K180" t="s">
        <v>74</v>
      </c>
      <c r="L180" t="s">
        <v>74</v>
      </c>
      <c r="M180" t="s">
        <v>78</v>
      </c>
      <c r="N180" t="s">
        <v>79</v>
      </c>
      <c r="O180" t="s">
        <v>74</v>
      </c>
      <c r="P180" t="s">
        <v>74</v>
      </c>
      <c r="Q180" t="s">
        <v>74</v>
      </c>
      <c r="R180" t="s">
        <v>74</v>
      </c>
      <c r="S180" t="s">
        <v>74</v>
      </c>
      <c r="T180" t="s">
        <v>3944</v>
      </c>
      <c r="U180" t="s">
        <v>3945</v>
      </c>
      <c r="V180" t="s">
        <v>3946</v>
      </c>
      <c r="W180" t="s">
        <v>3947</v>
      </c>
      <c r="X180" t="s">
        <v>3948</v>
      </c>
      <c r="Y180" t="s">
        <v>3949</v>
      </c>
      <c r="Z180" t="s">
        <v>3950</v>
      </c>
      <c r="AA180" t="s">
        <v>3951</v>
      </c>
      <c r="AB180" t="s">
        <v>3952</v>
      </c>
      <c r="AC180" t="s">
        <v>3953</v>
      </c>
      <c r="AD180" t="s">
        <v>3954</v>
      </c>
      <c r="AE180" t="s">
        <v>3955</v>
      </c>
      <c r="AF180" t="s">
        <v>74</v>
      </c>
      <c r="AG180">
        <v>93</v>
      </c>
      <c r="AH180">
        <v>5</v>
      </c>
      <c r="AI180">
        <v>6</v>
      </c>
      <c r="AJ180">
        <v>8</v>
      </c>
      <c r="AK180">
        <v>41</v>
      </c>
      <c r="AL180" t="s">
        <v>166</v>
      </c>
      <c r="AM180" t="s">
        <v>167</v>
      </c>
      <c r="AN180" t="s">
        <v>168</v>
      </c>
      <c r="AO180" t="s">
        <v>3956</v>
      </c>
      <c r="AP180" t="s">
        <v>3957</v>
      </c>
      <c r="AQ180" t="s">
        <v>74</v>
      </c>
      <c r="AR180" t="s">
        <v>3958</v>
      </c>
      <c r="AS180" t="s">
        <v>3959</v>
      </c>
      <c r="AT180" t="s">
        <v>3960</v>
      </c>
      <c r="AU180">
        <v>2022</v>
      </c>
      <c r="AV180">
        <v>83</v>
      </c>
      <c r="AW180">
        <v>1</v>
      </c>
      <c r="AX180" t="s">
        <v>74</v>
      </c>
      <c r="AY180" t="s">
        <v>74</v>
      </c>
      <c r="AZ180" t="s">
        <v>74</v>
      </c>
      <c r="BA180" t="s">
        <v>74</v>
      </c>
      <c r="BB180">
        <v>34</v>
      </c>
      <c r="BC180">
        <v>47</v>
      </c>
      <c r="BD180" t="s">
        <v>74</v>
      </c>
      <c r="BE180" t="s">
        <v>3961</v>
      </c>
      <c r="BF180" t="str">
        <f>HYPERLINK("http://dx.doi.org/10.1007/s00248-021-01747-2","http://dx.doi.org/10.1007/s00248-021-01747-2")</f>
        <v>http://dx.doi.org/10.1007/s00248-021-01747-2</v>
      </c>
      <c r="BG180" t="s">
        <v>74</v>
      </c>
      <c r="BH180" t="s">
        <v>514</v>
      </c>
      <c r="BI180">
        <v>14</v>
      </c>
      <c r="BJ180" t="s">
        <v>3962</v>
      </c>
      <c r="BK180" t="s">
        <v>101</v>
      </c>
      <c r="BL180" t="s">
        <v>3963</v>
      </c>
      <c r="BM180" t="s">
        <v>3964</v>
      </c>
      <c r="BN180">
        <v>33811505</v>
      </c>
      <c r="BO180" t="s">
        <v>74</v>
      </c>
      <c r="BP180" t="s">
        <v>74</v>
      </c>
      <c r="BQ180" t="s">
        <v>74</v>
      </c>
      <c r="BR180" t="s">
        <v>104</v>
      </c>
      <c r="BS180" t="s">
        <v>3965</v>
      </c>
      <c r="BT180" t="str">
        <f>HYPERLINK("https%3A%2F%2Fwww.webofscience.com%2Fwos%2Fwoscc%2Ffull-record%2FWOS:000636390600001","View Full Record in Web of Science")</f>
        <v>View Full Record in Web of Science</v>
      </c>
    </row>
    <row r="181" spans="1:72" x14ac:dyDescent="0.15">
      <c r="A181" t="s">
        <v>72</v>
      </c>
      <c r="B181" t="s">
        <v>3966</v>
      </c>
      <c r="C181" t="s">
        <v>74</v>
      </c>
      <c r="D181" t="s">
        <v>74</v>
      </c>
      <c r="E181" t="s">
        <v>74</v>
      </c>
      <c r="F181" t="s">
        <v>3967</v>
      </c>
      <c r="G181" t="s">
        <v>74</v>
      </c>
      <c r="H181" t="s">
        <v>74</v>
      </c>
      <c r="I181" t="s">
        <v>3968</v>
      </c>
      <c r="J181" t="s">
        <v>3969</v>
      </c>
      <c r="K181" t="s">
        <v>74</v>
      </c>
      <c r="L181" t="s">
        <v>74</v>
      </c>
      <c r="M181" t="s">
        <v>78</v>
      </c>
      <c r="N181" t="s">
        <v>79</v>
      </c>
      <c r="O181" t="s">
        <v>74</v>
      </c>
      <c r="P181" t="s">
        <v>74</v>
      </c>
      <c r="Q181" t="s">
        <v>74</v>
      </c>
      <c r="R181" t="s">
        <v>74</v>
      </c>
      <c r="S181" t="s">
        <v>74</v>
      </c>
      <c r="T181" t="s">
        <v>3970</v>
      </c>
      <c r="U181" t="s">
        <v>3971</v>
      </c>
      <c r="V181" t="s">
        <v>3972</v>
      </c>
      <c r="W181" t="s">
        <v>3973</v>
      </c>
      <c r="X181" t="s">
        <v>3974</v>
      </c>
      <c r="Y181" t="s">
        <v>3975</v>
      </c>
      <c r="Z181" t="s">
        <v>3976</v>
      </c>
      <c r="AA181" t="s">
        <v>74</v>
      </c>
      <c r="AB181" t="s">
        <v>3977</v>
      </c>
      <c r="AC181" t="s">
        <v>3978</v>
      </c>
      <c r="AD181" t="s">
        <v>3979</v>
      </c>
      <c r="AE181" t="s">
        <v>3978</v>
      </c>
      <c r="AF181" t="s">
        <v>74</v>
      </c>
      <c r="AG181">
        <v>47</v>
      </c>
      <c r="AH181">
        <v>7</v>
      </c>
      <c r="AI181">
        <v>9</v>
      </c>
      <c r="AJ181">
        <v>2</v>
      </c>
      <c r="AK181">
        <v>14</v>
      </c>
      <c r="AL181" t="s">
        <v>795</v>
      </c>
      <c r="AM181" t="s">
        <v>796</v>
      </c>
      <c r="AN181" t="s">
        <v>797</v>
      </c>
      <c r="AO181" t="s">
        <v>3980</v>
      </c>
      <c r="AP181" t="s">
        <v>3981</v>
      </c>
      <c r="AQ181" t="s">
        <v>74</v>
      </c>
      <c r="AR181" t="s">
        <v>3982</v>
      </c>
      <c r="AS181" t="s">
        <v>3983</v>
      </c>
      <c r="AT181" t="s">
        <v>1364</v>
      </c>
      <c r="AU181">
        <v>2021</v>
      </c>
      <c r="AV181">
        <v>21</v>
      </c>
      <c r="AW181">
        <v>6</v>
      </c>
      <c r="AX181" t="s">
        <v>74</v>
      </c>
      <c r="AY181" t="s">
        <v>74</v>
      </c>
      <c r="AZ181" t="s">
        <v>74</v>
      </c>
      <c r="BA181" t="s">
        <v>74</v>
      </c>
      <c r="BB181">
        <v>1850</v>
      </c>
      <c r="BC181">
        <v>1865</v>
      </c>
      <c r="BD181" t="s">
        <v>74</v>
      </c>
      <c r="BE181" t="s">
        <v>3984</v>
      </c>
      <c r="BF181" t="str">
        <f>HYPERLINK("http://dx.doi.org/10.1111/1755-0998.13389","http://dx.doi.org/10.1111/1755-0998.13389")</f>
        <v>http://dx.doi.org/10.1111/1755-0998.13389</v>
      </c>
      <c r="BG181" t="s">
        <v>74</v>
      </c>
      <c r="BH181" t="s">
        <v>514</v>
      </c>
      <c r="BI181">
        <v>16</v>
      </c>
      <c r="BJ181" t="s">
        <v>3985</v>
      </c>
      <c r="BK181" t="s">
        <v>101</v>
      </c>
      <c r="BL181" t="s">
        <v>3986</v>
      </c>
      <c r="BM181" t="s">
        <v>3987</v>
      </c>
      <c r="BN181">
        <v>33750003</v>
      </c>
      <c r="BO181" t="s">
        <v>496</v>
      </c>
      <c r="BP181" t="s">
        <v>74</v>
      </c>
      <c r="BQ181" t="s">
        <v>74</v>
      </c>
      <c r="BR181" t="s">
        <v>104</v>
      </c>
      <c r="BS181" t="s">
        <v>3988</v>
      </c>
      <c r="BT181" t="str">
        <f>HYPERLINK("https%3A%2F%2Fwww.webofscience.com%2Fwos%2Fwoscc%2Ffull-record%2FWOS:000636168300001","View Full Record in Web of Science")</f>
        <v>View Full Record in Web of Science</v>
      </c>
    </row>
    <row r="182" spans="1:72" x14ac:dyDescent="0.15">
      <c r="A182" t="s">
        <v>72</v>
      </c>
      <c r="B182" t="s">
        <v>3989</v>
      </c>
      <c r="C182" t="s">
        <v>74</v>
      </c>
      <c r="D182" t="s">
        <v>74</v>
      </c>
      <c r="E182" t="s">
        <v>74</v>
      </c>
      <c r="F182" t="s">
        <v>3990</v>
      </c>
      <c r="G182" t="s">
        <v>74</v>
      </c>
      <c r="H182" t="s">
        <v>74</v>
      </c>
      <c r="I182" t="s">
        <v>3991</v>
      </c>
      <c r="J182" t="s">
        <v>3992</v>
      </c>
      <c r="K182" t="s">
        <v>74</v>
      </c>
      <c r="L182" t="s">
        <v>74</v>
      </c>
      <c r="M182" t="s">
        <v>78</v>
      </c>
      <c r="N182" t="s">
        <v>79</v>
      </c>
      <c r="O182" t="s">
        <v>74</v>
      </c>
      <c r="P182" t="s">
        <v>74</v>
      </c>
      <c r="Q182" t="s">
        <v>74</v>
      </c>
      <c r="R182" t="s">
        <v>74</v>
      </c>
      <c r="S182" t="s">
        <v>74</v>
      </c>
      <c r="T182" t="s">
        <v>74</v>
      </c>
      <c r="U182" t="s">
        <v>3993</v>
      </c>
      <c r="V182" t="s">
        <v>3994</v>
      </c>
      <c r="W182" t="s">
        <v>3995</v>
      </c>
      <c r="X182" t="s">
        <v>3996</v>
      </c>
      <c r="Y182" t="s">
        <v>3997</v>
      </c>
      <c r="Z182" t="s">
        <v>3998</v>
      </c>
      <c r="AA182" t="s">
        <v>74</v>
      </c>
      <c r="AB182" t="s">
        <v>74</v>
      </c>
      <c r="AC182" t="s">
        <v>3999</v>
      </c>
      <c r="AD182" t="s">
        <v>4000</v>
      </c>
      <c r="AE182" t="s">
        <v>4001</v>
      </c>
      <c r="AF182" t="s">
        <v>74</v>
      </c>
      <c r="AG182">
        <v>17</v>
      </c>
      <c r="AH182">
        <v>8</v>
      </c>
      <c r="AI182">
        <v>12</v>
      </c>
      <c r="AJ182">
        <v>5</v>
      </c>
      <c r="AK182">
        <v>59</v>
      </c>
      <c r="AL182" t="s">
        <v>2922</v>
      </c>
      <c r="AM182" t="s">
        <v>2923</v>
      </c>
      <c r="AN182" t="s">
        <v>2924</v>
      </c>
      <c r="AO182" t="s">
        <v>4002</v>
      </c>
      <c r="AP182" t="s">
        <v>4003</v>
      </c>
      <c r="AQ182" t="s">
        <v>74</v>
      </c>
      <c r="AR182" t="s">
        <v>4004</v>
      </c>
      <c r="AS182" t="s">
        <v>4005</v>
      </c>
      <c r="AT182" t="s">
        <v>3866</v>
      </c>
      <c r="AU182">
        <v>2021</v>
      </c>
      <c r="AV182">
        <v>42</v>
      </c>
      <c r="AW182">
        <v>7</v>
      </c>
      <c r="AX182" t="s">
        <v>74</v>
      </c>
      <c r="AY182" t="s">
        <v>74</v>
      </c>
      <c r="AZ182" t="s">
        <v>74</v>
      </c>
      <c r="BA182" t="s">
        <v>74</v>
      </c>
      <c r="BB182">
        <v>2556</v>
      </c>
      <c r="BC182">
        <v>2573</v>
      </c>
      <c r="BD182" t="s">
        <v>74</v>
      </c>
      <c r="BE182" t="s">
        <v>4006</v>
      </c>
      <c r="BF182" t="str">
        <f>HYPERLINK("http://dx.doi.org/10.1080/01431161.2020.1856962","http://dx.doi.org/10.1080/01431161.2020.1856962")</f>
        <v>http://dx.doi.org/10.1080/01431161.2020.1856962</v>
      </c>
      <c r="BG182" t="s">
        <v>74</v>
      </c>
      <c r="BH182" t="s">
        <v>74</v>
      </c>
      <c r="BI182">
        <v>18</v>
      </c>
      <c r="BJ182" t="s">
        <v>4007</v>
      </c>
      <c r="BK182" t="s">
        <v>101</v>
      </c>
      <c r="BL182" t="s">
        <v>4007</v>
      </c>
      <c r="BM182" t="s">
        <v>4008</v>
      </c>
      <c r="BN182" t="s">
        <v>74</v>
      </c>
      <c r="BO182" t="s">
        <v>74</v>
      </c>
      <c r="BP182" t="s">
        <v>74</v>
      </c>
      <c r="BQ182" t="s">
        <v>74</v>
      </c>
      <c r="BR182" t="s">
        <v>104</v>
      </c>
      <c r="BS182" t="s">
        <v>4009</v>
      </c>
      <c r="BT182" t="str">
        <f>HYPERLINK("https%3A%2F%2Fwww.webofscience.com%2Fwos%2Fwoscc%2Ffull-record%2FWOS:000604001200001","View Full Record in Web of Science")</f>
        <v>View Full Record in Web of Science</v>
      </c>
    </row>
    <row r="183" spans="1:72" x14ac:dyDescent="0.15">
      <c r="A183" t="s">
        <v>72</v>
      </c>
      <c r="B183" t="s">
        <v>4010</v>
      </c>
      <c r="C183" t="s">
        <v>74</v>
      </c>
      <c r="D183" t="s">
        <v>74</v>
      </c>
      <c r="E183" t="s">
        <v>74</v>
      </c>
      <c r="F183" t="s">
        <v>4011</v>
      </c>
      <c r="G183" t="s">
        <v>74</v>
      </c>
      <c r="H183" t="s">
        <v>74</v>
      </c>
      <c r="I183" t="s">
        <v>4012</v>
      </c>
      <c r="J183" t="s">
        <v>4013</v>
      </c>
      <c r="K183" t="s">
        <v>74</v>
      </c>
      <c r="L183" t="s">
        <v>74</v>
      </c>
      <c r="M183" t="s">
        <v>78</v>
      </c>
      <c r="N183" t="s">
        <v>79</v>
      </c>
      <c r="O183" t="s">
        <v>74</v>
      </c>
      <c r="P183" t="s">
        <v>74</v>
      </c>
      <c r="Q183" t="s">
        <v>74</v>
      </c>
      <c r="R183" t="s">
        <v>74</v>
      </c>
      <c r="S183" t="s">
        <v>74</v>
      </c>
      <c r="T183" t="s">
        <v>4014</v>
      </c>
      <c r="U183" t="s">
        <v>4015</v>
      </c>
      <c r="V183" t="s">
        <v>4016</v>
      </c>
      <c r="W183" t="s">
        <v>4017</v>
      </c>
      <c r="X183" t="s">
        <v>4018</v>
      </c>
      <c r="Y183" t="s">
        <v>4019</v>
      </c>
      <c r="Z183" t="s">
        <v>4020</v>
      </c>
      <c r="AA183" t="s">
        <v>4021</v>
      </c>
      <c r="AB183" t="s">
        <v>4022</v>
      </c>
      <c r="AC183" t="s">
        <v>4023</v>
      </c>
      <c r="AD183" t="s">
        <v>4024</v>
      </c>
      <c r="AE183" t="s">
        <v>4025</v>
      </c>
      <c r="AF183" t="s">
        <v>74</v>
      </c>
      <c r="AG183">
        <v>98</v>
      </c>
      <c r="AH183">
        <v>1</v>
      </c>
      <c r="AI183">
        <v>1</v>
      </c>
      <c r="AJ183">
        <v>0</v>
      </c>
      <c r="AK183">
        <v>3</v>
      </c>
      <c r="AL183" t="s">
        <v>1058</v>
      </c>
      <c r="AM183" t="s">
        <v>891</v>
      </c>
      <c r="AN183" t="s">
        <v>1059</v>
      </c>
      <c r="AO183" t="s">
        <v>4026</v>
      </c>
      <c r="AP183" t="s">
        <v>4027</v>
      </c>
      <c r="AQ183" t="s">
        <v>74</v>
      </c>
      <c r="AR183" t="s">
        <v>4028</v>
      </c>
      <c r="AS183" t="s">
        <v>4029</v>
      </c>
      <c r="AT183" t="s">
        <v>1364</v>
      </c>
      <c r="AU183">
        <v>2021</v>
      </c>
      <c r="AV183">
        <v>109</v>
      </c>
      <c r="AW183" t="s">
        <v>74</v>
      </c>
      <c r="AX183" t="s">
        <v>74</v>
      </c>
      <c r="AY183" t="s">
        <v>74</v>
      </c>
      <c r="AZ183" t="s">
        <v>74</v>
      </c>
      <c r="BA183" t="s">
        <v>74</v>
      </c>
      <c r="BB183" t="s">
        <v>74</v>
      </c>
      <c r="BC183" t="s">
        <v>74</v>
      </c>
      <c r="BD183">
        <v>103259</v>
      </c>
      <c r="BE183" t="s">
        <v>4030</v>
      </c>
      <c r="BF183" t="str">
        <f>HYPERLINK("http://dx.doi.org/10.1016/j.jsames.2021.103259","http://dx.doi.org/10.1016/j.jsames.2021.103259")</f>
        <v>http://dx.doi.org/10.1016/j.jsames.2021.103259</v>
      </c>
      <c r="BG183" t="s">
        <v>74</v>
      </c>
      <c r="BH183" t="s">
        <v>514</v>
      </c>
      <c r="BI183">
        <v>12</v>
      </c>
      <c r="BJ183" t="s">
        <v>100</v>
      </c>
      <c r="BK183" t="s">
        <v>101</v>
      </c>
      <c r="BL183" t="s">
        <v>102</v>
      </c>
      <c r="BM183" t="s">
        <v>4031</v>
      </c>
      <c r="BN183" t="s">
        <v>74</v>
      </c>
      <c r="BO183" t="s">
        <v>398</v>
      </c>
      <c r="BP183" t="s">
        <v>74</v>
      </c>
      <c r="BQ183" t="s">
        <v>74</v>
      </c>
      <c r="BR183" t="s">
        <v>104</v>
      </c>
      <c r="BS183" t="s">
        <v>4032</v>
      </c>
      <c r="BT183" t="str">
        <f>HYPERLINK("https%3A%2F%2Fwww.webofscience.com%2Fwos%2Fwoscc%2Ffull-record%2FWOS:000670294200001","View Full Record in Web of Science")</f>
        <v>View Full Record in Web of Science</v>
      </c>
    </row>
    <row r="184" spans="1:72" x14ac:dyDescent="0.15">
      <c r="A184" t="s">
        <v>72</v>
      </c>
      <c r="B184" t="s">
        <v>4033</v>
      </c>
      <c r="C184" t="s">
        <v>74</v>
      </c>
      <c r="D184" t="s">
        <v>74</v>
      </c>
      <c r="E184" t="s">
        <v>74</v>
      </c>
      <c r="F184" t="s">
        <v>4034</v>
      </c>
      <c r="G184" t="s">
        <v>74</v>
      </c>
      <c r="H184" t="s">
        <v>74</v>
      </c>
      <c r="I184" t="s">
        <v>4035</v>
      </c>
      <c r="J184" t="s">
        <v>4036</v>
      </c>
      <c r="K184" t="s">
        <v>74</v>
      </c>
      <c r="L184" t="s">
        <v>74</v>
      </c>
      <c r="M184" t="s">
        <v>78</v>
      </c>
      <c r="N184" t="s">
        <v>79</v>
      </c>
      <c r="O184" t="s">
        <v>74</v>
      </c>
      <c r="P184" t="s">
        <v>74</v>
      </c>
      <c r="Q184" t="s">
        <v>74</v>
      </c>
      <c r="R184" t="s">
        <v>74</v>
      </c>
      <c r="S184" t="s">
        <v>74</v>
      </c>
      <c r="T184" t="s">
        <v>4037</v>
      </c>
      <c r="U184" t="s">
        <v>74</v>
      </c>
      <c r="V184" t="s">
        <v>4038</v>
      </c>
      <c r="W184" t="s">
        <v>4039</v>
      </c>
      <c r="X184" t="s">
        <v>4040</v>
      </c>
      <c r="Y184" t="s">
        <v>4041</v>
      </c>
      <c r="Z184" t="s">
        <v>4042</v>
      </c>
      <c r="AA184" t="s">
        <v>4043</v>
      </c>
      <c r="AB184" t="s">
        <v>4044</v>
      </c>
      <c r="AC184" t="s">
        <v>4045</v>
      </c>
      <c r="AD184" t="s">
        <v>4046</v>
      </c>
      <c r="AE184" t="s">
        <v>4047</v>
      </c>
      <c r="AF184" t="s">
        <v>74</v>
      </c>
      <c r="AG184">
        <v>27</v>
      </c>
      <c r="AH184">
        <v>3</v>
      </c>
      <c r="AI184">
        <v>3</v>
      </c>
      <c r="AJ184">
        <v>1</v>
      </c>
      <c r="AK184">
        <v>2</v>
      </c>
      <c r="AL184" t="s">
        <v>576</v>
      </c>
      <c r="AM184" t="s">
        <v>577</v>
      </c>
      <c r="AN184" t="s">
        <v>578</v>
      </c>
      <c r="AO184" t="s">
        <v>4048</v>
      </c>
      <c r="AP184" t="s">
        <v>4049</v>
      </c>
      <c r="AQ184" t="s">
        <v>74</v>
      </c>
      <c r="AR184" t="s">
        <v>4050</v>
      </c>
      <c r="AS184" t="s">
        <v>4051</v>
      </c>
      <c r="AT184" t="s">
        <v>1809</v>
      </c>
      <c r="AU184">
        <v>2021</v>
      </c>
      <c r="AV184">
        <v>27</v>
      </c>
      <c r="AW184" t="s">
        <v>74</v>
      </c>
      <c r="AX184" t="s">
        <v>74</v>
      </c>
      <c r="AY184" t="s">
        <v>74</v>
      </c>
      <c r="AZ184" t="s">
        <v>74</v>
      </c>
      <c r="BA184" t="s">
        <v>74</v>
      </c>
      <c r="BB184" t="s">
        <v>74</v>
      </c>
      <c r="BC184" t="s">
        <v>74</v>
      </c>
      <c r="BD184">
        <v>100601</v>
      </c>
      <c r="BE184" t="s">
        <v>4052</v>
      </c>
      <c r="BF184" t="str">
        <f>HYPERLINK("http://dx.doi.org/10.1016/j.polar.2020.100601","http://dx.doi.org/10.1016/j.polar.2020.100601")</f>
        <v>http://dx.doi.org/10.1016/j.polar.2020.100601</v>
      </c>
      <c r="BG184" t="s">
        <v>74</v>
      </c>
      <c r="BH184" t="s">
        <v>514</v>
      </c>
      <c r="BI184">
        <v>8</v>
      </c>
      <c r="BJ184" t="s">
        <v>1277</v>
      </c>
      <c r="BK184" t="s">
        <v>101</v>
      </c>
      <c r="BL184" t="s">
        <v>1278</v>
      </c>
      <c r="BM184" t="s">
        <v>4053</v>
      </c>
      <c r="BN184" t="s">
        <v>74</v>
      </c>
      <c r="BO184" t="s">
        <v>712</v>
      </c>
      <c r="BP184" t="s">
        <v>74</v>
      </c>
      <c r="BQ184" t="s">
        <v>74</v>
      </c>
      <c r="BR184" t="s">
        <v>104</v>
      </c>
      <c r="BS184" t="s">
        <v>4054</v>
      </c>
      <c r="BT184" t="str">
        <f>HYPERLINK("https%3A%2F%2Fwww.webofscience.com%2Fwos%2Fwoscc%2Ffull-record%2FWOS:000649684900008","View Full Record in Web of Science")</f>
        <v>View Full Record in Web of Science</v>
      </c>
    </row>
    <row r="185" spans="1:72" x14ac:dyDescent="0.15">
      <c r="A185" t="s">
        <v>72</v>
      </c>
      <c r="B185" t="s">
        <v>4055</v>
      </c>
      <c r="C185" t="s">
        <v>74</v>
      </c>
      <c r="D185" t="s">
        <v>74</v>
      </c>
      <c r="E185" t="s">
        <v>74</v>
      </c>
      <c r="F185" t="s">
        <v>4056</v>
      </c>
      <c r="G185" t="s">
        <v>74</v>
      </c>
      <c r="H185" t="s">
        <v>74</v>
      </c>
      <c r="I185" t="s">
        <v>4057</v>
      </c>
      <c r="J185" t="s">
        <v>4036</v>
      </c>
      <c r="K185" t="s">
        <v>74</v>
      </c>
      <c r="L185" t="s">
        <v>74</v>
      </c>
      <c r="M185" t="s">
        <v>78</v>
      </c>
      <c r="N185" t="s">
        <v>79</v>
      </c>
      <c r="O185" t="s">
        <v>74</v>
      </c>
      <c r="P185" t="s">
        <v>74</v>
      </c>
      <c r="Q185" t="s">
        <v>74</v>
      </c>
      <c r="R185" t="s">
        <v>74</v>
      </c>
      <c r="S185" t="s">
        <v>74</v>
      </c>
      <c r="T185" t="s">
        <v>4058</v>
      </c>
      <c r="U185" t="s">
        <v>4059</v>
      </c>
      <c r="V185" t="s">
        <v>4060</v>
      </c>
      <c r="W185" t="s">
        <v>4061</v>
      </c>
      <c r="X185" t="s">
        <v>4062</v>
      </c>
      <c r="Y185" t="s">
        <v>4063</v>
      </c>
      <c r="Z185" t="s">
        <v>4064</v>
      </c>
      <c r="AA185" t="s">
        <v>4065</v>
      </c>
      <c r="AB185" t="s">
        <v>4066</v>
      </c>
      <c r="AC185" t="s">
        <v>4067</v>
      </c>
      <c r="AD185" t="s">
        <v>4068</v>
      </c>
      <c r="AE185" t="s">
        <v>4069</v>
      </c>
      <c r="AF185" t="s">
        <v>74</v>
      </c>
      <c r="AG185">
        <v>78</v>
      </c>
      <c r="AH185">
        <v>2</v>
      </c>
      <c r="AI185">
        <v>2</v>
      </c>
      <c r="AJ185">
        <v>3</v>
      </c>
      <c r="AK185">
        <v>21</v>
      </c>
      <c r="AL185" t="s">
        <v>576</v>
      </c>
      <c r="AM185" t="s">
        <v>577</v>
      </c>
      <c r="AN185" t="s">
        <v>578</v>
      </c>
      <c r="AO185" t="s">
        <v>4048</v>
      </c>
      <c r="AP185" t="s">
        <v>4049</v>
      </c>
      <c r="AQ185" t="s">
        <v>74</v>
      </c>
      <c r="AR185" t="s">
        <v>4050</v>
      </c>
      <c r="AS185" t="s">
        <v>4051</v>
      </c>
      <c r="AT185" t="s">
        <v>1809</v>
      </c>
      <c r="AU185">
        <v>2021</v>
      </c>
      <c r="AV185">
        <v>27</v>
      </c>
      <c r="AW185" t="s">
        <v>74</v>
      </c>
      <c r="AX185" t="s">
        <v>74</v>
      </c>
      <c r="AY185" t="s">
        <v>74</v>
      </c>
      <c r="AZ185" t="s">
        <v>74</v>
      </c>
      <c r="BA185" t="s">
        <v>74</v>
      </c>
      <c r="BB185" t="s">
        <v>74</v>
      </c>
      <c r="BC185" t="s">
        <v>74</v>
      </c>
      <c r="BD185">
        <v>100621</v>
      </c>
      <c r="BE185" t="s">
        <v>4070</v>
      </c>
      <c r="BF185" t="str">
        <f>HYPERLINK("http://dx.doi.org/10.1016/j.polar.2020.100621","http://dx.doi.org/10.1016/j.polar.2020.100621")</f>
        <v>http://dx.doi.org/10.1016/j.polar.2020.100621</v>
      </c>
      <c r="BG185" t="s">
        <v>74</v>
      </c>
      <c r="BH185" t="s">
        <v>514</v>
      </c>
      <c r="BI185">
        <v>15</v>
      </c>
      <c r="BJ185" t="s">
        <v>1277</v>
      </c>
      <c r="BK185" t="s">
        <v>101</v>
      </c>
      <c r="BL185" t="s">
        <v>1278</v>
      </c>
      <c r="BM185" t="s">
        <v>4071</v>
      </c>
      <c r="BN185" t="s">
        <v>74</v>
      </c>
      <c r="BO185" t="s">
        <v>712</v>
      </c>
      <c r="BP185" t="s">
        <v>74</v>
      </c>
      <c r="BQ185" t="s">
        <v>74</v>
      </c>
      <c r="BR185" t="s">
        <v>104</v>
      </c>
      <c r="BS185" t="s">
        <v>4072</v>
      </c>
      <c r="BT185" t="str">
        <f>HYPERLINK("https%3A%2F%2Fwww.webofscience.com%2Fwos%2Fwoscc%2Ffull-record%2FWOS:000649685200003","View Full Record in Web of Science")</f>
        <v>View Full Record in Web of Science</v>
      </c>
    </row>
    <row r="186" spans="1:72" x14ac:dyDescent="0.15">
      <c r="A186" t="s">
        <v>72</v>
      </c>
      <c r="B186" t="s">
        <v>4073</v>
      </c>
      <c r="C186" t="s">
        <v>74</v>
      </c>
      <c r="D186" t="s">
        <v>74</v>
      </c>
      <c r="E186" t="s">
        <v>74</v>
      </c>
      <c r="F186" t="s">
        <v>4074</v>
      </c>
      <c r="G186" t="s">
        <v>74</v>
      </c>
      <c r="H186" t="s">
        <v>74</v>
      </c>
      <c r="I186" t="s">
        <v>4075</v>
      </c>
      <c r="J186" t="s">
        <v>4036</v>
      </c>
      <c r="K186" t="s">
        <v>74</v>
      </c>
      <c r="L186" t="s">
        <v>74</v>
      </c>
      <c r="M186" t="s">
        <v>78</v>
      </c>
      <c r="N186" t="s">
        <v>79</v>
      </c>
      <c r="O186" t="s">
        <v>74</v>
      </c>
      <c r="P186" t="s">
        <v>74</v>
      </c>
      <c r="Q186" t="s">
        <v>74</v>
      </c>
      <c r="R186" t="s">
        <v>74</v>
      </c>
      <c r="S186" t="s">
        <v>74</v>
      </c>
      <c r="T186" t="s">
        <v>4076</v>
      </c>
      <c r="U186" t="s">
        <v>4077</v>
      </c>
      <c r="V186" t="s">
        <v>4078</v>
      </c>
      <c r="W186" t="s">
        <v>4079</v>
      </c>
      <c r="X186" t="s">
        <v>4080</v>
      </c>
      <c r="Y186" t="s">
        <v>4081</v>
      </c>
      <c r="Z186" t="s">
        <v>4082</v>
      </c>
      <c r="AA186" t="s">
        <v>4083</v>
      </c>
      <c r="AB186" t="s">
        <v>4084</v>
      </c>
      <c r="AC186" t="s">
        <v>4085</v>
      </c>
      <c r="AD186" t="s">
        <v>4086</v>
      </c>
      <c r="AE186" t="s">
        <v>74</v>
      </c>
      <c r="AF186" t="s">
        <v>74</v>
      </c>
      <c r="AG186">
        <v>35</v>
      </c>
      <c r="AH186">
        <v>4</v>
      </c>
      <c r="AI186">
        <v>4</v>
      </c>
      <c r="AJ186">
        <v>1</v>
      </c>
      <c r="AK186">
        <v>4</v>
      </c>
      <c r="AL186" t="s">
        <v>576</v>
      </c>
      <c r="AM186" t="s">
        <v>577</v>
      </c>
      <c r="AN186" t="s">
        <v>578</v>
      </c>
      <c r="AO186" t="s">
        <v>4048</v>
      </c>
      <c r="AP186" t="s">
        <v>4049</v>
      </c>
      <c r="AQ186" t="s">
        <v>74</v>
      </c>
      <c r="AR186" t="s">
        <v>4050</v>
      </c>
      <c r="AS186" t="s">
        <v>4051</v>
      </c>
      <c r="AT186" t="s">
        <v>1809</v>
      </c>
      <c r="AU186">
        <v>2021</v>
      </c>
      <c r="AV186">
        <v>27</v>
      </c>
      <c r="AW186" t="s">
        <v>74</v>
      </c>
      <c r="AX186" t="s">
        <v>74</v>
      </c>
      <c r="AY186" t="s">
        <v>74</v>
      </c>
      <c r="AZ186" t="s">
        <v>74</v>
      </c>
      <c r="BA186" t="s">
        <v>74</v>
      </c>
      <c r="BB186" t="s">
        <v>74</v>
      </c>
      <c r="BC186" t="s">
        <v>74</v>
      </c>
      <c r="BD186">
        <v>100622</v>
      </c>
      <c r="BE186" t="s">
        <v>4087</v>
      </c>
      <c r="BF186" t="str">
        <f>HYPERLINK("http://dx.doi.org/10.1016/j.polar.2020.100622","http://dx.doi.org/10.1016/j.polar.2020.100622")</f>
        <v>http://dx.doi.org/10.1016/j.polar.2020.100622</v>
      </c>
      <c r="BG186" t="s">
        <v>74</v>
      </c>
      <c r="BH186" t="s">
        <v>514</v>
      </c>
      <c r="BI186">
        <v>14</v>
      </c>
      <c r="BJ186" t="s">
        <v>1277</v>
      </c>
      <c r="BK186" t="s">
        <v>101</v>
      </c>
      <c r="BL186" t="s">
        <v>1278</v>
      </c>
      <c r="BM186" t="s">
        <v>4071</v>
      </c>
      <c r="BN186" t="s">
        <v>74</v>
      </c>
      <c r="BO186" t="s">
        <v>712</v>
      </c>
      <c r="BP186" t="s">
        <v>74</v>
      </c>
      <c r="BQ186" t="s">
        <v>74</v>
      </c>
      <c r="BR186" t="s">
        <v>104</v>
      </c>
      <c r="BS186" t="s">
        <v>4088</v>
      </c>
      <c r="BT186" t="str">
        <f>HYPERLINK("https%3A%2F%2Fwww.webofscience.com%2Fwos%2Fwoscc%2Ffull-record%2FWOS:000649685200004","View Full Record in Web of Science")</f>
        <v>View Full Record in Web of Science</v>
      </c>
    </row>
    <row r="187" spans="1:72" x14ac:dyDescent="0.15">
      <c r="A187" t="s">
        <v>72</v>
      </c>
      <c r="B187" t="s">
        <v>4089</v>
      </c>
      <c r="C187" t="s">
        <v>74</v>
      </c>
      <c r="D187" t="s">
        <v>74</v>
      </c>
      <c r="E187" t="s">
        <v>74</v>
      </c>
      <c r="F187" t="s">
        <v>4090</v>
      </c>
      <c r="G187" t="s">
        <v>74</v>
      </c>
      <c r="H187" t="s">
        <v>74</v>
      </c>
      <c r="I187" t="s">
        <v>4091</v>
      </c>
      <c r="J187" t="s">
        <v>4092</v>
      </c>
      <c r="K187" t="s">
        <v>74</v>
      </c>
      <c r="L187" t="s">
        <v>74</v>
      </c>
      <c r="M187" t="s">
        <v>78</v>
      </c>
      <c r="N187" t="s">
        <v>79</v>
      </c>
      <c r="O187" t="s">
        <v>74</v>
      </c>
      <c r="P187" t="s">
        <v>74</v>
      </c>
      <c r="Q187" t="s">
        <v>74</v>
      </c>
      <c r="R187" t="s">
        <v>74</v>
      </c>
      <c r="S187" t="s">
        <v>74</v>
      </c>
      <c r="T187" t="s">
        <v>4093</v>
      </c>
      <c r="U187" t="s">
        <v>4094</v>
      </c>
      <c r="V187" t="s">
        <v>4095</v>
      </c>
      <c r="W187" t="s">
        <v>4096</v>
      </c>
      <c r="X187" t="s">
        <v>4097</v>
      </c>
      <c r="Y187" t="s">
        <v>4098</v>
      </c>
      <c r="Z187" t="s">
        <v>4099</v>
      </c>
      <c r="AA187" t="s">
        <v>4100</v>
      </c>
      <c r="AB187" t="s">
        <v>4101</v>
      </c>
      <c r="AC187" t="s">
        <v>4102</v>
      </c>
      <c r="AD187" t="s">
        <v>4103</v>
      </c>
      <c r="AE187" t="s">
        <v>4104</v>
      </c>
      <c r="AF187" t="s">
        <v>74</v>
      </c>
      <c r="AG187">
        <v>65</v>
      </c>
      <c r="AH187">
        <v>10</v>
      </c>
      <c r="AI187">
        <v>13</v>
      </c>
      <c r="AJ187">
        <v>2</v>
      </c>
      <c r="AK187">
        <v>25</v>
      </c>
      <c r="AL187" t="s">
        <v>795</v>
      </c>
      <c r="AM187" t="s">
        <v>796</v>
      </c>
      <c r="AN187" t="s">
        <v>797</v>
      </c>
      <c r="AO187" t="s">
        <v>4105</v>
      </c>
      <c r="AP187" t="s">
        <v>4106</v>
      </c>
      <c r="AQ187" t="s">
        <v>74</v>
      </c>
      <c r="AR187" t="s">
        <v>4107</v>
      </c>
      <c r="AS187" t="s">
        <v>4108</v>
      </c>
      <c r="AT187" t="s">
        <v>707</v>
      </c>
      <c r="AU187">
        <v>2021</v>
      </c>
      <c r="AV187">
        <v>90</v>
      </c>
      <c r="AW187">
        <v>6</v>
      </c>
      <c r="AX187" t="s">
        <v>74</v>
      </c>
      <c r="AY187" t="s">
        <v>74</v>
      </c>
      <c r="AZ187" t="s">
        <v>74</v>
      </c>
      <c r="BA187" t="s">
        <v>74</v>
      </c>
      <c r="BB187">
        <v>1515</v>
      </c>
      <c r="BC187">
        <v>1524</v>
      </c>
      <c r="BD187" t="s">
        <v>74</v>
      </c>
      <c r="BE187" t="s">
        <v>4109</v>
      </c>
      <c r="BF187" t="str">
        <f>HYPERLINK("http://dx.doi.org/10.1111/1365-2656.13472","http://dx.doi.org/10.1111/1365-2656.13472")</f>
        <v>http://dx.doi.org/10.1111/1365-2656.13472</v>
      </c>
      <c r="BG187" t="s">
        <v>74</v>
      </c>
      <c r="BH187" t="s">
        <v>514</v>
      </c>
      <c r="BI187">
        <v>10</v>
      </c>
      <c r="BJ187" t="s">
        <v>4110</v>
      </c>
      <c r="BK187" t="s">
        <v>101</v>
      </c>
      <c r="BL187" t="s">
        <v>4111</v>
      </c>
      <c r="BM187" t="s">
        <v>4112</v>
      </c>
      <c r="BN187">
        <v>33713446</v>
      </c>
      <c r="BO187" t="s">
        <v>4113</v>
      </c>
      <c r="BP187" t="s">
        <v>74</v>
      </c>
      <c r="BQ187" t="s">
        <v>74</v>
      </c>
      <c r="BR187" t="s">
        <v>104</v>
      </c>
      <c r="BS187" t="s">
        <v>4114</v>
      </c>
      <c r="BT187" t="str">
        <f>HYPERLINK("https%3A%2F%2Fwww.webofscience.com%2Fwos%2Fwoscc%2Ffull-record%2FWOS:000635933400001","View Full Record in Web of Science")</f>
        <v>View Full Record in Web of Science</v>
      </c>
    </row>
    <row r="188" spans="1:72" x14ac:dyDescent="0.15">
      <c r="A188" t="s">
        <v>72</v>
      </c>
      <c r="B188" t="s">
        <v>4115</v>
      </c>
      <c r="C188" t="s">
        <v>74</v>
      </c>
      <c r="D188" t="s">
        <v>74</v>
      </c>
      <c r="E188" t="s">
        <v>74</v>
      </c>
      <c r="F188" t="s">
        <v>4116</v>
      </c>
      <c r="G188" t="s">
        <v>74</v>
      </c>
      <c r="H188" t="s">
        <v>74</v>
      </c>
      <c r="I188" t="s">
        <v>4117</v>
      </c>
      <c r="J188" t="s">
        <v>4118</v>
      </c>
      <c r="K188" t="s">
        <v>74</v>
      </c>
      <c r="L188" t="s">
        <v>74</v>
      </c>
      <c r="M188" t="s">
        <v>78</v>
      </c>
      <c r="N188" t="s">
        <v>79</v>
      </c>
      <c r="O188" t="s">
        <v>74</v>
      </c>
      <c r="P188" t="s">
        <v>74</v>
      </c>
      <c r="Q188" t="s">
        <v>74</v>
      </c>
      <c r="R188" t="s">
        <v>74</v>
      </c>
      <c r="S188" t="s">
        <v>74</v>
      </c>
      <c r="T188" t="s">
        <v>4119</v>
      </c>
      <c r="U188" t="s">
        <v>74</v>
      </c>
      <c r="V188" t="s">
        <v>4120</v>
      </c>
      <c r="W188" t="s">
        <v>4121</v>
      </c>
      <c r="X188" t="s">
        <v>4122</v>
      </c>
      <c r="Y188" t="s">
        <v>4123</v>
      </c>
      <c r="Z188" t="s">
        <v>4124</v>
      </c>
      <c r="AA188" t="s">
        <v>4125</v>
      </c>
      <c r="AB188" t="s">
        <v>4126</v>
      </c>
      <c r="AC188" t="s">
        <v>4127</v>
      </c>
      <c r="AD188" t="s">
        <v>4128</v>
      </c>
      <c r="AE188" t="s">
        <v>4129</v>
      </c>
      <c r="AF188" t="s">
        <v>74</v>
      </c>
      <c r="AG188">
        <v>65</v>
      </c>
      <c r="AH188">
        <v>11</v>
      </c>
      <c r="AI188">
        <v>12</v>
      </c>
      <c r="AJ188">
        <v>4</v>
      </c>
      <c r="AK188">
        <v>28</v>
      </c>
      <c r="AL188" t="s">
        <v>795</v>
      </c>
      <c r="AM188" t="s">
        <v>796</v>
      </c>
      <c r="AN188" t="s">
        <v>797</v>
      </c>
      <c r="AO188" t="s">
        <v>4130</v>
      </c>
      <c r="AP188" t="s">
        <v>4131</v>
      </c>
      <c r="AQ188" t="s">
        <v>74</v>
      </c>
      <c r="AR188" t="s">
        <v>4118</v>
      </c>
      <c r="AS188" t="s">
        <v>4132</v>
      </c>
      <c r="AT188" t="s">
        <v>1035</v>
      </c>
      <c r="AU188">
        <v>2021</v>
      </c>
      <c r="AV188">
        <v>19</v>
      </c>
      <c r="AW188">
        <v>4</v>
      </c>
      <c r="AX188" t="s">
        <v>74</v>
      </c>
      <c r="AY188" t="s">
        <v>74</v>
      </c>
      <c r="AZ188" t="s">
        <v>74</v>
      </c>
      <c r="BA188" t="s">
        <v>74</v>
      </c>
      <c r="BB188">
        <v>394</v>
      </c>
      <c r="BC188">
        <v>404</v>
      </c>
      <c r="BD188" t="s">
        <v>74</v>
      </c>
      <c r="BE188" t="s">
        <v>4133</v>
      </c>
      <c r="BF188" t="str">
        <f>HYPERLINK("http://dx.doi.org/10.1111/gbi.12441","http://dx.doi.org/10.1111/gbi.12441")</f>
        <v>http://dx.doi.org/10.1111/gbi.12441</v>
      </c>
      <c r="BG188" t="s">
        <v>74</v>
      </c>
      <c r="BH188" t="s">
        <v>514</v>
      </c>
      <c r="BI188">
        <v>11</v>
      </c>
      <c r="BJ188" t="s">
        <v>4134</v>
      </c>
      <c r="BK188" t="s">
        <v>101</v>
      </c>
      <c r="BL188" t="s">
        <v>4135</v>
      </c>
      <c r="BM188" t="s">
        <v>4136</v>
      </c>
      <c r="BN188">
        <v>33799312</v>
      </c>
      <c r="BO188" t="s">
        <v>74</v>
      </c>
      <c r="BP188" t="s">
        <v>74</v>
      </c>
      <c r="BQ188" t="s">
        <v>74</v>
      </c>
      <c r="BR188" t="s">
        <v>104</v>
      </c>
      <c r="BS188" t="s">
        <v>4137</v>
      </c>
      <c r="BT188" t="str">
        <f>HYPERLINK("https%3A%2F%2Fwww.webofscience.com%2Fwos%2Fwoscc%2Ffull-record%2FWOS:000636037100001","View Full Record in Web of Science")</f>
        <v>View Full Record in Web of Science</v>
      </c>
    </row>
    <row r="189" spans="1:72" x14ac:dyDescent="0.15">
      <c r="A189" t="s">
        <v>72</v>
      </c>
      <c r="B189" t="s">
        <v>4138</v>
      </c>
      <c r="C189" t="s">
        <v>74</v>
      </c>
      <c r="D189" t="s">
        <v>74</v>
      </c>
      <c r="E189" t="s">
        <v>74</v>
      </c>
      <c r="F189" t="s">
        <v>4139</v>
      </c>
      <c r="G189" t="s">
        <v>74</v>
      </c>
      <c r="H189" t="s">
        <v>74</v>
      </c>
      <c r="I189" t="s">
        <v>4140</v>
      </c>
      <c r="J189" t="s">
        <v>4141</v>
      </c>
      <c r="K189" t="s">
        <v>74</v>
      </c>
      <c r="L189" t="s">
        <v>74</v>
      </c>
      <c r="M189" t="s">
        <v>78</v>
      </c>
      <c r="N189" t="s">
        <v>79</v>
      </c>
      <c r="O189" t="s">
        <v>74</v>
      </c>
      <c r="P189" t="s">
        <v>74</v>
      </c>
      <c r="Q189" t="s">
        <v>74</v>
      </c>
      <c r="R189" t="s">
        <v>74</v>
      </c>
      <c r="S189" t="s">
        <v>74</v>
      </c>
      <c r="T189" t="s">
        <v>4142</v>
      </c>
      <c r="U189" t="s">
        <v>74</v>
      </c>
      <c r="V189" t="s">
        <v>4143</v>
      </c>
      <c r="W189" t="s">
        <v>4144</v>
      </c>
      <c r="X189" t="s">
        <v>4145</v>
      </c>
      <c r="Y189" t="s">
        <v>4146</v>
      </c>
      <c r="Z189" t="s">
        <v>4147</v>
      </c>
      <c r="AA189" t="s">
        <v>4148</v>
      </c>
      <c r="AB189" t="s">
        <v>4149</v>
      </c>
      <c r="AC189" t="s">
        <v>4150</v>
      </c>
      <c r="AD189" t="s">
        <v>4151</v>
      </c>
      <c r="AE189" t="s">
        <v>4152</v>
      </c>
      <c r="AF189" t="s">
        <v>74</v>
      </c>
      <c r="AG189">
        <v>87</v>
      </c>
      <c r="AH189">
        <v>11</v>
      </c>
      <c r="AI189">
        <v>13</v>
      </c>
      <c r="AJ189">
        <v>3</v>
      </c>
      <c r="AK189">
        <v>24</v>
      </c>
      <c r="AL189" t="s">
        <v>166</v>
      </c>
      <c r="AM189" t="s">
        <v>167</v>
      </c>
      <c r="AN189" t="s">
        <v>168</v>
      </c>
      <c r="AO189" t="s">
        <v>4153</v>
      </c>
      <c r="AP189" t="s">
        <v>4154</v>
      </c>
      <c r="AQ189" t="s">
        <v>74</v>
      </c>
      <c r="AR189" t="s">
        <v>4155</v>
      </c>
      <c r="AS189" t="s">
        <v>4156</v>
      </c>
      <c r="AT189" t="s">
        <v>707</v>
      </c>
      <c r="AU189">
        <v>2021</v>
      </c>
      <c r="AV189">
        <v>23</v>
      </c>
      <c r="AW189">
        <v>3</v>
      </c>
      <c r="AX189" t="s">
        <v>74</v>
      </c>
      <c r="AY189" t="s">
        <v>74</v>
      </c>
      <c r="AZ189" t="s">
        <v>74</v>
      </c>
      <c r="BA189" t="s">
        <v>74</v>
      </c>
      <c r="BB189">
        <v>357</v>
      </c>
      <c r="BC189">
        <v>372</v>
      </c>
      <c r="BD189" t="s">
        <v>74</v>
      </c>
      <c r="BE189" t="s">
        <v>4157</v>
      </c>
      <c r="BF189" t="str">
        <f>HYPERLINK("http://dx.doi.org/10.1007/s10126-021-10030-x","http://dx.doi.org/10.1007/s10126-021-10030-x")</f>
        <v>http://dx.doi.org/10.1007/s10126-021-10030-x</v>
      </c>
      <c r="BG189" t="s">
        <v>74</v>
      </c>
      <c r="BH189" t="s">
        <v>514</v>
      </c>
      <c r="BI189">
        <v>16</v>
      </c>
      <c r="BJ189" t="s">
        <v>3721</v>
      </c>
      <c r="BK189" t="s">
        <v>101</v>
      </c>
      <c r="BL189" t="s">
        <v>3721</v>
      </c>
      <c r="BM189" t="s">
        <v>4158</v>
      </c>
      <c r="BN189">
        <v>33811268</v>
      </c>
      <c r="BO189" t="s">
        <v>74</v>
      </c>
      <c r="BP189" t="s">
        <v>74</v>
      </c>
      <c r="BQ189" t="s">
        <v>74</v>
      </c>
      <c r="BR189" t="s">
        <v>104</v>
      </c>
      <c r="BS189" t="s">
        <v>4159</v>
      </c>
      <c r="BT189" t="str">
        <f>HYPERLINK("https%3A%2F%2Fwww.webofscience.com%2Fwos%2Fwoscc%2Ffull-record%2FWOS:000636125800001","View Full Record in Web of Science")</f>
        <v>View Full Record in Web of Science</v>
      </c>
    </row>
    <row r="190" spans="1:72" x14ac:dyDescent="0.15">
      <c r="A190" t="s">
        <v>72</v>
      </c>
      <c r="B190" t="s">
        <v>4160</v>
      </c>
      <c r="C190" t="s">
        <v>74</v>
      </c>
      <c r="D190" t="s">
        <v>74</v>
      </c>
      <c r="E190" t="s">
        <v>74</v>
      </c>
      <c r="F190" t="s">
        <v>4161</v>
      </c>
      <c r="G190" t="s">
        <v>74</v>
      </c>
      <c r="H190" t="s">
        <v>74</v>
      </c>
      <c r="I190" t="s">
        <v>4162</v>
      </c>
      <c r="J190" t="s">
        <v>4163</v>
      </c>
      <c r="K190" t="s">
        <v>74</v>
      </c>
      <c r="L190" t="s">
        <v>74</v>
      </c>
      <c r="M190" t="s">
        <v>4164</v>
      </c>
      <c r="N190" t="s">
        <v>79</v>
      </c>
      <c r="O190" t="s">
        <v>74</v>
      </c>
      <c r="P190" t="s">
        <v>74</v>
      </c>
      <c r="Q190" t="s">
        <v>74</v>
      </c>
      <c r="R190" t="s">
        <v>74</v>
      </c>
      <c r="S190" t="s">
        <v>74</v>
      </c>
      <c r="T190" t="s">
        <v>4165</v>
      </c>
      <c r="U190" t="s">
        <v>4166</v>
      </c>
      <c r="V190" t="s">
        <v>4167</v>
      </c>
      <c r="W190" t="s">
        <v>4168</v>
      </c>
      <c r="X190" t="s">
        <v>4169</v>
      </c>
      <c r="Y190" t="s">
        <v>4170</v>
      </c>
      <c r="Z190" t="s">
        <v>4171</v>
      </c>
      <c r="AA190" t="s">
        <v>4172</v>
      </c>
      <c r="AB190" t="s">
        <v>74</v>
      </c>
      <c r="AC190" t="s">
        <v>4173</v>
      </c>
      <c r="AD190" t="s">
        <v>4174</v>
      </c>
      <c r="AE190" t="s">
        <v>4175</v>
      </c>
      <c r="AF190" t="s">
        <v>74</v>
      </c>
      <c r="AG190">
        <v>18</v>
      </c>
      <c r="AH190">
        <v>0</v>
      </c>
      <c r="AI190">
        <v>0</v>
      </c>
      <c r="AJ190">
        <v>1</v>
      </c>
      <c r="AK190">
        <v>5</v>
      </c>
      <c r="AL190" t="s">
        <v>1408</v>
      </c>
      <c r="AM190" t="s">
        <v>4176</v>
      </c>
      <c r="AN190" t="s">
        <v>4177</v>
      </c>
      <c r="AO190" t="s">
        <v>4178</v>
      </c>
      <c r="AP190" t="s">
        <v>74</v>
      </c>
      <c r="AQ190" t="s">
        <v>74</v>
      </c>
      <c r="AR190" t="s">
        <v>4179</v>
      </c>
      <c r="AS190" t="s">
        <v>4180</v>
      </c>
      <c r="AT190" t="s">
        <v>2859</v>
      </c>
      <c r="AU190">
        <v>2021</v>
      </c>
      <c r="AV190">
        <v>50</v>
      </c>
      <c r="AW190">
        <v>4</v>
      </c>
      <c r="AX190" t="s">
        <v>74</v>
      </c>
      <c r="AY190" t="s">
        <v>74</v>
      </c>
      <c r="AZ190" t="s">
        <v>74</v>
      </c>
      <c r="BA190" t="s">
        <v>74</v>
      </c>
      <c r="BB190" t="s">
        <v>74</v>
      </c>
      <c r="BC190" t="s">
        <v>74</v>
      </c>
      <c r="BD190">
        <v>412002</v>
      </c>
      <c r="BE190" t="s">
        <v>4181</v>
      </c>
      <c r="BF190" t="str">
        <f>HYPERLINK("http://dx.doi.org/10.3788/gzxb20215004.0412002","http://dx.doi.org/10.3788/gzxb20215004.0412002")</f>
        <v>http://dx.doi.org/10.3788/gzxb20215004.0412002</v>
      </c>
      <c r="BG190" t="s">
        <v>74</v>
      </c>
      <c r="BH190" t="s">
        <v>74</v>
      </c>
      <c r="BI190">
        <v>10</v>
      </c>
      <c r="BJ190" t="s">
        <v>4182</v>
      </c>
      <c r="BK190" t="s">
        <v>342</v>
      </c>
      <c r="BL190" t="s">
        <v>4182</v>
      </c>
      <c r="BM190" t="s">
        <v>4183</v>
      </c>
      <c r="BN190" t="s">
        <v>74</v>
      </c>
      <c r="BO190" t="s">
        <v>74</v>
      </c>
      <c r="BP190" t="s">
        <v>74</v>
      </c>
      <c r="BQ190" t="s">
        <v>74</v>
      </c>
      <c r="BR190" t="s">
        <v>104</v>
      </c>
      <c r="BS190" t="s">
        <v>4184</v>
      </c>
      <c r="BT190" t="str">
        <f>HYPERLINK("https%3A%2F%2Fwww.webofscience.com%2Fwos%2Fwoscc%2Ffull-record%2FWOS:000648343300001","View Full Record in Web of Science")</f>
        <v>View Full Record in Web of Science</v>
      </c>
    </row>
    <row r="191" spans="1:72" x14ac:dyDescent="0.15">
      <c r="A191" t="s">
        <v>72</v>
      </c>
      <c r="B191" t="s">
        <v>4185</v>
      </c>
      <c r="C191" t="s">
        <v>74</v>
      </c>
      <c r="D191" t="s">
        <v>74</v>
      </c>
      <c r="E191" t="s">
        <v>74</v>
      </c>
      <c r="F191" t="s">
        <v>4186</v>
      </c>
      <c r="G191" t="s">
        <v>74</v>
      </c>
      <c r="H191" t="s">
        <v>74</v>
      </c>
      <c r="I191" t="s">
        <v>4187</v>
      </c>
      <c r="J191" t="s">
        <v>3228</v>
      </c>
      <c r="K191" t="s">
        <v>74</v>
      </c>
      <c r="L191" t="s">
        <v>74</v>
      </c>
      <c r="M191" t="s">
        <v>78</v>
      </c>
      <c r="N191" t="s">
        <v>79</v>
      </c>
      <c r="O191" t="s">
        <v>74</v>
      </c>
      <c r="P191" t="s">
        <v>74</v>
      </c>
      <c r="Q191" t="s">
        <v>74</v>
      </c>
      <c r="R191" t="s">
        <v>74</v>
      </c>
      <c r="S191" t="s">
        <v>74</v>
      </c>
      <c r="T191" t="s">
        <v>4188</v>
      </c>
      <c r="U191" t="s">
        <v>74</v>
      </c>
      <c r="V191" t="s">
        <v>4189</v>
      </c>
      <c r="W191" t="s">
        <v>4190</v>
      </c>
      <c r="X191" t="s">
        <v>4191</v>
      </c>
      <c r="Y191" t="s">
        <v>4192</v>
      </c>
      <c r="Z191" t="s">
        <v>4193</v>
      </c>
      <c r="AA191" t="s">
        <v>4194</v>
      </c>
      <c r="AB191" t="s">
        <v>4195</v>
      </c>
      <c r="AC191" t="s">
        <v>74</v>
      </c>
      <c r="AD191" t="s">
        <v>74</v>
      </c>
      <c r="AE191" t="s">
        <v>74</v>
      </c>
      <c r="AF191" t="s">
        <v>74</v>
      </c>
      <c r="AG191">
        <v>40</v>
      </c>
      <c r="AH191">
        <v>2</v>
      </c>
      <c r="AI191">
        <v>2</v>
      </c>
      <c r="AJ191">
        <v>3</v>
      </c>
      <c r="AK191">
        <v>18</v>
      </c>
      <c r="AL191" t="s">
        <v>890</v>
      </c>
      <c r="AM191" t="s">
        <v>891</v>
      </c>
      <c r="AN191" t="s">
        <v>892</v>
      </c>
      <c r="AO191" t="s">
        <v>3240</v>
      </c>
      <c r="AP191" t="s">
        <v>3241</v>
      </c>
      <c r="AQ191" t="s">
        <v>74</v>
      </c>
      <c r="AR191" t="s">
        <v>3242</v>
      </c>
      <c r="AS191" t="s">
        <v>3243</v>
      </c>
      <c r="AT191" t="s">
        <v>707</v>
      </c>
      <c r="AU191">
        <v>2021</v>
      </c>
      <c r="AV191">
        <v>128</v>
      </c>
      <c r="AW191" t="s">
        <v>74</v>
      </c>
      <c r="AX191" t="s">
        <v>74</v>
      </c>
      <c r="AY191" t="s">
        <v>74</v>
      </c>
      <c r="AZ191" t="s">
        <v>74</v>
      </c>
      <c r="BA191" t="s">
        <v>74</v>
      </c>
      <c r="BB191" t="s">
        <v>74</v>
      </c>
      <c r="BC191" t="s">
        <v>74</v>
      </c>
      <c r="BD191">
        <v>104502</v>
      </c>
      <c r="BE191" t="s">
        <v>4196</v>
      </c>
      <c r="BF191" t="str">
        <f>HYPERLINK("http://dx.doi.org/10.1016/j.marpol.2021.104502","http://dx.doi.org/10.1016/j.marpol.2021.104502")</f>
        <v>http://dx.doi.org/10.1016/j.marpol.2021.104502</v>
      </c>
      <c r="BG191" t="s">
        <v>74</v>
      </c>
      <c r="BH191" t="s">
        <v>514</v>
      </c>
      <c r="BI191">
        <v>9</v>
      </c>
      <c r="BJ191" t="s">
        <v>3245</v>
      </c>
      <c r="BK191" t="s">
        <v>3246</v>
      </c>
      <c r="BL191" t="s">
        <v>3247</v>
      </c>
      <c r="BM191" t="s">
        <v>4197</v>
      </c>
      <c r="BN191" t="s">
        <v>74</v>
      </c>
      <c r="BO191" t="s">
        <v>74</v>
      </c>
      <c r="BP191" t="s">
        <v>74</v>
      </c>
      <c r="BQ191" t="s">
        <v>74</v>
      </c>
      <c r="BR191" t="s">
        <v>104</v>
      </c>
      <c r="BS191" t="s">
        <v>4198</v>
      </c>
      <c r="BT191" t="str">
        <f>HYPERLINK("https%3A%2F%2Fwww.webofscience.com%2Fwos%2Fwoscc%2Ffull-record%2FWOS:000736680700001","View Full Record in Web of Science")</f>
        <v>View Full Record in Web of Science</v>
      </c>
    </row>
    <row r="192" spans="1:72" x14ac:dyDescent="0.15">
      <c r="A192" t="s">
        <v>72</v>
      </c>
      <c r="B192" t="s">
        <v>4199</v>
      </c>
      <c r="C192" t="s">
        <v>74</v>
      </c>
      <c r="D192" t="s">
        <v>74</v>
      </c>
      <c r="E192" t="s">
        <v>74</v>
      </c>
      <c r="F192" t="s">
        <v>4200</v>
      </c>
      <c r="G192" t="s">
        <v>74</v>
      </c>
      <c r="H192" t="s">
        <v>74</v>
      </c>
      <c r="I192" t="s">
        <v>4201</v>
      </c>
      <c r="J192" t="s">
        <v>4202</v>
      </c>
      <c r="K192" t="s">
        <v>74</v>
      </c>
      <c r="L192" t="s">
        <v>74</v>
      </c>
      <c r="M192" t="s">
        <v>78</v>
      </c>
      <c r="N192" t="s">
        <v>79</v>
      </c>
      <c r="O192" t="s">
        <v>74</v>
      </c>
      <c r="P192" t="s">
        <v>74</v>
      </c>
      <c r="Q192" t="s">
        <v>74</v>
      </c>
      <c r="R192" t="s">
        <v>74</v>
      </c>
      <c r="S192" t="s">
        <v>74</v>
      </c>
      <c r="T192" t="s">
        <v>4203</v>
      </c>
      <c r="U192" t="s">
        <v>4204</v>
      </c>
      <c r="V192" t="s">
        <v>4205</v>
      </c>
      <c r="W192" t="s">
        <v>4206</v>
      </c>
      <c r="X192" t="s">
        <v>74</v>
      </c>
      <c r="Y192" t="s">
        <v>4207</v>
      </c>
      <c r="Z192" t="s">
        <v>4208</v>
      </c>
      <c r="AA192" t="s">
        <v>74</v>
      </c>
      <c r="AB192" t="s">
        <v>4209</v>
      </c>
      <c r="AC192" t="s">
        <v>4210</v>
      </c>
      <c r="AD192" t="s">
        <v>4211</v>
      </c>
      <c r="AE192" t="s">
        <v>4212</v>
      </c>
      <c r="AF192" t="s">
        <v>74</v>
      </c>
      <c r="AG192">
        <v>39</v>
      </c>
      <c r="AH192">
        <v>10</v>
      </c>
      <c r="AI192">
        <v>11</v>
      </c>
      <c r="AJ192">
        <v>2</v>
      </c>
      <c r="AK192">
        <v>6</v>
      </c>
      <c r="AL192" t="s">
        <v>625</v>
      </c>
      <c r="AM192" t="s">
        <v>167</v>
      </c>
      <c r="AN192" t="s">
        <v>626</v>
      </c>
      <c r="AO192" t="s">
        <v>4213</v>
      </c>
      <c r="AP192" t="s">
        <v>4214</v>
      </c>
      <c r="AQ192" t="s">
        <v>74</v>
      </c>
      <c r="AR192" t="s">
        <v>4215</v>
      </c>
      <c r="AS192" t="s">
        <v>4216</v>
      </c>
      <c r="AT192" t="s">
        <v>2859</v>
      </c>
      <c r="AU192">
        <v>2021</v>
      </c>
      <c r="AV192">
        <v>33</v>
      </c>
      <c r="AW192">
        <v>2</v>
      </c>
      <c r="AX192" t="s">
        <v>74</v>
      </c>
      <c r="AY192" t="s">
        <v>74</v>
      </c>
      <c r="AZ192" t="s">
        <v>74</v>
      </c>
      <c r="BA192" t="s">
        <v>74</v>
      </c>
      <c r="BB192">
        <v>133</v>
      </c>
      <c r="BC192">
        <v>149</v>
      </c>
      <c r="BD192" t="s">
        <v>4217</v>
      </c>
      <c r="BE192" t="s">
        <v>4218</v>
      </c>
      <c r="BF192" t="str">
        <f>HYPERLINK("http://dx.doi.org/10.1017/S0954102020000644","http://dx.doi.org/10.1017/S0954102020000644")</f>
        <v>http://dx.doi.org/10.1017/S0954102020000644</v>
      </c>
      <c r="BG192" t="s">
        <v>74</v>
      </c>
      <c r="BH192" t="s">
        <v>74</v>
      </c>
      <c r="BI192">
        <v>17</v>
      </c>
      <c r="BJ192" t="s">
        <v>4219</v>
      </c>
      <c r="BK192" t="s">
        <v>101</v>
      </c>
      <c r="BL192" t="s">
        <v>4220</v>
      </c>
      <c r="BM192" t="s">
        <v>4221</v>
      </c>
      <c r="BN192" t="s">
        <v>74</v>
      </c>
      <c r="BO192" t="s">
        <v>74</v>
      </c>
      <c r="BP192" t="s">
        <v>74</v>
      </c>
      <c r="BQ192" t="s">
        <v>74</v>
      </c>
      <c r="BR192" t="s">
        <v>104</v>
      </c>
      <c r="BS192" t="s">
        <v>4222</v>
      </c>
      <c r="BT192" t="str">
        <f>HYPERLINK("https%3A%2F%2Fwww.webofscience.com%2Fwos%2Fwoscc%2Ffull-record%2FWOS:000648921000003","View Full Record in Web of Science")</f>
        <v>View Full Record in Web of Science</v>
      </c>
    </row>
    <row r="193" spans="1:72" x14ac:dyDescent="0.15">
      <c r="A193" t="s">
        <v>72</v>
      </c>
      <c r="B193" t="s">
        <v>4223</v>
      </c>
      <c r="C193" t="s">
        <v>74</v>
      </c>
      <c r="D193" t="s">
        <v>74</v>
      </c>
      <c r="E193" t="s">
        <v>74</v>
      </c>
      <c r="F193" t="s">
        <v>4224</v>
      </c>
      <c r="G193" t="s">
        <v>74</v>
      </c>
      <c r="H193" t="s">
        <v>74</v>
      </c>
      <c r="I193" t="s">
        <v>4225</v>
      </c>
      <c r="J193" t="s">
        <v>4226</v>
      </c>
      <c r="K193" t="s">
        <v>74</v>
      </c>
      <c r="L193" t="s">
        <v>74</v>
      </c>
      <c r="M193" t="s">
        <v>78</v>
      </c>
      <c r="N193" t="s">
        <v>79</v>
      </c>
      <c r="O193" t="s">
        <v>74</v>
      </c>
      <c r="P193" t="s">
        <v>74</v>
      </c>
      <c r="Q193" t="s">
        <v>74</v>
      </c>
      <c r="R193" t="s">
        <v>74</v>
      </c>
      <c r="S193" t="s">
        <v>74</v>
      </c>
      <c r="T193" t="s">
        <v>4227</v>
      </c>
      <c r="U193" t="s">
        <v>74</v>
      </c>
      <c r="V193" t="s">
        <v>4228</v>
      </c>
      <c r="W193" t="s">
        <v>4229</v>
      </c>
      <c r="X193" t="s">
        <v>4230</v>
      </c>
      <c r="Y193" t="s">
        <v>4231</v>
      </c>
      <c r="Z193" t="s">
        <v>4232</v>
      </c>
      <c r="AA193" t="s">
        <v>4233</v>
      </c>
      <c r="AB193" t="s">
        <v>4234</v>
      </c>
      <c r="AC193" t="s">
        <v>4235</v>
      </c>
      <c r="AD193" t="s">
        <v>459</v>
      </c>
      <c r="AE193" t="s">
        <v>4236</v>
      </c>
      <c r="AF193" t="s">
        <v>74</v>
      </c>
      <c r="AG193">
        <v>9</v>
      </c>
      <c r="AH193">
        <v>1</v>
      </c>
      <c r="AI193">
        <v>1</v>
      </c>
      <c r="AJ193">
        <v>1</v>
      </c>
      <c r="AK193">
        <v>9</v>
      </c>
      <c r="AL193" t="s">
        <v>413</v>
      </c>
      <c r="AM193" t="s">
        <v>167</v>
      </c>
      <c r="AN193" t="s">
        <v>414</v>
      </c>
      <c r="AO193" t="s">
        <v>4237</v>
      </c>
      <c r="AP193" t="s">
        <v>4238</v>
      </c>
      <c r="AQ193" t="s">
        <v>74</v>
      </c>
      <c r="AR193" t="s">
        <v>4239</v>
      </c>
      <c r="AS193" t="s">
        <v>4240</v>
      </c>
      <c r="AT193" t="s">
        <v>2859</v>
      </c>
      <c r="AU193">
        <v>2021</v>
      </c>
      <c r="AV193">
        <v>46</v>
      </c>
      <c r="AW193">
        <v>4</v>
      </c>
      <c r="AX193" t="s">
        <v>74</v>
      </c>
      <c r="AY193" t="s">
        <v>74</v>
      </c>
      <c r="AZ193" t="s">
        <v>74</v>
      </c>
      <c r="BA193" t="s">
        <v>74</v>
      </c>
      <c r="BB193">
        <v>217</v>
      </c>
      <c r="BC193">
        <v>224</v>
      </c>
      <c r="BD193" t="s">
        <v>74</v>
      </c>
      <c r="BE193" t="s">
        <v>4241</v>
      </c>
      <c r="BF193" t="str">
        <f>HYPERLINK("http://dx.doi.org/10.3103/S1068373921040014","http://dx.doi.org/10.3103/S1068373921040014")</f>
        <v>http://dx.doi.org/10.3103/S1068373921040014</v>
      </c>
      <c r="BG193" t="s">
        <v>74</v>
      </c>
      <c r="BH193" t="s">
        <v>74</v>
      </c>
      <c r="BI193">
        <v>8</v>
      </c>
      <c r="BJ193" t="s">
        <v>129</v>
      </c>
      <c r="BK193" t="s">
        <v>101</v>
      </c>
      <c r="BL193" t="s">
        <v>129</v>
      </c>
      <c r="BM193" t="s">
        <v>4242</v>
      </c>
      <c r="BN193" t="s">
        <v>74</v>
      </c>
      <c r="BO193" t="s">
        <v>74</v>
      </c>
      <c r="BP193" t="s">
        <v>74</v>
      </c>
      <c r="BQ193" t="s">
        <v>74</v>
      </c>
      <c r="BR193" t="s">
        <v>104</v>
      </c>
      <c r="BS193" t="s">
        <v>4243</v>
      </c>
      <c r="BT193" t="str">
        <f>HYPERLINK("https%3A%2F%2Fwww.webofscience.com%2Fwos%2Fwoscc%2Ffull-record%2FWOS:000686784400001","View Full Record in Web of Science")</f>
        <v>View Full Record in Web of Science</v>
      </c>
    </row>
    <row r="194" spans="1:72" x14ac:dyDescent="0.15">
      <c r="A194" t="s">
        <v>72</v>
      </c>
      <c r="B194" t="s">
        <v>4244</v>
      </c>
      <c r="C194" t="s">
        <v>74</v>
      </c>
      <c r="D194" t="s">
        <v>74</v>
      </c>
      <c r="E194" t="s">
        <v>74</v>
      </c>
      <c r="F194" t="s">
        <v>4245</v>
      </c>
      <c r="G194" t="s">
        <v>74</v>
      </c>
      <c r="H194" t="s">
        <v>74</v>
      </c>
      <c r="I194" t="s">
        <v>4246</v>
      </c>
      <c r="J194" t="s">
        <v>4226</v>
      </c>
      <c r="K194" t="s">
        <v>74</v>
      </c>
      <c r="L194" t="s">
        <v>74</v>
      </c>
      <c r="M194" t="s">
        <v>78</v>
      </c>
      <c r="N194" t="s">
        <v>79</v>
      </c>
      <c r="O194" t="s">
        <v>74</v>
      </c>
      <c r="P194" t="s">
        <v>74</v>
      </c>
      <c r="Q194" t="s">
        <v>74</v>
      </c>
      <c r="R194" t="s">
        <v>74</v>
      </c>
      <c r="S194" t="s">
        <v>74</v>
      </c>
      <c r="T194" t="s">
        <v>4247</v>
      </c>
      <c r="U194" t="s">
        <v>4248</v>
      </c>
      <c r="V194" t="s">
        <v>4249</v>
      </c>
      <c r="W194" t="s">
        <v>4250</v>
      </c>
      <c r="X194" t="s">
        <v>4230</v>
      </c>
      <c r="Y194" t="s">
        <v>4251</v>
      </c>
      <c r="Z194" t="s">
        <v>4252</v>
      </c>
      <c r="AA194" t="s">
        <v>74</v>
      </c>
      <c r="AB194" t="s">
        <v>4253</v>
      </c>
      <c r="AC194" t="s">
        <v>74</v>
      </c>
      <c r="AD194" t="s">
        <v>74</v>
      </c>
      <c r="AE194" t="s">
        <v>74</v>
      </c>
      <c r="AF194" t="s">
        <v>74</v>
      </c>
      <c r="AG194">
        <v>23</v>
      </c>
      <c r="AH194">
        <v>3</v>
      </c>
      <c r="AI194">
        <v>3</v>
      </c>
      <c r="AJ194">
        <v>0</v>
      </c>
      <c r="AK194">
        <v>1</v>
      </c>
      <c r="AL194" t="s">
        <v>413</v>
      </c>
      <c r="AM194" t="s">
        <v>167</v>
      </c>
      <c r="AN194" t="s">
        <v>414</v>
      </c>
      <c r="AO194" t="s">
        <v>4237</v>
      </c>
      <c r="AP194" t="s">
        <v>4238</v>
      </c>
      <c r="AQ194" t="s">
        <v>74</v>
      </c>
      <c r="AR194" t="s">
        <v>4239</v>
      </c>
      <c r="AS194" t="s">
        <v>4240</v>
      </c>
      <c r="AT194" t="s">
        <v>2859</v>
      </c>
      <c r="AU194">
        <v>2021</v>
      </c>
      <c r="AV194">
        <v>46</v>
      </c>
      <c r="AW194">
        <v>4</v>
      </c>
      <c r="AX194" t="s">
        <v>74</v>
      </c>
      <c r="AY194" t="s">
        <v>74</v>
      </c>
      <c r="AZ194" t="s">
        <v>74</v>
      </c>
      <c r="BA194" t="s">
        <v>74</v>
      </c>
      <c r="BB194">
        <v>231</v>
      </c>
      <c r="BC194">
        <v>240</v>
      </c>
      <c r="BD194" t="s">
        <v>74</v>
      </c>
      <c r="BE194" t="s">
        <v>4254</v>
      </c>
      <c r="BF194" t="str">
        <f>HYPERLINK("http://dx.doi.org/10.3103/S1068373921040038","http://dx.doi.org/10.3103/S1068373921040038")</f>
        <v>http://dx.doi.org/10.3103/S1068373921040038</v>
      </c>
      <c r="BG194" t="s">
        <v>74</v>
      </c>
      <c r="BH194" t="s">
        <v>74</v>
      </c>
      <c r="BI194">
        <v>10</v>
      </c>
      <c r="BJ194" t="s">
        <v>129</v>
      </c>
      <c r="BK194" t="s">
        <v>101</v>
      </c>
      <c r="BL194" t="s">
        <v>129</v>
      </c>
      <c r="BM194" t="s">
        <v>4242</v>
      </c>
      <c r="BN194" t="s">
        <v>74</v>
      </c>
      <c r="BO194" t="s">
        <v>74</v>
      </c>
      <c r="BP194" t="s">
        <v>74</v>
      </c>
      <c r="BQ194" t="s">
        <v>74</v>
      </c>
      <c r="BR194" t="s">
        <v>104</v>
      </c>
      <c r="BS194" t="s">
        <v>4255</v>
      </c>
      <c r="BT194" t="str">
        <f>HYPERLINK("https%3A%2F%2Fwww.webofscience.com%2Fwos%2Fwoscc%2Ffull-record%2FWOS:000686784400003","View Full Record in Web of Science")</f>
        <v>View Full Record in Web of Science</v>
      </c>
    </row>
    <row r="195" spans="1:72" x14ac:dyDescent="0.15">
      <c r="A195" t="s">
        <v>72</v>
      </c>
      <c r="B195" t="s">
        <v>4256</v>
      </c>
      <c r="C195" t="s">
        <v>74</v>
      </c>
      <c r="D195" t="s">
        <v>74</v>
      </c>
      <c r="E195" t="s">
        <v>74</v>
      </c>
      <c r="F195" t="s">
        <v>4257</v>
      </c>
      <c r="G195" t="s">
        <v>74</v>
      </c>
      <c r="H195" t="s">
        <v>74</v>
      </c>
      <c r="I195" t="s">
        <v>4258</v>
      </c>
      <c r="J195" t="s">
        <v>4226</v>
      </c>
      <c r="K195" t="s">
        <v>74</v>
      </c>
      <c r="L195" t="s">
        <v>74</v>
      </c>
      <c r="M195" t="s">
        <v>78</v>
      </c>
      <c r="N195" t="s">
        <v>79</v>
      </c>
      <c r="O195" t="s">
        <v>74</v>
      </c>
      <c r="P195" t="s">
        <v>74</v>
      </c>
      <c r="Q195" t="s">
        <v>74</v>
      </c>
      <c r="R195" t="s">
        <v>74</v>
      </c>
      <c r="S195" t="s">
        <v>74</v>
      </c>
      <c r="T195" t="s">
        <v>4259</v>
      </c>
      <c r="U195" t="s">
        <v>4260</v>
      </c>
      <c r="V195" t="s">
        <v>4261</v>
      </c>
      <c r="W195" t="s">
        <v>4262</v>
      </c>
      <c r="X195" t="s">
        <v>4230</v>
      </c>
      <c r="Y195" t="s">
        <v>4263</v>
      </c>
      <c r="Z195" t="s">
        <v>4264</v>
      </c>
      <c r="AA195" t="s">
        <v>74</v>
      </c>
      <c r="AB195" t="s">
        <v>4265</v>
      </c>
      <c r="AC195" t="s">
        <v>74</v>
      </c>
      <c r="AD195" t="s">
        <v>74</v>
      </c>
      <c r="AE195" t="s">
        <v>74</v>
      </c>
      <c r="AF195" t="s">
        <v>74</v>
      </c>
      <c r="AG195">
        <v>25</v>
      </c>
      <c r="AH195">
        <v>0</v>
      </c>
      <c r="AI195">
        <v>0</v>
      </c>
      <c r="AJ195">
        <v>0</v>
      </c>
      <c r="AK195">
        <v>0</v>
      </c>
      <c r="AL195" t="s">
        <v>413</v>
      </c>
      <c r="AM195" t="s">
        <v>167</v>
      </c>
      <c r="AN195" t="s">
        <v>414</v>
      </c>
      <c r="AO195" t="s">
        <v>4237</v>
      </c>
      <c r="AP195" t="s">
        <v>4238</v>
      </c>
      <c r="AQ195" t="s">
        <v>74</v>
      </c>
      <c r="AR195" t="s">
        <v>4239</v>
      </c>
      <c r="AS195" t="s">
        <v>4240</v>
      </c>
      <c r="AT195" t="s">
        <v>2859</v>
      </c>
      <c r="AU195">
        <v>2021</v>
      </c>
      <c r="AV195">
        <v>46</v>
      </c>
      <c r="AW195">
        <v>4</v>
      </c>
      <c r="AX195" t="s">
        <v>74</v>
      </c>
      <c r="AY195" t="s">
        <v>74</v>
      </c>
      <c r="AZ195" t="s">
        <v>74</v>
      </c>
      <c r="BA195" t="s">
        <v>74</v>
      </c>
      <c r="BB195">
        <v>280</v>
      </c>
      <c r="BC195">
        <v>285</v>
      </c>
      <c r="BD195" t="s">
        <v>74</v>
      </c>
      <c r="BE195" t="s">
        <v>4266</v>
      </c>
      <c r="BF195" t="str">
        <f>HYPERLINK("http://dx.doi.org/10.3103/S1068373921040099","http://dx.doi.org/10.3103/S1068373921040099")</f>
        <v>http://dx.doi.org/10.3103/S1068373921040099</v>
      </c>
      <c r="BG195" t="s">
        <v>74</v>
      </c>
      <c r="BH195" t="s">
        <v>74</v>
      </c>
      <c r="BI195">
        <v>6</v>
      </c>
      <c r="BJ195" t="s">
        <v>129</v>
      </c>
      <c r="BK195" t="s">
        <v>101</v>
      </c>
      <c r="BL195" t="s">
        <v>129</v>
      </c>
      <c r="BM195" t="s">
        <v>4242</v>
      </c>
      <c r="BN195" t="s">
        <v>74</v>
      </c>
      <c r="BO195" t="s">
        <v>74</v>
      </c>
      <c r="BP195" t="s">
        <v>74</v>
      </c>
      <c r="BQ195" t="s">
        <v>74</v>
      </c>
      <c r="BR195" t="s">
        <v>104</v>
      </c>
      <c r="BS195" t="s">
        <v>4267</v>
      </c>
      <c r="BT195" t="str">
        <f>HYPERLINK("https%3A%2F%2Fwww.webofscience.com%2Fwos%2Fwoscc%2Ffull-record%2FWOS:000686784400009","View Full Record in Web of Science")</f>
        <v>View Full Record in Web of Science</v>
      </c>
    </row>
    <row r="196" spans="1:72" x14ac:dyDescent="0.15">
      <c r="A196" t="s">
        <v>72</v>
      </c>
      <c r="B196" t="s">
        <v>4268</v>
      </c>
      <c r="C196" t="s">
        <v>74</v>
      </c>
      <c r="D196" t="s">
        <v>74</v>
      </c>
      <c r="E196" t="s">
        <v>74</v>
      </c>
      <c r="F196" t="s">
        <v>4269</v>
      </c>
      <c r="G196" t="s">
        <v>74</v>
      </c>
      <c r="H196" t="s">
        <v>74</v>
      </c>
      <c r="I196" t="s">
        <v>4270</v>
      </c>
      <c r="J196" t="s">
        <v>4271</v>
      </c>
      <c r="K196" t="s">
        <v>74</v>
      </c>
      <c r="L196" t="s">
        <v>74</v>
      </c>
      <c r="M196" t="s">
        <v>78</v>
      </c>
      <c r="N196" t="s">
        <v>79</v>
      </c>
      <c r="O196" t="s">
        <v>74</v>
      </c>
      <c r="P196" t="s">
        <v>74</v>
      </c>
      <c r="Q196" t="s">
        <v>74</v>
      </c>
      <c r="R196" t="s">
        <v>74</v>
      </c>
      <c r="S196" t="s">
        <v>74</v>
      </c>
      <c r="T196" t="s">
        <v>74</v>
      </c>
      <c r="U196" t="s">
        <v>4272</v>
      </c>
      <c r="V196" t="s">
        <v>4273</v>
      </c>
      <c r="W196" t="s">
        <v>4274</v>
      </c>
      <c r="X196" t="s">
        <v>4275</v>
      </c>
      <c r="Y196" t="s">
        <v>4276</v>
      </c>
      <c r="Z196" t="s">
        <v>4277</v>
      </c>
      <c r="AA196" t="s">
        <v>4278</v>
      </c>
      <c r="AB196" t="s">
        <v>4279</v>
      </c>
      <c r="AC196" t="s">
        <v>4280</v>
      </c>
      <c r="AD196" t="s">
        <v>4281</v>
      </c>
      <c r="AE196" t="s">
        <v>4282</v>
      </c>
      <c r="AF196" t="s">
        <v>74</v>
      </c>
      <c r="AG196">
        <v>66</v>
      </c>
      <c r="AH196">
        <v>22</v>
      </c>
      <c r="AI196">
        <v>27</v>
      </c>
      <c r="AJ196">
        <v>1</v>
      </c>
      <c r="AK196">
        <v>8</v>
      </c>
      <c r="AL196" t="s">
        <v>4283</v>
      </c>
      <c r="AM196" t="s">
        <v>390</v>
      </c>
      <c r="AN196" t="s">
        <v>4284</v>
      </c>
      <c r="AO196" t="s">
        <v>4285</v>
      </c>
      <c r="AP196" t="s">
        <v>74</v>
      </c>
      <c r="AQ196" t="s">
        <v>74</v>
      </c>
      <c r="AR196" t="s">
        <v>4286</v>
      </c>
      <c r="AS196" t="s">
        <v>4287</v>
      </c>
      <c r="AT196" t="s">
        <v>2859</v>
      </c>
      <c r="AU196">
        <v>2021</v>
      </c>
      <c r="AV196">
        <v>7</v>
      </c>
      <c r="AW196">
        <v>18</v>
      </c>
      <c r="AX196" t="s">
        <v>74</v>
      </c>
      <c r="AY196" t="s">
        <v>74</v>
      </c>
      <c r="AZ196" t="s">
        <v>74</v>
      </c>
      <c r="BA196" t="s">
        <v>74</v>
      </c>
      <c r="BB196" t="s">
        <v>74</v>
      </c>
      <c r="BC196" t="s">
        <v>74</v>
      </c>
      <c r="BD196" t="s">
        <v>4288</v>
      </c>
      <c r="BE196" t="s">
        <v>4289</v>
      </c>
      <c r="BF196" t="str">
        <f>HYPERLINK("http://dx.doi.org/10.1126/sciadv.abf7787","http://dx.doi.org/10.1126/sciadv.abf7787")</f>
        <v>http://dx.doi.org/10.1126/sciadv.abf7787</v>
      </c>
      <c r="BG196" t="s">
        <v>74</v>
      </c>
      <c r="BH196" t="s">
        <v>74</v>
      </c>
      <c r="BI196">
        <v>9</v>
      </c>
      <c r="BJ196" t="s">
        <v>555</v>
      </c>
      <c r="BK196" t="s">
        <v>101</v>
      </c>
      <c r="BL196" t="s">
        <v>556</v>
      </c>
      <c r="BM196" t="s">
        <v>4290</v>
      </c>
      <c r="BN196">
        <v>33931453</v>
      </c>
      <c r="BO196" t="s">
        <v>398</v>
      </c>
      <c r="BP196" t="s">
        <v>74</v>
      </c>
      <c r="BQ196" t="s">
        <v>74</v>
      </c>
      <c r="BR196" t="s">
        <v>104</v>
      </c>
      <c r="BS196" t="s">
        <v>4291</v>
      </c>
      <c r="BT196" t="str">
        <f>HYPERLINK("https%3A%2F%2Fwww.webofscience.com%2Fwos%2Fwoscc%2Ffull-record%2FWOS:000677572600015","View Full Record in Web of Science")</f>
        <v>View Full Record in Web of Science</v>
      </c>
    </row>
    <row r="197" spans="1:72" x14ac:dyDescent="0.15">
      <c r="A197" t="s">
        <v>72</v>
      </c>
      <c r="B197" t="s">
        <v>4292</v>
      </c>
      <c r="C197" t="s">
        <v>74</v>
      </c>
      <c r="D197" t="s">
        <v>74</v>
      </c>
      <c r="E197" t="s">
        <v>74</v>
      </c>
      <c r="F197" t="s">
        <v>4293</v>
      </c>
      <c r="G197" t="s">
        <v>74</v>
      </c>
      <c r="H197" t="s">
        <v>74</v>
      </c>
      <c r="I197" t="s">
        <v>4294</v>
      </c>
      <c r="J197" t="s">
        <v>4295</v>
      </c>
      <c r="K197" t="s">
        <v>74</v>
      </c>
      <c r="L197" t="s">
        <v>74</v>
      </c>
      <c r="M197" t="s">
        <v>78</v>
      </c>
      <c r="N197" t="s">
        <v>79</v>
      </c>
      <c r="O197" t="s">
        <v>74</v>
      </c>
      <c r="P197" t="s">
        <v>74</v>
      </c>
      <c r="Q197" t="s">
        <v>74</v>
      </c>
      <c r="R197" t="s">
        <v>74</v>
      </c>
      <c r="S197" t="s">
        <v>74</v>
      </c>
      <c r="T197" t="s">
        <v>4296</v>
      </c>
      <c r="U197" t="s">
        <v>4297</v>
      </c>
      <c r="V197" t="s">
        <v>4298</v>
      </c>
      <c r="W197" t="s">
        <v>4299</v>
      </c>
      <c r="X197" t="s">
        <v>4300</v>
      </c>
      <c r="Y197" t="s">
        <v>4301</v>
      </c>
      <c r="Z197" t="s">
        <v>4302</v>
      </c>
      <c r="AA197" t="s">
        <v>74</v>
      </c>
      <c r="AB197" t="s">
        <v>74</v>
      </c>
      <c r="AC197" t="s">
        <v>4303</v>
      </c>
      <c r="AD197" t="s">
        <v>4304</v>
      </c>
      <c r="AE197" t="s">
        <v>4305</v>
      </c>
      <c r="AF197" t="s">
        <v>74</v>
      </c>
      <c r="AG197">
        <v>30</v>
      </c>
      <c r="AH197">
        <v>1</v>
      </c>
      <c r="AI197">
        <v>1</v>
      </c>
      <c r="AJ197">
        <v>0</v>
      </c>
      <c r="AK197">
        <v>18</v>
      </c>
      <c r="AL197" t="s">
        <v>4306</v>
      </c>
      <c r="AM197" t="s">
        <v>1909</v>
      </c>
      <c r="AN197" t="s">
        <v>4307</v>
      </c>
      <c r="AO197" t="s">
        <v>4308</v>
      </c>
      <c r="AP197" t="s">
        <v>4309</v>
      </c>
      <c r="AQ197" t="s">
        <v>74</v>
      </c>
      <c r="AR197" t="s">
        <v>4310</v>
      </c>
      <c r="AS197" t="s">
        <v>4311</v>
      </c>
      <c r="AT197" t="s">
        <v>2859</v>
      </c>
      <c r="AU197">
        <v>2021</v>
      </c>
      <c r="AV197">
        <v>32</v>
      </c>
      <c r="AW197">
        <v>2</v>
      </c>
      <c r="AX197" t="s">
        <v>74</v>
      </c>
      <c r="AY197" t="s">
        <v>74</v>
      </c>
      <c r="AZ197" t="s">
        <v>74</v>
      </c>
      <c r="BA197" t="s">
        <v>74</v>
      </c>
      <c r="BB197">
        <v>229</v>
      </c>
      <c r="BC197">
        <v>240</v>
      </c>
      <c r="BD197" t="s">
        <v>74</v>
      </c>
      <c r="BE197" t="s">
        <v>4312</v>
      </c>
      <c r="BF197" t="str">
        <f>HYPERLINK("http://dx.doi.org/10.3319/TAO.2020.11.16.01","http://dx.doi.org/10.3319/TAO.2020.11.16.01")</f>
        <v>http://dx.doi.org/10.3319/TAO.2020.11.16.01</v>
      </c>
      <c r="BG197" t="s">
        <v>74</v>
      </c>
      <c r="BH197" t="s">
        <v>74</v>
      </c>
      <c r="BI197">
        <v>12</v>
      </c>
      <c r="BJ197" t="s">
        <v>4313</v>
      </c>
      <c r="BK197" t="s">
        <v>101</v>
      </c>
      <c r="BL197" t="s">
        <v>4314</v>
      </c>
      <c r="BM197" t="s">
        <v>4315</v>
      </c>
      <c r="BN197" t="s">
        <v>74</v>
      </c>
      <c r="BO197" t="s">
        <v>317</v>
      </c>
      <c r="BP197" t="s">
        <v>74</v>
      </c>
      <c r="BQ197" t="s">
        <v>74</v>
      </c>
      <c r="BR197" t="s">
        <v>104</v>
      </c>
      <c r="BS197" t="s">
        <v>4316</v>
      </c>
      <c r="BT197" t="str">
        <f>HYPERLINK("https%3A%2F%2Fwww.webofscience.com%2Fwos%2Fwoscc%2Ffull-record%2FWOS:000675914500007","View Full Record in Web of Science")</f>
        <v>View Full Record in Web of Science</v>
      </c>
    </row>
    <row r="198" spans="1:72" x14ac:dyDescent="0.15">
      <c r="A198" t="s">
        <v>72</v>
      </c>
      <c r="B198" t="s">
        <v>4317</v>
      </c>
      <c r="C198" t="s">
        <v>74</v>
      </c>
      <c r="D198" t="s">
        <v>74</v>
      </c>
      <c r="E198" t="s">
        <v>74</v>
      </c>
      <c r="F198" t="s">
        <v>4318</v>
      </c>
      <c r="G198" t="s">
        <v>74</v>
      </c>
      <c r="H198" t="s">
        <v>74</v>
      </c>
      <c r="I198" t="s">
        <v>4319</v>
      </c>
      <c r="J198" t="s">
        <v>3253</v>
      </c>
      <c r="K198" t="s">
        <v>74</v>
      </c>
      <c r="L198" t="s">
        <v>74</v>
      </c>
      <c r="M198" t="s">
        <v>78</v>
      </c>
      <c r="N198" t="s">
        <v>79</v>
      </c>
      <c r="O198" t="s">
        <v>74</v>
      </c>
      <c r="P198" t="s">
        <v>74</v>
      </c>
      <c r="Q198" t="s">
        <v>74</v>
      </c>
      <c r="R198" t="s">
        <v>74</v>
      </c>
      <c r="S198" t="s">
        <v>74</v>
      </c>
      <c r="T198" t="s">
        <v>4320</v>
      </c>
      <c r="U198" t="s">
        <v>4321</v>
      </c>
      <c r="V198" t="s">
        <v>4322</v>
      </c>
      <c r="W198" t="s">
        <v>4323</v>
      </c>
      <c r="X198" t="s">
        <v>4324</v>
      </c>
      <c r="Y198" t="s">
        <v>4325</v>
      </c>
      <c r="Z198" t="s">
        <v>4326</v>
      </c>
      <c r="AA198" t="s">
        <v>4327</v>
      </c>
      <c r="AB198" t="s">
        <v>4328</v>
      </c>
      <c r="AC198" t="s">
        <v>4329</v>
      </c>
      <c r="AD198" t="s">
        <v>4330</v>
      </c>
      <c r="AE198" t="s">
        <v>4331</v>
      </c>
      <c r="AF198" t="s">
        <v>74</v>
      </c>
      <c r="AG198">
        <v>63</v>
      </c>
      <c r="AH198">
        <v>6</v>
      </c>
      <c r="AI198">
        <v>6</v>
      </c>
      <c r="AJ198">
        <v>1</v>
      </c>
      <c r="AK198">
        <v>7</v>
      </c>
      <c r="AL198" t="s">
        <v>890</v>
      </c>
      <c r="AM198" t="s">
        <v>891</v>
      </c>
      <c r="AN198" t="s">
        <v>892</v>
      </c>
      <c r="AO198" t="s">
        <v>3266</v>
      </c>
      <c r="AP198" t="s">
        <v>3267</v>
      </c>
      <c r="AQ198" t="s">
        <v>74</v>
      </c>
      <c r="AR198" t="s">
        <v>3268</v>
      </c>
      <c r="AS198" t="s">
        <v>3269</v>
      </c>
      <c r="AT198" t="s">
        <v>127</v>
      </c>
      <c r="AU198">
        <v>2021</v>
      </c>
      <c r="AV198">
        <v>161</v>
      </c>
      <c r="AW198" t="s">
        <v>74</v>
      </c>
      <c r="AX198" t="s">
        <v>74</v>
      </c>
      <c r="AY198" t="s">
        <v>74</v>
      </c>
      <c r="AZ198" t="s">
        <v>74</v>
      </c>
      <c r="BA198" t="s">
        <v>74</v>
      </c>
      <c r="BB198" t="s">
        <v>74</v>
      </c>
      <c r="BC198" t="s">
        <v>74</v>
      </c>
      <c r="BD198">
        <v>101792</v>
      </c>
      <c r="BE198" t="s">
        <v>4332</v>
      </c>
      <c r="BF198" t="str">
        <f>HYPERLINK("http://dx.doi.org/10.1016/j.ocemod.2021.101792","http://dx.doi.org/10.1016/j.ocemod.2021.101792")</f>
        <v>http://dx.doi.org/10.1016/j.ocemod.2021.101792</v>
      </c>
      <c r="BG198" t="s">
        <v>74</v>
      </c>
      <c r="BH198" t="s">
        <v>514</v>
      </c>
      <c r="BI198">
        <v>16</v>
      </c>
      <c r="BJ198" t="s">
        <v>3271</v>
      </c>
      <c r="BK198" t="s">
        <v>101</v>
      </c>
      <c r="BL198" t="s">
        <v>3271</v>
      </c>
      <c r="BM198" t="s">
        <v>4333</v>
      </c>
      <c r="BN198" t="s">
        <v>74</v>
      </c>
      <c r="BO198" t="s">
        <v>1492</v>
      </c>
      <c r="BP198" t="s">
        <v>74</v>
      </c>
      <c r="BQ198" t="s">
        <v>74</v>
      </c>
      <c r="BR198" t="s">
        <v>104</v>
      </c>
      <c r="BS198" t="s">
        <v>4334</v>
      </c>
      <c r="BT198" t="str">
        <f>HYPERLINK("https%3A%2F%2Fwww.webofscience.com%2Fwos%2Fwoscc%2Ffull-record%2FWOS:000671882400003","View Full Record in Web of Science")</f>
        <v>View Full Record in Web of Science</v>
      </c>
    </row>
    <row r="199" spans="1:72" x14ac:dyDescent="0.15">
      <c r="A199" t="s">
        <v>72</v>
      </c>
      <c r="B199" t="s">
        <v>4335</v>
      </c>
      <c r="C199" t="s">
        <v>74</v>
      </c>
      <c r="D199" t="s">
        <v>74</v>
      </c>
      <c r="E199" t="s">
        <v>74</v>
      </c>
      <c r="F199" t="s">
        <v>4336</v>
      </c>
      <c r="G199" t="s">
        <v>74</v>
      </c>
      <c r="H199" t="s">
        <v>74</v>
      </c>
      <c r="I199" t="s">
        <v>4337</v>
      </c>
      <c r="J199" t="s">
        <v>4338</v>
      </c>
      <c r="K199" t="s">
        <v>74</v>
      </c>
      <c r="L199" t="s">
        <v>74</v>
      </c>
      <c r="M199" t="s">
        <v>78</v>
      </c>
      <c r="N199" t="s">
        <v>79</v>
      </c>
      <c r="O199" t="s">
        <v>74</v>
      </c>
      <c r="P199" t="s">
        <v>74</v>
      </c>
      <c r="Q199" t="s">
        <v>74</v>
      </c>
      <c r="R199" t="s">
        <v>74</v>
      </c>
      <c r="S199" t="s">
        <v>74</v>
      </c>
      <c r="T199" t="s">
        <v>4339</v>
      </c>
      <c r="U199" t="s">
        <v>4340</v>
      </c>
      <c r="V199" t="s">
        <v>4341</v>
      </c>
      <c r="W199" t="s">
        <v>4342</v>
      </c>
      <c r="X199" t="s">
        <v>4343</v>
      </c>
      <c r="Y199" t="s">
        <v>4344</v>
      </c>
      <c r="Z199" t="s">
        <v>4345</v>
      </c>
      <c r="AA199" t="s">
        <v>4346</v>
      </c>
      <c r="AB199" t="s">
        <v>4347</v>
      </c>
      <c r="AC199" t="s">
        <v>4348</v>
      </c>
      <c r="AD199" t="s">
        <v>4349</v>
      </c>
      <c r="AE199" t="s">
        <v>4350</v>
      </c>
      <c r="AF199" t="s">
        <v>74</v>
      </c>
      <c r="AG199">
        <v>42</v>
      </c>
      <c r="AH199">
        <v>3</v>
      </c>
      <c r="AI199">
        <v>3</v>
      </c>
      <c r="AJ199">
        <v>1</v>
      </c>
      <c r="AK199">
        <v>25</v>
      </c>
      <c r="AL199" t="s">
        <v>625</v>
      </c>
      <c r="AM199" t="s">
        <v>1482</v>
      </c>
      <c r="AN199" t="s">
        <v>4351</v>
      </c>
      <c r="AO199" t="s">
        <v>4352</v>
      </c>
      <c r="AP199" t="s">
        <v>4353</v>
      </c>
      <c r="AQ199" t="s">
        <v>74</v>
      </c>
      <c r="AR199" t="s">
        <v>4354</v>
      </c>
      <c r="AS199" t="s">
        <v>4355</v>
      </c>
      <c r="AT199" t="s">
        <v>2859</v>
      </c>
      <c r="AU199">
        <v>2021</v>
      </c>
      <c r="AV199">
        <v>62</v>
      </c>
      <c r="AW199">
        <v>84</v>
      </c>
      <c r="AX199" t="s">
        <v>74</v>
      </c>
      <c r="AY199" t="s">
        <v>74</v>
      </c>
      <c r="AZ199" t="s">
        <v>74</v>
      </c>
      <c r="BA199" t="s">
        <v>74</v>
      </c>
      <c r="BB199">
        <v>1</v>
      </c>
      <c r="BC199">
        <v>11</v>
      </c>
      <c r="BD199" t="s">
        <v>4356</v>
      </c>
      <c r="BE199" t="s">
        <v>4357</v>
      </c>
      <c r="BF199" t="str">
        <f>HYPERLINK("http://dx.doi.org/10.1017/aog.2020.37","http://dx.doi.org/10.1017/aog.2020.37")</f>
        <v>http://dx.doi.org/10.1017/aog.2020.37</v>
      </c>
      <c r="BG199" t="s">
        <v>74</v>
      </c>
      <c r="BH199" t="s">
        <v>74</v>
      </c>
      <c r="BI199">
        <v>11</v>
      </c>
      <c r="BJ199" t="s">
        <v>1685</v>
      </c>
      <c r="BK199" t="s">
        <v>101</v>
      </c>
      <c r="BL199" t="s">
        <v>1686</v>
      </c>
      <c r="BM199" t="s">
        <v>4358</v>
      </c>
      <c r="BN199" t="s">
        <v>74</v>
      </c>
      <c r="BO199" t="s">
        <v>317</v>
      </c>
      <c r="BP199" t="s">
        <v>74</v>
      </c>
      <c r="BQ199" t="s">
        <v>74</v>
      </c>
      <c r="BR199" t="s">
        <v>104</v>
      </c>
      <c r="BS199" t="s">
        <v>4359</v>
      </c>
      <c r="BT199" t="str">
        <f>HYPERLINK("https%3A%2F%2Fwww.webofscience.com%2Fwos%2Fwoscc%2Ffull-record%2FWOS:000658814200001","View Full Record in Web of Science")</f>
        <v>View Full Record in Web of Science</v>
      </c>
    </row>
    <row r="200" spans="1:72" x14ac:dyDescent="0.15">
      <c r="A200" t="s">
        <v>72</v>
      </c>
      <c r="B200" t="s">
        <v>4360</v>
      </c>
      <c r="C200" t="s">
        <v>74</v>
      </c>
      <c r="D200" t="s">
        <v>74</v>
      </c>
      <c r="E200" t="s">
        <v>74</v>
      </c>
      <c r="F200" t="s">
        <v>4361</v>
      </c>
      <c r="G200" t="s">
        <v>74</v>
      </c>
      <c r="H200" t="s">
        <v>74</v>
      </c>
      <c r="I200" t="s">
        <v>4362</v>
      </c>
      <c r="J200" t="s">
        <v>4338</v>
      </c>
      <c r="K200" t="s">
        <v>74</v>
      </c>
      <c r="L200" t="s">
        <v>74</v>
      </c>
      <c r="M200" t="s">
        <v>78</v>
      </c>
      <c r="N200" t="s">
        <v>79</v>
      </c>
      <c r="O200" t="s">
        <v>74</v>
      </c>
      <c r="P200" t="s">
        <v>74</v>
      </c>
      <c r="Q200" t="s">
        <v>74</v>
      </c>
      <c r="R200" t="s">
        <v>74</v>
      </c>
      <c r="S200" t="s">
        <v>74</v>
      </c>
      <c r="T200" t="s">
        <v>4363</v>
      </c>
      <c r="U200" t="s">
        <v>4364</v>
      </c>
      <c r="V200" t="s">
        <v>4365</v>
      </c>
      <c r="W200" t="s">
        <v>4366</v>
      </c>
      <c r="X200" t="s">
        <v>4367</v>
      </c>
      <c r="Y200" t="s">
        <v>4368</v>
      </c>
      <c r="Z200" t="s">
        <v>4369</v>
      </c>
      <c r="AA200" t="s">
        <v>4370</v>
      </c>
      <c r="AB200" t="s">
        <v>4371</v>
      </c>
      <c r="AC200" t="s">
        <v>4372</v>
      </c>
      <c r="AD200" t="s">
        <v>4373</v>
      </c>
      <c r="AE200" t="s">
        <v>4374</v>
      </c>
      <c r="AF200" t="s">
        <v>74</v>
      </c>
      <c r="AG200">
        <v>27</v>
      </c>
      <c r="AH200">
        <v>11</v>
      </c>
      <c r="AI200">
        <v>11</v>
      </c>
      <c r="AJ200">
        <v>1</v>
      </c>
      <c r="AK200">
        <v>24</v>
      </c>
      <c r="AL200" t="s">
        <v>625</v>
      </c>
      <c r="AM200" t="s">
        <v>1482</v>
      </c>
      <c r="AN200" t="s">
        <v>4351</v>
      </c>
      <c r="AO200" t="s">
        <v>4352</v>
      </c>
      <c r="AP200" t="s">
        <v>4353</v>
      </c>
      <c r="AQ200" t="s">
        <v>74</v>
      </c>
      <c r="AR200" t="s">
        <v>4354</v>
      </c>
      <c r="AS200" t="s">
        <v>4355</v>
      </c>
      <c r="AT200" t="s">
        <v>2859</v>
      </c>
      <c r="AU200">
        <v>2021</v>
      </c>
      <c r="AV200">
        <v>62</v>
      </c>
      <c r="AW200">
        <v>84</v>
      </c>
      <c r="AX200" t="s">
        <v>74</v>
      </c>
      <c r="AY200" t="s">
        <v>74</v>
      </c>
      <c r="AZ200" t="s">
        <v>74</v>
      </c>
      <c r="BA200" t="s">
        <v>74</v>
      </c>
      <c r="BB200">
        <v>12</v>
      </c>
      <c r="BC200">
        <v>22</v>
      </c>
      <c r="BD200" t="s">
        <v>4375</v>
      </c>
      <c r="BE200" t="s">
        <v>4376</v>
      </c>
      <c r="BF200" t="str">
        <f>HYPERLINK("http://dx.doi.org/10.1017/aog.2020.38","http://dx.doi.org/10.1017/aog.2020.38")</f>
        <v>http://dx.doi.org/10.1017/aog.2020.38</v>
      </c>
      <c r="BG200" t="s">
        <v>74</v>
      </c>
      <c r="BH200" t="s">
        <v>74</v>
      </c>
      <c r="BI200">
        <v>11</v>
      </c>
      <c r="BJ200" t="s">
        <v>1685</v>
      </c>
      <c r="BK200" t="s">
        <v>101</v>
      </c>
      <c r="BL200" t="s">
        <v>1686</v>
      </c>
      <c r="BM200" t="s">
        <v>4358</v>
      </c>
      <c r="BN200" t="s">
        <v>74</v>
      </c>
      <c r="BO200" t="s">
        <v>317</v>
      </c>
      <c r="BP200" t="s">
        <v>74</v>
      </c>
      <c r="BQ200" t="s">
        <v>74</v>
      </c>
      <c r="BR200" t="s">
        <v>104</v>
      </c>
      <c r="BS200" t="s">
        <v>4377</v>
      </c>
      <c r="BT200" t="str">
        <f>HYPERLINK("https%3A%2F%2Fwww.webofscience.com%2Fwos%2Fwoscc%2Ffull-record%2FWOS:000658814200002","View Full Record in Web of Science")</f>
        <v>View Full Record in Web of Science</v>
      </c>
    </row>
    <row r="201" spans="1:72" x14ac:dyDescent="0.15">
      <c r="A201" t="s">
        <v>72</v>
      </c>
      <c r="B201" t="s">
        <v>4360</v>
      </c>
      <c r="C201" t="s">
        <v>74</v>
      </c>
      <c r="D201" t="s">
        <v>74</v>
      </c>
      <c r="E201" t="s">
        <v>74</v>
      </c>
      <c r="F201" t="s">
        <v>4361</v>
      </c>
      <c r="G201" t="s">
        <v>74</v>
      </c>
      <c r="H201" t="s">
        <v>74</v>
      </c>
      <c r="I201" t="s">
        <v>4378</v>
      </c>
      <c r="J201" t="s">
        <v>4338</v>
      </c>
      <c r="K201" t="s">
        <v>74</v>
      </c>
      <c r="L201" t="s">
        <v>74</v>
      </c>
      <c r="M201" t="s">
        <v>78</v>
      </c>
      <c r="N201" t="s">
        <v>3616</v>
      </c>
      <c r="O201" t="s">
        <v>74</v>
      </c>
      <c r="P201" t="s">
        <v>74</v>
      </c>
      <c r="Q201" t="s">
        <v>74</v>
      </c>
      <c r="R201" t="s">
        <v>74</v>
      </c>
      <c r="S201" t="s">
        <v>74</v>
      </c>
      <c r="T201" t="s">
        <v>74</v>
      </c>
      <c r="U201" t="s">
        <v>74</v>
      </c>
      <c r="V201" t="s">
        <v>74</v>
      </c>
      <c r="W201" t="s">
        <v>4366</v>
      </c>
      <c r="X201" t="s">
        <v>4367</v>
      </c>
      <c r="Y201" t="s">
        <v>4379</v>
      </c>
      <c r="Z201" t="s">
        <v>74</v>
      </c>
      <c r="AA201" t="s">
        <v>4380</v>
      </c>
      <c r="AB201" t="s">
        <v>4347</v>
      </c>
      <c r="AC201" t="s">
        <v>74</v>
      </c>
      <c r="AD201" t="s">
        <v>74</v>
      </c>
      <c r="AE201" t="s">
        <v>74</v>
      </c>
      <c r="AF201" t="s">
        <v>74</v>
      </c>
      <c r="AG201">
        <v>1</v>
      </c>
      <c r="AH201">
        <v>0</v>
      </c>
      <c r="AI201">
        <v>0</v>
      </c>
      <c r="AJ201">
        <v>1</v>
      </c>
      <c r="AK201">
        <v>15</v>
      </c>
      <c r="AL201" t="s">
        <v>625</v>
      </c>
      <c r="AM201" t="s">
        <v>1482</v>
      </c>
      <c r="AN201" t="s">
        <v>4351</v>
      </c>
      <c r="AO201" t="s">
        <v>4352</v>
      </c>
      <c r="AP201" t="s">
        <v>4353</v>
      </c>
      <c r="AQ201" t="s">
        <v>74</v>
      </c>
      <c r="AR201" t="s">
        <v>4354</v>
      </c>
      <c r="AS201" t="s">
        <v>4355</v>
      </c>
      <c r="AT201" t="s">
        <v>2859</v>
      </c>
      <c r="AU201">
        <v>2021</v>
      </c>
      <c r="AV201">
        <v>62</v>
      </c>
      <c r="AW201">
        <v>84</v>
      </c>
      <c r="AX201" t="s">
        <v>74</v>
      </c>
      <c r="AY201" t="s">
        <v>74</v>
      </c>
      <c r="AZ201" t="s">
        <v>74</v>
      </c>
      <c r="BA201" t="s">
        <v>74</v>
      </c>
      <c r="BB201">
        <v>23</v>
      </c>
      <c r="BC201">
        <v>23</v>
      </c>
      <c r="BD201" t="s">
        <v>4381</v>
      </c>
      <c r="BE201" t="s">
        <v>4382</v>
      </c>
      <c r="BF201" t="str">
        <f>HYPERLINK("http://dx.doi.org/10.1017/aog.2020.53","http://dx.doi.org/10.1017/aog.2020.53")</f>
        <v>http://dx.doi.org/10.1017/aog.2020.53</v>
      </c>
      <c r="BG201" t="s">
        <v>74</v>
      </c>
      <c r="BH201" t="s">
        <v>74</v>
      </c>
      <c r="BI201">
        <v>1</v>
      </c>
      <c r="BJ201" t="s">
        <v>1685</v>
      </c>
      <c r="BK201" t="s">
        <v>101</v>
      </c>
      <c r="BL201" t="s">
        <v>1686</v>
      </c>
      <c r="BM201" t="s">
        <v>4358</v>
      </c>
      <c r="BN201" t="s">
        <v>74</v>
      </c>
      <c r="BO201" t="s">
        <v>317</v>
      </c>
      <c r="BP201" t="s">
        <v>74</v>
      </c>
      <c r="BQ201" t="s">
        <v>74</v>
      </c>
      <c r="BR201" t="s">
        <v>104</v>
      </c>
      <c r="BS201" t="s">
        <v>4383</v>
      </c>
      <c r="BT201" t="str">
        <f>HYPERLINK("https%3A%2F%2Fwww.webofscience.com%2Fwos%2Fwoscc%2Ffull-record%2FWOS:000658814200003","View Full Record in Web of Science")</f>
        <v>View Full Record in Web of Science</v>
      </c>
    </row>
    <row r="202" spans="1:72" x14ac:dyDescent="0.15">
      <c r="A202" t="s">
        <v>72</v>
      </c>
      <c r="B202" t="s">
        <v>4384</v>
      </c>
      <c r="C202" t="s">
        <v>74</v>
      </c>
      <c r="D202" t="s">
        <v>74</v>
      </c>
      <c r="E202" t="s">
        <v>74</v>
      </c>
      <c r="F202" t="s">
        <v>4385</v>
      </c>
      <c r="G202" t="s">
        <v>74</v>
      </c>
      <c r="H202" t="s">
        <v>74</v>
      </c>
      <c r="I202" t="s">
        <v>4386</v>
      </c>
      <c r="J202" t="s">
        <v>4338</v>
      </c>
      <c r="K202" t="s">
        <v>74</v>
      </c>
      <c r="L202" t="s">
        <v>74</v>
      </c>
      <c r="M202" t="s">
        <v>78</v>
      </c>
      <c r="N202" t="s">
        <v>79</v>
      </c>
      <c r="O202" t="s">
        <v>74</v>
      </c>
      <c r="P202" t="s">
        <v>74</v>
      </c>
      <c r="Q202" t="s">
        <v>74</v>
      </c>
      <c r="R202" t="s">
        <v>74</v>
      </c>
      <c r="S202" t="s">
        <v>74</v>
      </c>
      <c r="T202" t="s">
        <v>4387</v>
      </c>
      <c r="U202" t="s">
        <v>74</v>
      </c>
      <c r="V202" t="s">
        <v>4388</v>
      </c>
      <c r="W202" t="s">
        <v>4389</v>
      </c>
      <c r="X202" t="s">
        <v>4367</v>
      </c>
      <c r="Y202" t="s">
        <v>4379</v>
      </c>
      <c r="Z202" t="s">
        <v>4390</v>
      </c>
      <c r="AA202" t="s">
        <v>4391</v>
      </c>
      <c r="AB202" t="s">
        <v>4371</v>
      </c>
      <c r="AC202" t="s">
        <v>4392</v>
      </c>
      <c r="AD202" t="s">
        <v>4393</v>
      </c>
      <c r="AE202" t="s">
        <v>4394</v>
      </c>
      <c r="AF202" t="s">
        <v>74</v>
      </c>
      <c r="AG202">
        <v>14</v>
      </c>
      <c r="AH202">
        <v>2</v>
      </c>
      <c r="AI202">
        <v>2</v>
      </c>
      <c r="AJ202">
        <v>1</v>
      </c>
      <c r="AK202">
        <v>26</v>
      </c>
      <c r="AL202" t="s">
        <v>625</v>
      </c>
      <c r="AM202" t="s">
        <v>1482</v>
      </c>
      <c r="AN202" t="s">
        <v>4351</v>
      </c>
      <c r="AO202" t="s">
        <v>4352</v>
      </c>
      <c r="AP202" t="s">
        <v>4353</v>
      </c>
      <c r="AQ202" t="s">
        <v>74</v>
      </c>
      <c r="AR202" t="s">
        <v>4354</v>
      </c>
      <c r="AS202" t="s">
        <v>4355</v>
      </c>
      <c r="AT202" t="s">
        <v>2859</v>
      </c>
      <c r="AU202">
        <v>2021</v>
      </c>
      <c r="AV202">
        <v>62</v>
      </c>
      <c r="AW202">
        <v>84</v>
      </c>
      <c r="AX202" t="s">
        <v>74</v>
      </c>
      <c r="AY202" t="s">
        <v>74</v>
      </c>
      <c r="AZ202" t="s">
        <v>74</v>
      </c>
      <c r="BA202" t="s">
        <v>74</v>
      </c>
      <c r="BB202">
        <v>24</v>
      </c>
      <c r="BC202">
        <v>33</v>
      </c>
      <c r="BD202" t="s">
        <v>4395</v>
      </c>
      <c r="BE202" t="s">
        <v>4396</v>
      </c>
      <c r="BF202" t="str">
        <f>HYPERLINK("http://dx.doi.org/10.1017/aog.2020.39","http://dx.doi.org/10.1017/aog.2020.39")</f>
        <v>http://dx.doi.org/10.1017/aog.2020.39</v>
      </c>
      <c r="BG202" t="s">
        <v>74</v>
      </c>
      <c r="BH202" t="s">
        <v>74</v>
      </c>
      <c r="BI202">
        <v>10</v>
      </c>
      <c r="BJ202" t="s">
        <v>1685</v>
      </c>
      <c r="BK202" t="s">
        <v>101</v>
      </c>
      <c r="BL202" t="s">
        <v>1686</v>
      </c>
      <c r="BM202" t="s">
        <v>4358</v>
      </c>
      <c r="BN202" t="s">
        <v>74</v>
      </c>
      <c r="BO202" t="s">
        <v>317</v>
      </c>
      <c r="BP202" t="s">
        <v>74</v>
      </c>
      <c r="BQ202" t="s">
        <v>74</v>
      </c>
      <c r="BR202" t="s">
        <v>104</v>
      </c>
      <c r="BS202" t="s">
        <v>4397</v>
      </c>
      <c r="BT202" t="str">
        <f>HYPERLINK("https%3A%2F%2Fwww.webofscience.com%2Fwos%2Fwoscc%2Ffull-record%2FWOS:000658814200004","View Full Record in Web of Science")</f>
        <v>View Full Record in Web of Science</v>
      </c>
    </row>
    <row r="203" spans="1:72" x14ac:dyDescent="0.15">
      <c r="A203" t="s">
        <v>72</v>
      </c>
      <c r="B203" t="s">
        <v>4398</v>
      </c>
      <c r="C203" t="s">
        <v>74</v>
      </c>
      <c r="D203" t="s">
        <v>74</v>
      </c>
      <c r="E203" t="s">
        <v>74</v>
      </c>
      <c r="F203" t="s">
        <v>4399</v>
      </c>
      <c r="G203" t="s">
        <v>74</v>
      </c>
      <c r="H203" t="s">
        <v>74</v>
      </c>
      <c r="I203" t="s">
        <v>4400</v>
      </c>
      <c r="J203" t="s">
        <v>4338</v>
      </c>
      <c r="K203" t="s">
        <v>74</v>
      </c>
      <c r="L203" t="s">
        <v>74</v>
      </c>
      <c r="M203" t="s">
        <v>78</v>
      </c>
      <c r="N203" t="s">
        <v>79</v>
      </c>
      <c r="O203" t="s">
        <v>74</v>
      </c>
      <c r="P203" t="s">
        <v>74</v>
      </c>
      <c r="Q203" t="s">
        <v>74</v>
      </c>
      <c r="R203" t="s">
        <v>74</v>
      </c>
      <c r="S203" t="s">
        <v>74</v>
      </c>
      <c r="T203" t="s">
        <v>4387</v>
      </c>
      <c r="U203" t="s">
        <v>74</v>
      </c>
      <c r="V203" t="s">
        <v>4401</v>
      </c>
      <c r="W203" t="s">
        <v>4402</v>
      </c>
      <c r="X203" t="s">
        <v>4403</v>
      </c>
      <c r="Y203" t="s">
        <v>4379</v>
      </c>
      <c r="Z203" t="s">
        <v>4390</v>
      </c>
      <c r="AA203" t="s">
        <v>4404</v>
      </c>
      <c r="AB203" t="s">
        <v>4347</v>
      </c>
      <c r="AC203" t="s">
        <v>4392</v>
      </c>
      <c r="AD203" t="s">
        <v>4393</v>
      </c>
      <c r="AE203" t="s">
        <v>4405</v>
      </c>
      <c r="AF203" t="s">
        <v>74</v>
      </c>
      <c r="AG203">
        <v>8</v>
      </c>
      <c r="AH203">
        <v>11</v>
      </c>
      <c r="AI203">
        <v>11</v>
      </c>
      <c r="AJ203">
        <v>0</v>
      </c>
      <c r="AK203">
        <v>9</v>
      </c>
      <c r="AL203" t="s">
        <v>625</v>
      </c>
      <c r="AM203" t="s">
        <v>1482</v>
      </c>
      <c r="AN203" t="s">
        <v>4351</v>
      </c>
      <c r="AO203" t="s">
        <v>4352</v>
      </c>
      <c r="AP203" t="s">
        <v>4353</v>
      </c>
      <c r="AQ203" t="s">
        <v>74</v>
      </c>
      <c r="AR203" t="s">
        <v>4354</v>
      </c>
      <c r="AS203" t="s">
        <v>4355</v>
      </c>
      <c r="AT203" t="s">
        <v>2859</v>
      </c>
      <c r="AU203">
        <v>2021</v>
      </c>
      <c r="AV203">
        <v>62</v>
      </c>
      <c r="AW203">
        <v>84</v>
      </c>
      <c r="AX203" t="s">
        <v>74</v>
      </c>
      <c r="AY203" t="s">
        <v>74</v>
      </c>
      <c r="AZ203" t="s">
        <v>74</v>
      </c>
      <c r="BA203" t="s">
        <v>74</v>
      </c>
      <c r="BB203">
        <v>34</v>
      </c>
      <c r="BC203">
        <v>45</v>
      </c>
      <c r="BD203" t="s">
        <v>4406</v>
      </c>
      <c r="BE203" t="s">
        <v>4407</v>
      </c>
      <c r="BF203" t="str">
        <f>HYPERLINK("http://dx.doi.org/10.1017/aog.2020.40","http://dx.doi.org/10.1017/aog.2020.40")</f>
        <v>http://dx.doi.org/10.1017/aog.2020.40</v>
      </c>
      <c r="BG203" t="s">
        <v>74</v>
      </c>
      <c r="BH203" t="s">
        <v>74</v>
      </c>
      <c r="BI203">
        <v>12</v>
      </c>
      <c r="BJ203" t="s">
        <v>1685</v>
      </c>
      <c r="BK203" t="s">
        <v>101</v>
      </c>
      <c r="BL203" t="s">
        <v>1686</v>
      </c>
      <c r="BM203" t="s">
        <v>4358</v>
      </c>
      <c r="BN203" t="s">
        <v>74</v>
      </c>
      <c r="BO203" t="s">
        <v>317</v>
      </c>
      <c r="BP203" t="s">
        <v>74</v>
      </c>
      <c r="BQ203" t="s">
        <v>74</v>
      </c>
      <c r="BR203" t="s">
        <v>104</v>
      </c>
      <c r="BS203" t="s">
        <v>4408</v>
      </c>
      <c r="BT203" t="str">
        <f>HYPERLINK("https%3A%2F%2Fwww.webofscience.com%2Fwos%2Fwoscc%2Ffull-record%2FWOS:000658814200005","View Full Record in Web of Science")</f>
        <v>View Full Record in Web of Science</v>
      </c>
    </row>
    <row r="204" spans="1:72" x14ac:dyDescent="0.15">
      <c r="A204" t="s">
        <v>72</v>
      </c>
      <c r="B204" t="s">
        <v>4409</v>
      </c>
      <c r="C204" t="s">
        <v>74</v>
      </c>
      <c r="D204" t="s">
        <v>74</v>
      </c>
      <c r="E204" t="s">
        <v>74</v>
      </c>
      <c r="F204" t="s">
        <v>4410</v>
      </c>
      <c r="G204" t="s">
        <v>74</v>
      </c>
      <c r="H204" t="s">
        <v>74</v>
      </c>
      <c r="I204" t="s">
        <v>4411</v>
      </c>
      <c r="J204" t="s">
        <v>4338</v>
      </c>
      <c r="K204" t="s">
        <v>74</v>
      </c>
      <c r="L204" t="s">
        <v>74</v>
      </c>
      <c r="M204" t="s">
        <v>78</v>
      </c>
      <c r="N204" t="s">
        <v>79</v>
      </c>
      <c r="O204" t="s">
        <v>74</v>
      </c>
      <c r="P204" t="s">
        <v>74</v>
      </c>
      <c r="Q204" t="s">
        <v>74</v>
      </c>
      <c r="R204" t="s">
        <v>74</v>
      </c>
      <c r="S204" t="s">
        <v>74</v>
      </c>
      <c r="T204" t="s">
        <v>4412</v>
      </c>
      <c r="U204" t="s">
        <v>74</v>
      </c>
      <c r="V204" t="s">
        <v>4413</v>
      </c>
      <c r="W204" t="s">
        <v>4414</v>
      </c>
      <c r="X204" t="s">
        <v>4415</v>
      </c>
      <c r="Y204" t="s">
        <v>4416</v>
      </c>
      <c r="Z204" t="s">
        <v>4417</v>
      </c>
      <c r="AA204" t="s">
        <v>74</v>
      </c>
      <c r="AB204" t="s">
        <v>74</v>
      </c>
      <c r="AC204" t="s">
        <v>4418</v>
      </c>
      <c r="AD204" t="s">
        <v>4419</v>
      </c>
      <c r="AE204" t="s">
        <v>4420</v>
      </c>
      <c r="AF204" t="s">
        <v>74</v>
      </c>
      <c r="AG204">
        <v>5</v>
      </c>
      <c r="AH204">
        <v>9</v>
      </c>
      <c r="AI204">
        <v>10</v>
      </c>
      <c r="AJ204">
        <v>2</v>
      </c>
      <c r="AK204">
        <v>13</v>
      </c>
      <c r="AL204" t="s">
        <v>625</v>
      </c>
      <c r="AM204" t="s">
        <v>1482</v>
      </c>
      <c r="AN204" t="s">
        <v>4351</v>
      </c>
      <c r="AO204" t="s">
        <v>4352</v>
      </c>
      <c r="AP204" t="s">
        <v>4353</v>
      </c>
      <c r="AQ204" t="s">
        <v>74</v>
      </c>
      <c r="AR204" t="s">
        <v>4354</v>
      </c>
      <c r="AS204" t="s">
        <v>4355</v>
      </c>
      <c r="AT204" t="s">
        <v>2859</v>
      </c>
      <c r="AU204">
        <v>2021</v>
      </c>
      <c r="AV204">
        <v>62</v>
      </c>
      <c r="AW204">
        <v>84</v>
      </c>
      <c r="AX204" t="s">
        <v>74</v>
      </c>
      <c r="AY204" t="s">
        <v>74</v>
      </c>
      <c r="AZ204" t="s">
        <v>74</v>
      </c>
      <c r="BA204" t="s">
        <v>74</v>
      </c>
      <c r="BB204">
        <v>53</v>
      </c>
      <c r="BC204">
        <v>66</v>
      </c>
      <c r="BD204" t="s">
        <v>4421</v>
      </c>
      <c r="BE204" t="s">
        <v>4422</v>
      </c>
      <c r="BF204" t="str">
        <f>HYPERLINK("http://dx.doi.org/10.1017/aog.2020.59","http://dx.doi.org/10.1017/aog.2020.59")</f>
        <v>http://dx.doi.org/10.1017/aog.2020.59</v>
      </c>
      <c r="BG204" t="s">
        <v>74</v>
      </c>
      <c r="BH204" t="s">
        <v>74</v>
      </c>
      <c r="BI204">
        <v>14</v>
      </c>
      <c r="BJ204" t="s">
        <v>1685</v>
      </c>
      <c r="BK204" t="s">
        <v>101</v>
      </c>
      <c r="BL204" t="s">
        <v>1686</v>
      </c>
      <c r="BM204" t="s">
        <v>4358</v>
      </c>
      <c r="BN204" t="s">
        <v>74</v>
      </c>
      <c r="BO204" t="s">
        <v>317</v>
      </c>
      <c r="BP204" t="s">
        <v>74</v>
      </c>
      <c r="BQ204" t="s">
        <v>74</v>
      </c>
      <c r="BR204" t="s">
        <v>104</v>
      </c>
      <c r="BS204" t="s">
        <v>4423</v>
      </c>
      <c r="BT204" t="str">
        <f>HYPERLINK("https%3A%2F%2Fwww.webofscience.com%2Fwos%2Fwoscc%2Ffull-record%2FWOS:000658814200007","View Full Record in Web of Science")</f>
        <v>View Full Record in Web of Science</v>
      </c>
    </row>
    <row r="205" spans="1:72" x14ac:dyDescent="0.15">
      <c r="A205" t="s">
        <v>72</v>
      </c>
      <c r="B205" t="s">
        <v>4424</v>
      </c>
      <c r="C205" t="s">
        <v>74</v>
      </c>
      <c r="D205" t="s">
        <v>74</v>
      </c>
      <c r="E205" t="s">
        <v>74</v>
      </c>
      <c r="F205" t="s">
        <v>4425</v>
      </c>
      <c r="G205" t="s">
        <v>74</v>
      </c>
      <c r="H205" t="s">
        <v>74</v>
      </c>
      <c r="I205" t="s">
        <v>4426</v>
      </c>
      <c r="J205" t="s">
        <v>4338</v>
      </c>
      <c r="K205" t="s">
        <v>74</v>
      </c>
      <c r="L205" t="s">
        <v>74</v>
      </c>
      <c r="M205" t="s">
        <v>78</v>
      </c>
      <c r="N205" t="s">
        <v>79</v>
      </c>
      <c r="O205" t="s">
        <v>74</v>
      </c>
      <c r="P205" t="s">
        <v>74</v>
      </c>
      <c r="Q205" t="s">
        <v>74</v>
      </c>
      <c r="R205" t="s">
        <v>74</v>
      </c>
      <c r="S205" t="s">
        <v>74</v>
      </c>
      <c r="T205" t="s">
        <v>4427</v>
      </c>
      <c r="U205" t="s">
        <v>74</v>
      </c>
      <c r="V205" t="s">
        <v>4428</v>
      </c>
      <c r="W205" t="s">
        <v>4429</v>
      </c>
      <c r="X205" t="s">
        <v>4430</v>
      </c>
      <c r="Y205" t="s">
        <v>4431</v>
      </c>
      <c r="Z205" t="s">
        <v>4432</v>
      </c>
      <c r="AA205" t="s">
        <v>74</v>
      </c>
      <c r="AB205" t="s">
        <v>4433</v>
      </c>
      <c r="AC205" t="s">
        <v>4434</v>
      </c>
      <c r="AD205" t="s">
        <v>4435</v>
      </c>
      <c r="AE205" t="s">
        <v>4436</v>
      </c>
      <c r="AF205" t="s">
        <v>74</v>
      </c>
      <c r="AG205">
        <v>9</v>
      </c>
      <c r="AH205">
        <v>6</v>
      </c>
      <c r="AI205">
        <v>7</v>
      </c>
      <c r="AJ205">
        <v>4</v>
      </c>
      <c r="AK205">
        <v>16</v>
      </c>
      <c r="AL205" t="s">
        <v>625</v>
      </c>
      <c r="AM205" t="s">
        <v>1482</v>
      </c>
      <c r="AN205" t="s">
        <v>4351</v>
      </c>
      <c r="AO205" t="s">
        <v>4352</v>
      </c>
      <c r="AP205" t="s">
        <v>4353</v>
      </c>
      <c r="AQ205" t="s">
        <v>74</v>
      </c>
      <c r="AR205" t="s">
        <v>4354</v>
      </c>
      <c r="AS205" t="s">
        <v>4355</v>
      </c>
      <c r="AT205" t="s">
        <v>2859</v>
      </c>
      <c r="AU205">
        <v>2021</v>
      </c>
      <c r="AV205">
        <v>62</v>
      </c>
      <c r="AW205">
        <v>84</v>
      </c>
      <c r="AX205" t="s">
        <v>74</v>
      </c>
      <c r="AY205" t="s">
        <v>74</v>
      </c>
      <c r="AZ205" t="s">
        <v>74</v>
      </c>
      <c r="BA205" t="s">
        <v>74</v>
      </c>
      <c r="BB205">
        <v>75</v>
      </c>
      <c r="BC205">
        <v>88</v>
      </c>
      <c r="BD205" t="s">
        <v>4437</v>
      </c>
      <c r="BE205" t="s">
        <v>4438</v>
      </c>
      <c r="BF205" t="str">
        <f>HYPERLINK("http://dx.doi.org/10.1017/aog.2020.64","http://dx.doi.org/10.1017/aog.2020.64")</f>
        <v>http://dx.doi.org/10.1017/aog.2020.64</v>
      </c>
      <c r="BG205" t="s">
        <v>74</v>
      </c>
      <c r="BH205" t="s">
        <v>74</v>
      </c>
      <c r="BI205">
        <v>14</v>
      </c>
      <c r="BJ205" t="s">
        <v>1685</v>
      </c>
      <c r="BK205" t="s">
        <v>101</v>
      </c>
      <c r="BL205" t="s">
        <v>1686</v>
      </c>
      <c r="BM205" t="s">
        <v>4358</v>
      </c>
      <c r="BN205" t="s">
        <v>74</v>
      </c>
      <c r="BO205" t="s">
        <v>558</v>
      </c>
      <c r="BP205" t="s">
        <v>74</v>
      </c>
      <c r="BQ205" t="s">
        <v>74</v>
      </c>
      <c r="BR205" t="s">
        <v>104</v>
      </c>
      <c r="BS205" t="s">
        <v>4439</v>
      </c>
      <c r="BT205" t="str">
        <f>HYPERLINK("https%3A%2F%2Fwww.webofscience.com%2Fwos%2Fwoscc%2Ffull-record%2FWOS:000658814200009","View Full Record in Web of Science")</f>
        <v>View Full Record in Web of Science</v>
      </c>
    </row>
    <row r="206" spans="1:72" x14ac:dyDescent="0.15">
      <c r="A206" t="s">
        <v>72</v>
      </c>
      <c r="B206" t="s">
        <v>4440</v>
      </c>
      <c r="C206" t="s">
        <v>74</v>
      </c>
      <c r="D206" t="s">
        <v>74</v>
      </c>
      <c r="E206" t="s">
        <v>74</v>
      </c>
      <c r="F206" t="s">
        <v>4441</v>
      </c>
      <c r="G206" t="s">
        <v>74</v>
      </c>
      <c r="H206" t="s">
        <v>74</v>
      </c>
      <c r="I206" t="s">
        <v>4442</v>
      </c>
      <c r="J206" t="s">
        <v>4338</v>
      </c>
      <c r="K206" t="s">
        <v>74</v>
      </c>
      <c r="L206" t="s">
        <v>74</v>
      </c>
      <c r="M206" t="s">
        <v>78</v>
      </c>
      <c r="N206" t="s">
        <v>79</v>
      </c>
      <c r="O206" t="s">
        <v>74</v>
      </c>
      <c r="P206" t="s">
        <v>74</v>
      </c>
      <c r="Q206" t="s">
        <v>74</v>
      </c>
      <c r="R206" t="s">
        <v>74</v>
      </c>
      <c r="S206" t="s">
        <v>74</v>
      </c>
      <c r="T206" t="s">
        <v>4443</v>
      </c>
      <c r="U206" t="s">
        <v>74</v>
      </c>
      <c r="V206" t="s">
        <v>4444</v>
      </c>
      <c r="W206" t="s">
        <v>4445</v>
      </c>
      <c r="X206" t="s">
        <v>4415</v>
      </c>
      <c r="Y206" t="s">
        <v>4446</v>
      </c>
      <c r="Z206" t="s">
        <v>4447</v>
      </c>
      <c r="AA206" t="s">
        <v>74</v>
      </c>
      <c r="AB206" t="s">
        <v>74</v>
      </c>
      <c r="AC206" t="s">
        <v>4448</v>
      </c>
      <c r="AD206" t="s">
        <v>4449</v>
      </c>
      <c r="AE206" t="s">
        <v>4450</v>
      </c>
      <c r="AF206" t="s">
        <v>74</v>
      </c>
      <c r="AG206">
        <v>6</v>
      </c>
      <c r="AH206">
        <v>4</v>
      </c>
      <c r="AI206">
        <v>4</v>
      </c>
      <c r="AJ206">
        <v>3</v>
      </c>
      <c r="AK206">
        <v>7</v>
      </c>
      <c r="AL206" t="s">
        <v>625</v>
      </c>
      <c r="AM206" t="s">
        <v>1482</v>
      </c>
      <c r="AN206" t="s">
        <v>4351</v>
      </c>
      <c r="AO206" t="s">
        <v>4352</v>
      </c>
      <c r="AP206" t="s">
        <v>4353</v>
      </c>
      <c r="AQ206" t="s">
        <v>74</v>
      </c>
      <c r="AR206" t="s">
        <v>4354</v>
      </c>
      <c r="AS206" t="s">
        <v>4355</v>
      </c>
      <c r="AT206" t="s">
        <v>2859</v>
      </c>
      <c r="AU206">
        <v>2021</v>
      </c>
      <c r="AV206">
        <v>62</v>
      </c>
      <c r="AW206">
        <v>84</v>
      </c>
      <c r="AX206" t="s">
        <v>74</v>
      </c>
      <c r="AY206" t="s">
        <v>74</v>
      </c>
      <c r="AZ206" t="s">
        <v>74</v>
      </c>
      <c r="BA206" t="s">
        <v>74</v>
      </c>
      <c r="BB206">
        <v>99</v>
      </c>
      <c r="BC206">
        <v>108</v>
      </c>
      <c r="BD206" t="s">
        <v>4451</v>
      </c>
      <c r="BE206" t="s">
        <v>4452</v>
      </c>
      <c r="BF206" t="str">
        <f>HYPERLINK("http://dx.doi.org/10.1017/aog.2020.72","http://dx.doi.org/10.1017/aog.2020.72")</f>
        <v>http://dx.doi.org/10.1017/aog.2020.72</v>
      </c>
      <c r="BG206" t="s">
        <v>74</v>
      </c>
      <c r="BH206" t="s">
        <v>74</v>
      </c>
      <c r="BI206">
        <v>10</v>
      </c>
      <c r="BJ206" t="s">
        <v>1685</v>
      </c>
      <c r="BK206" t="s">
        <v>101</v>
      </c>
      <c r="BL206" t="s">
        <v>1686</v>
      </c>
      <c r="BM206" t="s">
        <v>4358</v>
      </c>
      <c r="BN206" t="s">
        <v>74</v>
      </c>
      <c r="BO206" t="s">
        <v>317</v>
      </c>
      <c r="BP206" t="s">
        <v>74</v>
      </c>
      <c r="BQ206" t="s">
        <v>74</v>
      </c>
      <c r="BR206" t="s">
        <v>104</v>
      </c>
      <c r="BS206" t="s">
        <v>4453</v>
      </c>
      <c r="BT206" t="str">
        <f>HYPERLINK("https%3A%2F%2Fwww.webofscience.com%2Fwos%2Fwoscc%2Ffull-record%2FWOS:000658814200011","View Full Record in Web of Science")</f>
        <v>View Full Record in Web of Science</v>
      </c>
    </row>
    <row r="207" spans="1:72" x14ac:dyDescent="0.15">
      <c r="A207" t="s">
        <v>72</v>
      </c>
      <c r="B207" t="s">
        <v>4454</v>
      </c>
      <c r="C207" t="s">
        <v>74</v>
      </c>
      <c r="D207" t="s">
        <v>74</v>
      </c>
      <c r="E207" t="s">
        <v>74</v>
      </c>
      <c r="F207" t="s">
        <v>4455</v>
      </c>
      <c r="G207" t="s">
        <v>74</v>
      </c>
      <c r="H207" t="s">
        <v>74</v>
      </c>
      <c r="I207" t="s">
        <v>4456</v>
      </c>
      <c r="J207" t="s">
        <v>4338</v>
      </c>
      <c r="K207" t="s">
        <v>74</v>
      </c>
      <c r="L207" t="s">
        <v>74</v>
      </c>
      <c r="M207" t="s">
        <v>78</v>
      </c>
      <c r="N207" t="s">
        <v>79</v>
      </c>
      <c r="O207" t="s">
        <v>74</v>
      </c>
      <c r="P207" t="s">
        <v>74</v>
      </c>
      <c r="Q207" t="s">
        <v>74</v>
      </c>
      <c r="R207" t="s">
        <v>74</v>
      </c>
      <c r="S207" t="s">
        <v>74</v>
      </c>
      <c r="T207" t="s">
        <v>4457</v>
      </c>
      <c r="U207" t="s">
        <v>4458</v>
      </c>
      <c r="V207" t="s">
        <v>4459</v>
      </c>
      <c r="W207" t="s">
        <v>4460</v>
      </c>
      <c r="X207" t="s">
        <v>4415</v>
      </c>
      <c r="Y207" t="s">
        <v>4461</v>
      </c>
      <c r="Z207" t="s">
        <v>4462</v>
      </c>
      <c r="AA207" t="s">
        <v>74</v>
      </c>
      <c r="AB207" t="s">
        <v>74</v>
      </c>
      <c r="AC207" t="s">
        <v>4448</v>
      </c>
      <c r="AD207" t="s">
        <v>4449</v>
      </c>
      <c r="AE207" t="s">
        <v>4463</v>
      </c>
      <c r="AF207" t="s">
        <v>74</v>
      </c>
      <c r="AG207">
        <v>11</v>
      </c>
      <c r="AH207">
        <v>6</v>
      </c>
      <c r="AI207">
        <v>6</v>
      </c>
      <c r="AJ207">
        <v>2</v>
      </c>
      <c r="AK207">
        <v>14</v>
      </c>
      <c r="AL207" t="s">
        <v>625</v>
      </c>
      <c r="AM207" t="s">
        <v>1482</v>
      </c>
      <c r="AN207" t="s">
        <v>4351</v>
      </c>
      <c r="AO207" t="s">
        <v>4352</v>
      </c>
      <c r="AP207" t="s">
        <v>4353</v>
      </c>
      <c r="AQ207" t="s">
        <v>74</v>
      </c>
      <c r="AR207" t="s">
        <v>4354</v>
      </c>
      <c r="AS207" t="s">
        <v>4355</v>
      </c>
      <c r="AT207" t="s">
        <v>2859</v>
      </c>
      <c r="AU207">
        <v>2021</v>
      </c>
      <c r="AV207">
        <v>62</v>
      </c>
      <c r="AW207">
        <v>84</v>
      </c>
      <c r="AX207" t="s">
        <v>74</v>
      </c>
      <c r="AY207" t="s">
        <v>74</v>
      </c>
      <c r="AZ207" t="s">
        <v>74</v>
      </c>
      <c r="BA207" t="s">
        <v>74</v>
      </c>
      <c r="BB207">
        <v>109</v>
      </c>
      <c r="BC207">
        <v>117</v>
      </c>
      <c r="BD207" t="s">
        <v>4464</v>
      </c>
      <c r="BE207" t="s">
        <v>4465</v>
      </c>
      <c r="BF207" t="str">
        <f>HYPERLINK("http://dx.doi.org/10.1017/aog.2020.73","http://dx.doi.org/10.1017/aog.2020.73")</f>
        <v>http://dx.doi.org/10.1017/aog.2020.73</v>
      </c>
      <c r="BG207" t="s">
        <v>74</v>
      </c>
      <c r="BH207" t="s">
        <v>74</v>
      </c>
      <c r="BI207">
        <v>9</v>
      </c>
      <c r="BJ207" t="s">
        <v>1685</v>
      </c>
      <c r="BK207" t="s">
        <v>101</v>
      </c>
      <c r="BL207" t="s">
        <v>1686</v>
      </c>
      <c r="BM207" t="s">
        <v>4358</v>
      </c>
      <c r="BN207" t="s">
        <v>74</v>
      </c>
      <c r="BO207" t="s">
        <v>317</v>
      </c>
      <c r="BP207" t="s">
        <v>74</v>
      </c>
      <c r="BQ207" t="s">
        <v>74</v>
      </c>
      <c r="BR207" t="s">
        <v>104</v>
      </c>
      <c r="BS207" t="s">
        <v>4466</v>
      </c>
      <c r="BT207" t="str">
        <f>HYPERLINK("https%3A%2F%2Fwww.webofscience.com%2Fwos%2Fwoscc%2Ffull-record%2FWOS:000658814200012","View Full Record in Web of Science")</f>
        <v>View Full Record in Web of Science</v>
      </c>
    </row>
    <row r="208" spans="1:72" x14ac:dyDescent="0.15">
      <c r="A208" t="s">
        <v>72</v>
      </c>
      <c r="B208" t="s">
        <v>4467</v>
      </c>
      <c r="C208" t="s">
        <v>74</v>
      </c>
      <c r="D208" t="s">
        <v>74</v>
      </c>
      <c r="E208" t="s">
        <v>74</v>
      </c>
      <c r="F208" t="s">
        <v>4468</v>
      </c>
      <c r="G208" t="s">
        <v>74</v>
      </c>
      <c r="H208" t="s">
        <v>74</v>
      </c>
      <c r="I208" t="s">
        <v>4469</v>
      </c>
      <c r="J208" t="s">
        <v>4338</v>
      </c>
      <c r="K208" t="s">
        <v>74</v>
      </c>
      <c r="L208" t="s">
        <v>74</v>
      </c>
      <c r="M208" t="s">
        <v>78</v>
      </c>
      <c r="N208" t="s">
        <v>79</v>
      </c>
      <c r="O208" t="s">
        <v>74</v>
      </c>
      <c r="P208" t="s">
        <v>74</v>
      </c>
      <c r="Q208" t="s">
        <v>74</v>
      </c>
      <c r="R208" t="s">
        <v>74</v>
      </c>
      <c r="S208" t="s">
        <v>74</v>
      </c>
      <c r="T208" t="s">
        <v>4470</v>
      </c>
      <c r="U208" t="s">
        <v>4471</v>
      </c>
      <c r="V208" t="s">
        <v>4472</v>
      </c>
      <c r="W208" t="s">
        <v>4473</v>
      </c>
      <c r="X208" t="s">
        <v>4474</v>
      </c>
      <c r="Y208" t="s">
        <v>4475</v>
      </c>
      <c r="Z208" t="s">
        <v>4476</v>
      </c>
      <c r="AA208" t="s">
        <v>4477</v>
      </c>
      <c r="AB208" t="s">
        <v>4433</v>
      </c>
      <c r="AC208" t="s">
        <v>4478</v>
      </c>
      <c r="AD208" t="s">
        <v>4479</v>
      </c>
      <c r="AE208" t="s">
        <v>4480</v>
      </c>
      <c r="AF208" t="s">
        <v>74</v>
      </c>
      <c r="AG208">
        <v>26</v>
      </c>
      <c r="AH208">
        <v>9</v>
      </c>
      <c r="AI208">
        <v>10</v>
      </c>
      <c r="AJ208">
        <v>5</v>
      </c>
      <c r="AK208">
        <v>23</v>
      </c>
      <c r="AL208" t="s">
        <v>625</v>
      </c>
      <c r="AM208" t="s">
        <v>1482</v>
      </c>
      <c r="AN208" t="s">
        <v>4351</v>
      </c>
      <c r="AO208" t="s">
        <v>4352</v>
      </c>
      <c r="AP208" t="s">
        <v>4353</v>
      </c>
      <c r="AQ208" t="s">
        <v>74</v>
      </c>
      <c r="AR208" t="s">
        <v>4354</v>
      </c>
      <c r="AS208" t="s">
        <v>4355</v>
      </c>
      <c r="AT208" t="s">
        <v>2859</v>
      </c>
      <c r="AU208">
        <v>2021</v>
      </c>
      <c r="AV208">
        <v>62</v>
      </c>
      <c r="AW208">
        <v>84</v>
      </c>
      <c r="AX208" t="s">
        <v>74</v>
      </c>
      <c r="AY208" t="s">
        <v>74</v>
      </c>
      <c r="AZ208" t="s">
        <v>74</v>
      </c>
      <c r="BA208" t="s">
        <v>74</v>
      </c>
      <c r="BB208">
        <v>118</v>
      </c>
      <c r="BC208">
        <v>130</v>
      </c>
      <c r="BD208" t="s">
        <v>4481</v>
      </c>
      <c r="BE208" t="s">
        <v>4482</v>
      </c>
      <c r="BF208" t="str">
        <f>HYPERLINK("http://dx.doi.org/10.1017/aog.2020.80","http://dx.doi.org/10.1017/aog.2020.80")</f>
        <v>http://dx.doi.org/10.1017/aog.2020.80</v>
      </c>
      <c r="BG208" t="s">
        <v>74</v>
      </c>
      <c r="BH208" t="s">
        <v>74</v>
      </c>
      <c r="BI208">
        <v>13</v>
      </c>
      <c r="BJ208" t="s">
        <v>1685</v>
      </c>
      <c r="BK208" t="s">
        <v>101</v>
      </c>
      <c r="BL208" t="s">
        <v>1686</v>
      </c>
      <c r="BM208" t="s">
        <v>4358</v>
      </c>
      <c r="BN208" t="s">
        <v>74</v>
      </c>
      <c r="BO208" t="s">
        <v>298</v>
      </c>
      <c r="BP208" t="s">
        <v>74</v>
      </c>
      <c r="BQ208" t="s">
        <v>74</v>
      </c>
      <c r="BR208" t="s">
        <v>104</v>
      </c>
      <c r="BS208" t="s">
        <v>4483</v>
      </c>
      <c r="BT208" t="str">
        <f>HYPERLINK("https%3A%2F%2Fwww.webofscience.com%2Fwos%2Fwoscc%2Ffull-record%2FWOS:000658814200013","View Full Record in Web of Science")</f>
        <v>View Full Record in Web of Science</v>
      </c>
    </row>
    <row r="209" spans="1:72" x14ac:dyDescent="0.15">
      <c r="A209" t="s">
        <v>72</v>
      </c>
      <c r="B209" t="s">
        <v>4484</v>
      </c>
      <c r="C209" t="s">
        <v>74</v>
      </c>
      <c r="D209" t="s">
        <v>74</v>
      </c>
      <c r="E209" t="s">
        <v>74</v>
      </c>
      <c r="F209" t="s">
        <v>4485</v>
      </c>
      <c r="G209" t="s">
        <v>74</v>
      </c>
      <c r="H209" t="s">
        <v>74</v>
      </c>
      <c r="I209" t="s">
        <v>4486</v>
      </c>
      <c r="J209" t="s">
        <v>4487</v>
      </c>
      <c r="K209" t="s">
        <v>74</v>
      </c>
      <c r="L209" t="s">
        <v>74</v>
      </c>
      <c r="M209" t="s">
        <v>78</v>
      </c>
      <c r="N209" t="s">
        <v>79</v>
      </c>
      <c r="O209" t="s">
        <v>74</v>
      </c>
      <c r="P209" t="s">
        <v>74</v>
      </c>
      <c r="Q209" t="s">
        <v>74</v>
      </c>
      <c r="R209" t="s">
        <v>74</v>
      </c>
      <c r="S209" t="s">
        <v>74</v>
      </c>
      <c r="T209" t="s">
        <v>4488</v>
      </c>
      <c r="U209" t="s">
        <v>4489</v>
      </c>
      <c r="V209" t="s">
        <v>4490</v>
      </c>
      <c r="W209" t="s">
        <v>4491</v>
      </c>
      <c r="X209" t="s">
        <v>4492</v>
      </c>
      <c r="Y209" t="s">
        <v>4493</v>
      </c>
      <c r="Z209" t="s">
        <v>2373</v>
      </c>
      <c r="AA209" t="s">
        <v>2246</v>
      </c>
      <c r="AB209" t="s">
        <v>2375</v>
      </c>
      <c r="AC209" t="s">
        <v>4494</v>
      </c>
      <c r="AD209" t="s">
        <v>4495</v>
      </c>
      <c r="AE209" t="s">
        <v>4496</v>
      </c>
      <c r="AF209" t="s">
        <v>74</v>
      </c>
      <c r="AG209">
        <v>52</v>
      </c>
      <c r="AH209">
        <v>4</v>
      </c>
      <c r="AI209">
        <v>6</v>
      </c>
      <c r="AJ209">
        <v>0</v>
      </c>
      <c r="AK209">
        <v>18</v>
      </c>
      <c r="AL209" t="s">
        <v>4497</v>
      </c>
      <c r="AM209" t="s">
        <v>1409</v>
      </c>
      <c r="AN209" t="s">
        <v>4498</v>
      </c>
      <c r="AO209" t="s">
        <v>4499</v>
      </c>
      <c r="AP209" t="s">
        <v>74</v>
      </c>
      <c r="AQ209" t="s">
        <v>74</v>
      </c>
      <c r="AR209" t="s">
        <v>4500</v>
      </c>
      <c r="AS209" t="s">
        <v>4501</v>
      </c>
      <c r="AT209" t="s">
        <v>2859</v>
      </c>
      <c r="AU209">
        <v>2021</v>
      </c>
      <c r="AV209">
        <v>12</v>
      </c>
      <c r="AW209">
        <v>2</v>
      </c>
      <c r="AX209" t="s">
        <v>74</v>
      </c>
      <c r="AY209" t="s">
        <v>74</v>
      </c>
      <c r="AZ209" t="s">
        <v>74</v>
      </c>
      <c r="BA209" t="s">
        <v>74</v>
      </c>
      <c r="BB209">
        <v>147</v>
      </c>
      <c r="BC209">
        <v>161</v>
      </c>
      <c r="BD209" t="s">
        <v>74</v>
      </c>
      <c r="BE209" t="s">
        <v>4502</v>
      </c>
      <c r="BF209" t="str">
        <f>HYPERLINK("http://dx.doi.org/10.1016/j.accre.2021.03.008","http://dx.doi.org/10.1016/j.accre.2021.03.008")</f>
        <v>http://dx.doi.org/10.1016/j.accre.2021.03.008</v>
      </c>
      <c r="BG209" t="s">
        <v>74</v>
      </c>
      <c r="BH209" t="s">
        <v>74</v>
      </c>
      <c r="BI209">
        <v>15</v>
      </c>
      <c r="BJ209" t="s">
        <v>199</v>
      </c>
      <c r="BK209" t="s">
        <v>101</v>
      </c>
      <c r="BL209" t="s">
        <v>200</v>
      </c>
      <c r="BM209" t="s">
        <v>4503</v>
      </c>
      <c r="BN209" t="s">
        <v>74</v>
      </c>
      <c r="BO209" t="s">
        <v>317</v>
      </c>
      <c r="BP209" t="s">
        <v>74</v>
      </c>
      <c r="BQ209" t="s">
        <v>74</v>
      </c>
      <c r="BR209" t="s">
        <v>104</v>
      </c>
      <c r="BS209" t="s">
        <v>4504</v>
      </c>
      <c r="BT209" t="str">
        <f>HYPERLINK("https%3A%2F%2Fwww.webofscience.com%2Fwos%2Fwoscc%2Ffull-record%2FWOS:000654345800001","View Full Record in Web of Science")</f>
        <v>View Full Record in Web of Science</v>
      </c>
    </row>
    <row r="210" spans="1:72" x14ac:dyDescent="0.15">
      <c r="A210" t="s">
        <v>72</v>
      </c>
      <c r="B210" t="s">
        <v>4505</v>
      </c>
      <c r="C210" t="s">
        <v>74</v>
      </c>
      <c r="D210" t="s">
        <v>74</v>
      </c>
      <c r="E210" t="s">
        <v>74</v>
      </c>
      <c r="F210" t="s">
        <v>4506</v>
      </c>
      <c r="G210" t="s">
        <v>74</v>
      </c>
      <c r="H210" t="s">
        <v>74</v>
      </c>
      <c r="I210" t="s">
        <v>4507</v>
      </c>
      <c r="J210" t="s">
        <v>4508</v>
      </c>
      <c r="K210" t="s">
        <v>74</v>
      </c>
      <c r="L210" t="s">
        <v>74</v>
      </c>
      <c r="M210" t="s">
        <v>78</v>
      </c>
      <c r="N210" t="s">
        <v>79</v>
      </c>
      <c r="O210" t="s">
        <v>74</v>
      </c>
      <c r="P210" t="s">
        <v>74</v>
      </c>
      <c r="Q210" t="s">
        <v>74</v>
      </c>
      <c r="R210" t="s">
        <v>74</v>
      </c>
      <c r="S210" t="s">
        <v>74</v>
      </c>
      <c r="T210" t="s">
        <v>4509</v>
      </c>
      <c r="U210" t="s">
        <v>4510</v>
      </c>
      <c r="V210" t="s">
        <v>4511</v>
      </c>
      <c r="W210" t="s">
        <v>4512</v>
      </c>
      <c r="X210" t="s">
        <v>4513</v>
      </c>
      <c r="Y210" t="s">
        <v>4514</v>
      </c>
      <c r="Z210" t="s">
        <v>4515</v>
      </c>
      <c r="AA210" t="s">
        <v>4516</v>
      </c>
      <c r="AB210" t="s">
        <v>4517</v>
      </c>
      <c r="AC210" t="s">
        <v>4518</v>
      </c>
      <c r="AD210" t="s">
        <v>4518</v>
      </c>
      <c r="AE210" t="s">
        <v>4519</v>
      </c>
      <c r="AF210" t="s">
        <v>74</v>
      </c>
      <c r="AG210">
        <v>19</v>
      </c>
      <c r="AH210">
        <v>2</v>
      </c>
      <c r="AI210">
        <v>2</v>
      </c>
      <c r="AJ210">
        <v>4</v>
      </c>
      <c r="AK210">
        <v>17</v>
      </c>
      <c r="AL210" t="s">
        <v>4520</v>
      </c>
      <c r="AM210" t="s">
        <v>4521</v>
      </c>
      <c r="AN210" t="s">
        <v>4522</v>
      </c>
      <c r="AO210" t="s">
        <v>4523</v>
      </c>
      <c r="AP210" t="s">
        <v>74</v>
      </c>
      <c r="AQ210" t="s">
        <v>74</v>
      </c>
      <c r="AR210" t="s">
        <v>4508</v>
      </c>
      <c r="AS210" t="s">
        <v>4524</v>
      </c>
      <c r="AT210" t="s">
        <v>2859</v>
      </c>
      <c r="AU210">
        <v>2021</v>
      </c>
      <c r="AV210">
        <v>72</v>
      </c>
      <c r="AW210">
        <v>2</v>
      </c>
      <c r="AX210" t="s">
        <v>74</v>
      </c>
      <c r="AY210" t="s">
        <v>74</v>
      </c>
      <c r="AZ210" t="s">
        <v>74</v>
      </c>
      <c r="BA210" t="s">
        <v>74</v>
      </c>
      <c r="BB210">
        <v>457</v>
      </c>
      <c r="BC210">
        <v>462</v>
      </c>
      <c r="BD210" t="s">
        <v>74</v>
      </c>
      <c r="BE210" t="s">
        <v>74</v>
      </c>
      <c r="BF210" t="s">
        <v>74</v>
      </c>
      <c r="BG210" t="s">
        <v>74</v>
      </c>
      <c r="BH210" t="s">
        <v>74</v>
      </c>
      <c r="BI210">
        <v>6</v>
      </c>
      <c r="BJ210" t="s">
        <v>129</v>
      </c>
      <c r="BK210" t="s">
        <v>101</v>
      </c>
      <c r="BL210" t="s">
        <v>129</v>
      </c>
      <c r="BM210" t="s">
        <v>4525</v>
      </c>
      <c r="BN210" t="s">
        <v>74</v>
      </c>
      <c r="BO210" t="s">
        <v>74</v>
      </c>
      <c r="BP210" t="s">
        <v>74</v>
      </c>
      <c r="BQ210" t="s">
        <v>74</v>
      </c>
      <c r="BR210" t="s">
        <v>104</v>
      </c>
      <c r="BS210" t="s">
        <v>4526</v>
      </c>
      <c r="BT210" t="str">
        <f>HYPERLINK("https%3A%2F%2Fwww.webofscience.com%2Fwos%2Fwoscc%2Ffull-record%2FWOS:000654831100016","View Full Record in Web of Science")</f>
        <v>View Full Record in Web of Science</v>
      </c>
    </row>
    <row r="211" spans="1:72" x14ac:dyDescent="0.15">
      <c r="A211" t="s">
        <v>72</v>
      </c>
      <c r="B211" t="s">
        <v>4527</v>
      </c>
      <c r="C211" t="s">
        <v>74</v>
      </c>
      <c r="D211" t="s">
        <v>74</v>
      </c>
      <c r="E211" t="s">
        <v>74</v>
      </c>
      <c r="F211" t="s">
        <v>4528</v>
      </c>
      <c r="G211" t="s">
        <v>74</v>
      </c>
      <c r="H211" t="s">
        <v>74</v>
      </c>
      <c r="I211" t="s">
        <v>4529</v>
      </c>
      <c r="J211" t="s">
        <v>4530</v>
      </c>
      <c r="K211" t="s">
        <v>74</v>
      </c>
      <c r="L211" t="s">
        <v>74</v>
      </c>
      <c r="M211" t="s">
        <v>4531</v>
      </c>
      <c r="N211" t="s">
        <v>79</v>
      </c>
      <c r="O211" t="s">
        <v>74</v>
      </c>
      <c r="P211" t="s">
        <v>74</v>
      </c>
      <c r="Q211" t="s">
        <v>74</v>
      </c>
      <c r="R211" t="s">
        <v>74</v>
      </c>
      <c r="S211" t="s">
        <v>74</v>
      </c>
      <c r="T211" t="s">
        <v>4532</v>
      </c>
      <c r="U211" t="s">
        <v>74</v>
      </c>
      <c r="V211" t="s">
        <v>4533</v>
      </c>
      <c r="W211" t="s">
        <v>4534</v>
      </c>
      <c r="X211" t="s">
        <v>4535</v>
      </c>
      <c r="Y211" t="s">
        <v>4536</v>
      </c>
      <c r="Z211" t="s">
        <v>4537</v>
      </c>
      <c r="AA211" t="s">
        <v>4538</v>
      </c>
      <c r="AB211" t="s">
        <v>74</v>
      </c>
      <c r="AC211" t="s">
        <v>74</v>
      </c>
      <c r="AD211" t="s">
        <v>74</v>
      </c>
      <c r="AE211" t="s">
        <v>74</v>
      </c>
      <c r="AF211" t="s">
        <v>74</v>
      </c>
      <c r="AG211">
        <v>22</v>
      </c>
      <c r="AH211">
        <v>0</v>
      </c>
      <c r="AI211">
        <v>0</v>
      </c>
      <c r="AJ211">
        <v>1</v>
      </c>
      <c r="AK211">
        <v>2</v>
      </c>
      <c r="AL211" t="s">
        <v>4539</v>
      </c>
      <c r="AM211" t="s">
        <v>4540</v>
      </c>
      <c r="AN211" t="s">
        <v>4541</v>
      </c>
      <c r="AO211" t="s">
        <v>4542</v>
      </c>
      <c r="AP211" t="s">
        <v>74</v>
      </c>
      <c r="AQ211" t="s">
        <v>74</v>
      </c>
      <c r="AR211" t="s">
        <v>4543</v>
      </c>
      <c r="AS211" t="s">
        <v>4544</v>
      </c>
      <c r="AT211" t="s">
        <v>4545</v>
      </c>
      <c r="AU211">
        <v>2021</v>
      </c>
      <c r="AV211" t="s">
        <v>74</v>
      </c>
      <c r="AW211">
        <v>35</v>
      </c>
      <c r="AX211" t="s">
        <v>74</v>
      </c>
      <c r="AY211" t="s">
        <v>74</v>
      </c>
      <c r="AZ211" t="s">
        <v>74</v>
      </c>
      <c r="BA211" t="s">
        <v>74</v>
      </c>
      <c r="BB211">
        <v>12</v>
      </c>
      <c r="BC211">
        <v>24</v>
      </c>
      <c r="BD211" t="s">
        <v>74</v>
      </c>
      <c r="BE211" t="s">
        <v>74</v>
      </c>
      <c r="BF211" t="s">
        <v>74</v>
      </c>
      <c r="BG211" t="s">
        <v>74</v>
      </c>
      <c r="BH211" t="s">
        <v>74</v>
      </c>
      <c r="BI211">
        <v>13</v>
      </c>
      <c r="BJ211" t="s">
        <v>4546</v>
      </c>
      <c r="BK211" t="s">
        <v>342</v>
      </c>
      <c r="BL211" t="s">
        <v>4546</v>
      </c>
      <c r="BM211" t="s">
        <v>4547</v>
      </c>
      <c r="BN211" t="s">
        <v>74</v>
      </c>
      <c r="BO211" t="s">
        <v>74</v>
      </c>
      <c r="BP211" t="s">
        <v>74</v>
      </c>
      <c r="BQ211" t="s">
        <v>74</v>
      </c>
      <c r="BR211" t="s">
        <v>104</v>
      </c>
      <c r="BS211" t="s">
        <v>4548</v>
      </c>
      <c r="BT211" t="str">
        <f>HYPERLINK("https%3A%2F%2Fwww.webofscience.com%2Fwos%2Fwoscc%2Ffull-record%2FWOS:000651591000002","View Full Record in Web of Science")</f>
        <v>View Full Record in Web of Science</v>
      </c>
    </row>
    <row r="212" spans="1:72" x14ac:dyDescent="0.15">
      <c r="A212" t="s">
        <v>72</v>
      </c>
      <c r="B212" t="s">
        <v>4549</v>
      </c>
      <c r="C212" t="s">
        <v>74</v>
      </c>
      <c r="D212" t="s">
        <v>74</v>
      </c>
      <c r="E212" t="s">
        <v>74</v>
      </c>
      <c r="F212" t="s">
        <v>4550</v>
      </c>
      <c r="G212" t="s">
        <v>74</v>
      </c>
      <c r="H212" t="s">
        <v>74</v>
      </c>
      <c r="I212" t="s">
        <v>4551</v>
      </c>
      <c r="J212" t="s">
        <v>4552</v>
      </c>
      <c r="K212" t="s">
        <v>74</v>
      </c>
      <c r="L212" t="s">
        <v>74</v>
      </c>
      <c r="M212" t="s">
        <v>78</v>
      </c>
      <c r="N212" t="s">
        <v>79</v>
      </c>
      <c r="O212" t="s">
        <v>74</v>
      </c>
      <c r="P212" t="s">
        <v>74</v>
      </c>
      <c r="Q212" t="s">
        <v>74</v>
      </c>
      <c r="R212" t="s">
        <v>74</v>
      </c>
      <c r="S212" t="s">
        <v>74</v>
      </c>
      <c r="T212" t="s">
        <v>4553</v>
      </c>
      <c r="U212" t="s">
        <v>4554</v>
      </c>
      <c r="V212" t="s">
        <v>4555</v>
      </c>
      <c r="W212" t="s">
        <v>4556</v>
      </c>
      <c r="X212" t="s">
        <v>4557</v>
      </c>
      <c r="Y212" t="s">
        <v>4558</v>
      </c>
      <c r="Z212" t="s">
        <v>4559</v>
      </c>
      <c r="AA212" t="s">
        <v>4560</v>
      </c>
      <c r="AB212" t="s">
        <v>4561</v>
      </c>
      <c r="AC212" t="s">
        <v>4562</v>
      </c>
      <c r="AD212" t="s">
        <v>4563</v>
      </c>
      <c r="AE212" t="s">
        <v>4564</v>
      </c>
      <c r="AF212" t="s">
        <v>74</v>
      </c>
      <c r="AG212">
        <v>132</v>
      </c>
      <c r="AH212">
        <v>104</v>
      </c>
      <c r="AI212">
        <v>110</v>
      </c>
      <c r="AJ212">
        <v>26</v>
      </c>
      <c r="AK212">
        <v>95</v>
      </c>
      <c r="AL212" t="s">
        <v>120</v>
      </c>
      <c r="AM212" t="s">
        <v>121</v>
      </c>
      <c r="AN212" t="s">
        <v>363</v>
      </c>
      <c r="AO212" t="s">
        <v>4565</v>
      </c>
      <c r="AP212" t="s">
        <v>4566</v>
      </c>
      <c r="AQ212" t="s">
        <v>74</v>
      </c>
      <c r="AR212" t="s">
        <v>4567</v>
      </c>
      <c r="AS212" t="s">
        <v>4568</v>
      </c>
      <c r="AT212" t="s">
        <v>2859</v>
      </c>
      <c r="AU212">
        <v>2021</v>
      </c>
      <c r="AV212">
        <v>102</v>
      </c>
      <c r="AW212">
        <v>4</v>
      </c>
      <c r="AX212" t="s">
        <v>74</v>
      </c>
      <c r="AY212" t="s">
        <v>74</v>
      </c>
      <c r="AZ212" t="s">
        <v>74</v>
      </c>
      <c r="BA212" t="s">
        <v>74</v>
      </c>
      <c r="BB212" t="s">
        <v>4569</v>
      </c>
      <c r="BC212" t="s">
        <v>4570</v>
      </c>
      <c r="BD212" t="s">
        <v>74</v>
      </c>
      <c r="BE212" t="s">
        <v>4571</v>
      </c>
      <c r="BF212" t="str">
        <f>HYPERLINK("http://dx.doi.org/10.1175/BAMS-D-20-0132.1","http://dx.doi.org/10.1175/BAMS-D-20-0132.1")</f>
        <v>http://dx.doi.org/10.1175/BAMS-D-20-0132.1</v>
      </c>
      <c r="BG212" t="s">
        <v>74</v>
      </c>
      <c r="BH212" t="s">
        <v>74</v>
      </c>
      <c r="BI212">
        <v>35</v>
      </c>
      <c r="BJ212" t="s">
        <v>129</v>
      </c>
      <c r="BK212" t="s">
        <v>101</v>
      </c>
      <c r="BL212" t="s">
        <v>129</v>
      </c>
      <c r="BM212" t="s">
        <v>4572</v>
      </c>
      <c r="BN212" t="s">
        <v>74</v>
      </c>
      <c r="BO212" t="s">
        <v>4573</v>
      </c>
      <c r="BP212" t="s">
        <v>871</v>
      </c>
      <c r="BQ212" t="s">
        <v>872</v>
      </c>
      <c r="BR212" t="s">
        <v>104</v>
      </c>
      <c r="BS212" t="s">
        <v>4574</v>
      </c>
      <c r="BT212" t="str">
        <f>HYPERLINK("https%3A%2F%2Fwww.webofscience.com%2Fwos%2Fwoscc%2Ffull-record%2FWOS:000651498500015","View Full Record in Web of Science")</f>
        <v>View Full Record in Web of Science</v>
      </c>
    </row>
    <row r="213" spans="1:72" x14ac:dyDescent="0.15">
      <c r="A213" t="s">
        <v>72</v>
      </c>
      <c r="B213" t="s">
        <v>4575</v>
      </c>
      <c r="C213" t="s">
        <v>74</v>
      </c>
      <c r="D213" t="s">
        <v>74</v>
      </c>
      <c r="E213" t="s">
        <v>74</v>
      </c>
      <c r="F213" t="s">
        <v>4576</v>
      </c>
      <c r="G213" t="s">
        <v>74</v>
      </c>
      <c r="H213" t="s">
        <v>74</v>
      </c>
      <c r="I213" t="s">
        <v>4577</v>
      </c>
      <c r="J213" t="s">
        <v>4552</v>
      </c>
      <c r="K213" t="s">
        <v>74</v>
      </c>
      <c r="L213" t="s">
        <v>74</v>
      </c>
      <c r="M213" t="s">
        <v>78</v>
      </c>
      <c r="N213" t="s">
        <v>79</v>
      </c>
      <c r="O213" t="s">
        <v>74</v>
      </c>
      <c r="P213" t="s">
        <v>74</v>
      </c>
      <c r="Q213" t="s">
        <v>74</v>
      </c>
      <c r="R213" t="s">
        <v>74</v>
      </c>
      <c r="S213" t="s">
        <v>74</v>
      </c>
      <c r="T213" t="s">
        <v>4578</v>
      </c>
      <c r="U213" t="s">
        <v>4579</v>
      </c>
      <c r="V213" t="s">
        <v>4580</v>
      </c>
      <c r="W213" t="s">
        <v>4581</v>
      </c>
      <c r="X213" t="s">
        <v>4582</v>
      </c>
      <c r="Y213" t="s">
        <v>4583</v>
      </c>
      <c r="Z213" t="s">
        <v>4584</v>
      </c>
      <c r="AA213" t="s">
        <v>4585</v>
      </c>
      <c r="AB213" t="s">
        <v>4586</v>
      </c>
      <c r="AC213" t="s">
        <v>4587</v>
      </c>
      <c r="AD213" t="s">
        <v>4588</v>
      </c>
      <c r="AE213" t="s">
        <v>4589</v>
      </c>
      <c r="AF213" t="s">
        <v>74</v>
      </c>
      <c r="AG213">
        <v>105</v>
      </c>
      <c r="AH213">
        <v>40</v>
      </c>
      <c r="AI213">
        <v>42</v>
      </c>
      <c r="AJ213">
        <v>0</v>
      </c>
      <c r="AK213">
        <v>7</v>
      </c>
      <c r="AL213" t="s">
        <v>120</v>
      </c>
      <c r="AM213" t="s">
        <v>121</v>
      </c>
      <c r="AN213" t="s">
        <v>363</v>
      </c>
      <c r="AO213" t="s">
        <v>4565</v>
      </c>
      <c r="AP213" t="s">
        <v>4566</v>
      </c>
      <c r="AQ213" t="s">
        <v>74</v>
      </c>
      <c r="AR213" t="s">
        <v>4567</v>
      </c>
      <c r="AS213" t="s">
        <v>4568</v>
      </c>
      <c r="AT213" t="s">
        <v>2859</v>
      </c>
      <c r="AU213">
        <v>2021</v>
      </c>
      <c r="AV213">
        <v>102</v>
      </c>
      <c r="AW213">
        <v>4</v>
      </c>
      <c r="AX213" t="s">
        <v>74</v>
      </c>
      <c r="AY213" t="s">
        <v>74</v>
      </c>
      <c r="AZ213" t="s">
        <v>74</v>
      </c>
      <c r="BA213" t="s">
        <v>74</v>
      </c>
      <c r="BB213" t="s">
        <v>4590</v>
      </c>
      <c r="BC213" t="s">
        <v>4591</v>
      </c>
      <c r="BD213" t="s">
        <v>74</v>
      </c>
      <c r="BE213" t="s">
        <v>4592</v>
      </c>
      <c r="BF213" t="str">
        <f>HYPERLINK("http://dx.doi.org/10.1175/BAMS-D-20-0034.1","http://dx.doi.org/10.1175/BAMS-D-20-0034.1")</f>
        <v>http://dx.doi.org/10.1175/BAMS-D-20-0034.1</v>
      </c>
      <c r="BG213" t="s">
        <v>74</v>
      </c>
      <c r="BH213" t="s">
        <v>74</v>
      </c>
      <c r="BI213">
        <v>23</v>
      </c>
      <c r="BJ213" t="s">
        <v>129</v>
      </c>
      <c r="BK213" t="s">
        <v>101</v>
      </c>
      <c r="BL213" t="s">
        <v>129</v>
      </c>
      <c r="BM213" t="s">
        <v>4572</v>
      </c>
      <c r="BN213" t="s">
        <v>74</v>
      </c>
      <c r="BO213" t="s">
        <v>2543</v>
      </c>
      <c r="BP213" t="s">
        <v>74</v>
      </c>
      <c r="BQ213" t="s">
        <v>74</v>
      </c>
      <c r="BR213" t="s">
        <v>104</v>
      </c>
      <c r="BS213" t="s">
        <v>4593</v>
      </c>
      <c r="BT213" t="str">
        <f>HYPERLINK("https%3A%2F%2Fwww.webofscience.com%2Fwos%2Fwoscc%2Ffull-record%2FWOS:000651498500014","View Full Record in Web of Science")</f>
        <v>View Full Record in Web of Science</v>
      </c>
    </row>
    <row r="214" spans="1:72" x14ac:dyDescent="0.15">
      <c r="A214" t="s">
        <v>72</v>
      </c>
      <c r="B214" t="s">
        <v>4594</v>
      </c>
      <c r="C214" t="s">
        <v>74</v>
      </c>
      <c r="D214" t="s">
        <v>74</v>
      </c>
      <c r="E214" t="s">
        <v>74</v>
      </c>
      <c r="F214" t="s">
        <v>4595</v>
      </c>
      <c r="G214" t="s">
        <v>74</v>
      </c>
      <c r="H214" t="s">
        <v>74</v>
      </c>
      <c r="I214" t="s">
        <v>4596</v>
      </c>
      <c r="J214" t="s">
        <v>4597</v>
      </c>
      <c r="K214" t="s">
        <v>74</v>
      </c>
      <c r="L214" t="s">
        <v>74</v>
      </c>
      <c r="M214" t="s">
        <v>78</v>
      </c>
      <c r="N214" t="s">
        <v>1074</v>
      </c>
      <c r="O214" t="s">
        <v>74</v>
      </c>
      <c r="P214" t="s">
        <v>74</v>
      </c>
      <c r="Q214" t="s">
        <v>74</v>
      </c>
      <c r="R214" t="s">
        <v>74</v>
      </c>
      <c r="S214" t="s">
        <v>74</v>
      </c>
      <c r="T214" t="s">
        <v>4598</v>
      </c>
      <c r="U214" t="s">
        <v>4599</v>
      </c>
      <c r="V214" t="s">
        <v>4600</v>
      </c>
      <c r="W214" t="s">
        <v>4601</v>
      </c>
      <c r="X214" t="s">
        <v>4602</v>
      </c>
      <c r="Y214" t="s">
        <v>4603</v>
      </c>
      <c r="Z214" t="s">
        <v>4604</v>
      </c>
      <c r="AA214" t="s">
        <v>4605</v>
      </c>
      <c r="AB214" t="s">
        <v>4606</v>
      </c>
      <c r="AC214" t="s">
        <v>4607</v>
      </c>
      <c r="AD214" t="s">
        <v>4608</v>
      </c>
      <c r="AE214" t="s">
        <v>4609</v>
      </c>
      <c r="AF214" t="s">
        <v>74</v>
      </c>
      <c r="AG214">
        <v>125</v>
      </c>
      <c r="AH214">
        <v>10</v>
      </c>
      <c r="AI214">
        <v>10</v>
      </c>
      <c r="AJ214">
        <v>3</v>
      </c>
      <c r="AK214">
        <v>25</v>
      </c>
      <c r="AL214" t="s">
        <v>4610</v>
      </c>
      <c r="AM214" t="s">
        <v>1482</v>
      </c>
      <c r="AN214" t="s">
        <v>4611</v>
      </c>
      <c r="AO214" t="s">
        <v>4612</v>
      </c>
      <c r="AP214" t="s">
        <v>4613</v>
      </c>
      <c r="AQ214" t="s">
        <v>74</v>
      </c>
      <c r="AR214" t="s">
        <v>4614</v>
      </c>
      <c r="AS214" t="s">
        <v>4615</v>
      </c>
      <c r="AT214" t="s">
        <v>2859</v>
      </c>
      <c r="AU214">
        <v>2021</v>
      </c>
      <c r="AV214">
        <v>224</v>
      </c>
      <c r="AW214">
        <v>7</v>
      </c>
      <c r="AX214" t="s">
        <v>74</v>
      </c>
      <c r="AY214" t="s">
        <v>74</v>
      </c>
      <c r="AZ214" t="s">
        <v>74</v>
      </c>
      <c r="BA214" t="s">
        <v>74</v>
      </c>
      <c r="BB214" t="s">
        <v>74</v>
      </c>
      <c r="BC214" t="s">
        <v>74</v>
      </c>
      <c r="BD214" t="s">
        <v>4616</v>
      </c>
      <c r="BE214" t="s">
        <v>4617</v>
      </c>
      <c r="BF214" t="str">
        <f>HYPERLINK("http://dx.doi.org/10.1242/jeb.230797","http://dx.doi.org/10.1242/jeb.230797")</f>
        <v>http://dx.doi.org/10.1242/jeb.230797</v>
      </c>
      <c r="BG214" t="s">
        <v>74</v>
      </c>
      <c r="BH214" t="s">
        <v>74</v>
      </c>
      <c r="BI214">
        <v>13</v>
      </c>
      <c r="BJ214" t="s">
        <v>4618</v>
      </c>
      <c r="BK214" t="s">
        <v>101</v>
      </c>
      <c r="BL214" t="s">
        <v>4619</v>
      </c>
      <c r="BM214" t="s">
        <v>4620</v>
      </c>
      <c r="BN214" t="s">
        <v>74</v>
      </c>
      <c r="BO214" t="s">
        <v>927</v>
      </c>
      <c r="BP214" t="s">
        <v>74</v>
      </c>
      <c r="BQ214" t="s">
        <v>74</v>
      </c>
      <c r="BR214" t="s">
        <v>104</v>
      </c>
      <c r="BS214" t="s">
        <v>4621</v>
      </c>
      <c r="BT214" t="str">
        <f>HYPERLINK("https%3A%2F%2Fwww.webofscience.com%2Fwos%2Fwoscc%2Ffull-record%2FWOS:000651503300003","View Full Record in Web of Science")</f>
        <v>View Full Record in Web of Science</v>
      </c>
    </row>
    <row r="215" spans="1:72" x14ac:dyDescent="0.15">
      <c r="A215" t="s">
        <v>72</v>
      </c>
      <c r="B215" t="s">
        <v>4622</v>
      </c>
      <c r="C215" t="s">
        <v>74</v>
      </c>
      <c r="D215" t="s">
        <v>74</v>
      </c>
      <c r="E215" t="s">
        <v>74</v>
      </c>
      <c r="F215" t="s">
        <v>4623</v>
      </c>
      <c r="G215" t="s">
        <v>74</v>
      </c>
      <c r="H215" t="s">
        <v>74</v>
      </c>
      <c r="I215" t="s">
        <v>4624</v>
      </c>
      <c r="J215" t="s">
        <v>4625</v>
      </c>
      <c r="K215" t="s">
        <v>74</v>
      </c>
      <c r="L215" t="s">
        <v>74</v>
      </c>
      <c r="M215" t="s">
        <v>4626</v>
      </c>
      <c r="N215" t="s">
        <v>79</v>
      </c>
      <c r="O215" t="s">
        <v>74</v>
      </c>
      <c r="P215" t="s">
        <v>74</v>
      </c>
      <c r="Q215" t="s">
        <v>74</v>
      </c>
      <c r="R215" t="s">
        <v>74</v>
      </c>
      <c r="S215" t="s">
        <v>74</v>
      </c>
      <c r="T215" t="s">
        <v>4627</v>
      </c>
      <c r="U215" t="s">
        <v>74</v>
      </c>
      <c r="V215" t="s">
        <v>4628</v>
      </c>
      <c r="W215" t="s">
        <v>4629</v>
      </c>
      <c r="X215" t="s">
        <v>4630</v>
      </c>
      <c r="Y215" t="s">
        <v>4631</v>
      </c>
      <c r="Z215" t="s">
        <v>4632</v>
      </c>
      <c r="AA215" t="s">
        <v>74</v>
      </c>
      <c r="AB215" t="s">
        <v>74</v>
      </c>
      <c r="AC215" t="s">
        <v>74</v>
      </c>
      <c r="AD215" t="s">
        <v>74</v>
      </c>
      <c r="AE215" t="s">
        <v>74</v>
      </c>
      <c r="AF215" t="s">
        <v>74</v>
      </c>
      <c r="AG215">
        <v>49</v>
      </c>
      <c r="AH215">
        <v>5</v>
      </c>
      <c r="AI215">
        <v>5</v>
      </c>
      <c r="AJ215">
        <v>0</v>
      </c>
      <c r="AK215">
        <v>10</v>
      </c>
      <c r="AL215" t="s">
        <v>4633</v>
      </c>
      <c r="AM215" t="s">
        <v>4634</v>
      </c>
      <c r="AN215" t="s">
        <v>4635</v>
      </c>
      <c r="AO215" t="s">
        <v>4636</v>
      </c>
      <c r="AP215" t="s">
        <v>4637</v>
      </c>
      <c r="AQ215" t="s">
        <v>74</v>
      </c>
      <c r="AR215" t="s">
        <v>4638</v>
      </c>
      <c r="AS215" t="s">
        <v>4639</v>
      </c>
      <c r="AT215" t="s">
        <v>2859</v>
      </c>
      <c r="AU215">
        <v>2021</v>
      </c>
      <c r="AV215">
        <v>42</v>
      </c>
      <c r="AW215">
        <v>2</v>
      </c>
      <c r="AX215" t="s">
        <v>74</v>
      </c>
      <c r="AY215" t="s">
        <v>74</v>
      </c>
      <c r="AZ215" t="s">
        <v>74</v>
      </c>
      <c r="BA215" t="s">
        <v>74</v>
      </c>
      <c r="BB215">
        <v>201</v>
      </c>
      <c r="BC215">
        <v>220</v>
      </c>
      <c r="BD215" t="s">
        <v>74</v>
      </c>
      <c r="BE215" t="s">
        <v>4640</v>
      </c>
      <c r="BF215" t="str">
        <f>HYPERLINK("http://dx.doi.org/10.5467/JKESS.2021.42.2.201","http://dx.doi.org/10.5467/JKESS.2021.42.2.201")</f>
        <v>http://dx.doi.org/10.5467/JKESS.2021.42.2.201</v>
      </c>
      <c r="BG215" t="s">
        <v>74</v>
      </c>
      <c r="BH215" t="s">
        <v>74</v>
      </c>
      <c r="BI215">
        <v>20</v>
      </c>
      <c r="BJ215" t="s">
        <v>100</v>
      </c>
      <c r="BK215" t="s">
        <v>342</v>
      </c>
      <c r="BL215" t="s">
        <v>102</v>
      </c>
      <c r="BM215" t="s">
        <v>4641</v>
      </c>
      <c r="BN215" t="s">
        <v>74</v>
      </c>
      <c r="BO215" t="s">
        <v>74</v>
      </c>
      <c r="BP215" t="s">
        <v>74</v>
      </c>
      <c r="BQ215" t="s">
        <v>74</v>
      </c>
      <c r="BR215" t="s">
        <v>104</v>
      </c>
      <c r="BS215" t="s">
        <v>4642</v>
      </c>
      <c r="BT215" t="str">
        <f>HYPERLINK("https%3A%2F%2Fwww.webofscience.com%2Fwos%2Fwoscc%2Ffull-record%2FWOS:000652355000007","View Full Record in Web of Science")</f>
        <v>View Full Record in Web of Science</v>
      </c>
    </row>
    <row r="216" spans="1:72" x14ac:dyDescent="0.15">
      <c r="A216" t="s">
        <v>72</v>
      </c>
      <c r="B216" t="s">
        <v>4643</v>
      </c>
      <c r="C216" t="s">
        <v>74</v>
      </c>
      <c r="D216" t="s">
        <v>74</v>
      </c>
      <c r="E216" t="s">
        <v>74</v>
      </c>
      <c r="F216" t="s">
        <v>4644</v>
      </c>
      <c r="G216" t="s">
        <v>74</v>
      </c>
      <c r="H216" t="s">
        <v>74</v>
      </c>
      <c r="I216" t="s">
        <v>4645</v>
      </c>
      <c r="J216" t="s">
        <v>4646</v>
      </c>
      <c r="K216" t="s">
        <v>74</v>
      </c>
      <c r="L216" t="s">
        <v>74</v>
      </c>
      <c r="M216" t="s">
        <v>78</v>
      </c>
      <c r="N216" t="s">
        <v>79</v>
      </c>
      <c r="O216" t="s">
        <v>74</v>
      </c>
      <c r="P216" t="s">
        <v>74</v>
      </c>
      <c r="Q216" t="s">
        <v>74</v>
      </c>
      <c r="R216" t="s">
        <v>74</v>
      </c>
      <c r="S216" t="s">
        <v>74</v>
      </c>
      <c r="T216" t="s">
        <v>4647</v>
      </c>
      <c r="U216" t="s">
        <v>4648</v>
      </c>
      <c r="V216" t="s">
        <v>4649</v>
      </c>
      <c r="W216" t="s">
        <v>4650</v>
      </c>
      <c r="X216" t="s">
        <v>4651</v>
      </c>
      <c r="Y216" t="s">
        <v>4652</v>
      </c>
      <c r="Z216" t="s">
        <v>4653</v>
      </c>
      <c r="AA216" t="s">
        <v>4654</v>
      </c>
      <c r="AB216" t="s">
        <v>4655</v>
      </c>
      <c r="AC216" t="s">
        <v>4656</v>
      </c>
      <c r="AD216" t="s">
        <v>4657</v>
      </c>
      <c r="AE216" t="s">
        <v>4658</v>
      </c>
      <c r="AF216" t="s">
        <v>74</v>
      </c>
      <c r="AG216">
        <v>74</v>
      </c>
      <c r="AH216">
        <v>13</v>
      </c>
      <c r="AI216">
        <v>13</v>
      </c>
      <c r="AJ216">
        <v>1</v>
      </c>
      <c r="AK216">
        <v>21</v>
      </c>
      <c r="AL216" t="s">
        <v>795</v>
      </c>
      <c r="AM216" t="s">
        <v>796</v>
      </c>
      <c r="AN216" t="s">
        <v>797</v>
      </c>
      <c r="AO216" t="s">
        <v>4659</v>
      </c>
      <c r="AP216" t="s">
        <v>74</v>
      </c>
      <c r="AQ216" t="s">
        <v>74</v>
      </c>
      <c r="AR216" t="s">
        <v>4646</v>
      </c>
      <c r="AS216" t="s">
        <v>4660</v>
      </c>
      <c r="AT216" t="s">
        <v>2859</v>
      </c>
      <c r="AU216">
        <v>2021</v>
      </c>
      <c r="AV216">
        <v>12</v>
      </c>
      <c r="AW216">
        <v>4</v>
      </c>
      <c r="AX216" t="s">
        <v>74</v>
      </c>
      <c r="AY216" t="s">
        <v>74</v>
      </c>
      <c r="AZ216" t="s">
        <v>74</v>
      </c>
      <c r="BA216" t="s">
        <v>74</v>
      </c>
      <c r="BB216" t="s">
        <v>74</v>
      </c>
      <c r="BC216" t="s">
        <v>74</v>
      </c>
      <c r="BD216" t="s">
        <v>4661</v>
      </c>
      <c r="BE216" t="s">
        <v>4662</v>
      </c>
      <c r="BF216" t="str">
        <f>HYPERLINK("http://dx.doi.org/10.1002/ecs2.3461","http://dx.doi.org/10.1002/ecs2.3461")</f>
        <v>http://dx.doi.org/10.1002/ecs2.3461</v>
      </c>
      <c r="BG216" t="s">
        <v>74</v>
      </c>
      <c r="BH216" t="s">
        <v>74</v>
      </c>
      <c r="BI216">
        <v>21</v>
      </c>
      <c r="BJ216" t="s">
        <v>4663</v>
      </c>
      <c r="BK216" t="s">
        <v>101</v>
      </c>
      <c r="BL216" t="s">
        <v>225</v>
      </c>
      <c r="BM216" t="s">
        <v>4664</v>
      </c>
      <c r="BN216" t="s">
        <v>74</v>
      </c>
      <c r="BO216" t="s">
        <v>4113</v>
      </c>
      <c r="BP216" t="s">
        <v>74</v>
      </c>
      <c r="BQ216" t="s">
        <v>74</v>
      </c>
      <c r="BR216" t="s">
        <v>104</v>
      </c>
      <c r="BS216" t="s">
        <v>4665</v>
      </c>
      <c r="BT216" t="str">
        <f>HYPERLINK("https%3A%2F%2Fwww.webofscience.com%2Fwos%2Fwoscc%2Ffull-record%2FWOS:000645597500026","View Full Record in Web of Science")</f>
        <v>View Full Record in Web of Science</v>
      </c>
    </row>
    <row r="217" spans="1:72" x14ac:dyDescent="0.15">
      <c r="A217" t="s">
        <v>72</v>
      </c>
      <c r="B217" t="s">
        <v>4666</v>
      </c>
      <c r="C217" t="s">
        <v>74</v>
      </c>
      <c r="D217" t="s">
        <v>74</v>
      </c>
      <c r="E217" t="s">
        <v>74</v>
      </c>
      <c r="F217" t="s">
        <v>4667</v>
      </c>
      <c r="G217" t="s">
        <v>74</v>
      </c>
      <c r="H217" t="s">
        <v>74</v>
      </c>
      <c r="I217" t="s">
        <v>4668</v>
      </c>
      <c r="J217" t="s">
        <v>4669</v>
      </c>
      <c r="K217" t="s">
        <v>74</v>
      </c>
      <c r="L217" t="s">
        <v>74</v>
      </c>
      <c r="M217" t="s">
        <v>78</v>
      </c>
      <c r="N217" t="s">
        <v>79</v>
      </c>
      <c r="O217" t="s">
        <v>74</v>
      </c>
      <c r="P217" t="s">
        <v>74</v>
      </c>
      <c r="Q217" t="s">
        <v>74</v>
      </c>
      <c r="R217" t="s">
        <v>74</v>
      </c>
      <c r="S217" t="s">
        <v>74</v>
      </c>
      <c r="T217" t="s">
        <v>74</v>
      </c>
      <c r="U217" t="s">
        <v>4670</v>
      </c>
      <c r="V217" t="s">
        <v>4671</v>
      </c>
      <c r="W217" t="s">
        <v>4672</v>
      </c>
      <c r="X217" t="s">
        <v>4673</v>
      </c>
      <c r="Y217" t="s">
        <v>4674</v>
      </c>
      <c r="Z217" t="s">
        <v>4675</v>
      </c>
      <c r="AA217" t="s">
        <v>4676</v>
      </c>
      <c r="AB217" t="s">
        <v>4677</v>
      </c>
      <c r="AC217" t="s">
        <v>4678</v>
      </c>
      <c r="AD217" t="s">
        <v>4679</v>
      </c>
      <c r="AE217" t="s">
        <v>4680</v>
      </c>
      <c r="AF217" t="s">
        <v>74</v>
      </c>
      <c r="AG217">
        <v>95</v>
      </c>
      <c r="AH217">
        <v>18</v>
      </c>
      <c r="AI217">
        <v>18</v>
      </c>
      <c r="AJ217">
        <v>2</v>
      </c>
      <c r="AK217">
        <v>13</v>
      </c>
      <c r="AL217" t="s">
        <v>917</v>
      </c>
      <c r="AM217" t="s">
        <v>390</v>
      </c>
      <c r="AN217" t="s">
        <v>918</v>
      </c>
      <c r="AO217" t="s">
        <v>4681</v>
      </c>
      <c r="AP217" t="s">
        <v>4682</v>
      </c>
      <c r="AQ217" t="s">
        <v>74</v>
      </c>
      <c r="AR217" t="s">
        <v>4683</v>
      </c>
      <c r="AS217" t="s">
        <v>4684</v>
      </c>
      <c r="AT217" t="s">
        <v>2859</v>
      </c>
      <c r="AU217">
        <v>2021</v>
      </c>
      <c r="AV217">
        <v>36</v>
      </c>
      <c r="AW217">
        <v>4</v>
      </c>
      <c r="AX217" t="s">
        <v>74</v>
      </c>
      <c r="AY217" t="s">
        <v>74</v>
      </c>
      <c r="AZ217" t="s">
        <v>74</v>
      </c>
      <c r="BA217" t="s">
        <v>74</v>
      </c>
      <c r="BB217" t="s">
        <v>74</v>
      </c>
      <c r="BC217" t="s">
        <v>74</v>
      </c>
      <c r="BD217" t="s">
        <v>4685</v>
      </c>
      <c r="BE217" t="s">
        <v>4686</v>
      </c>
      <c r="BF217" t="str">
        <f>HYPERLINK("http://dx.doi.org/10.1029/2020PA004204","http://dx.doi.org/10.1029/2020PA004204")</f>
        <v>http://dx.doi.org/10.1029/2020PA004204</v>
      </c>
      <c r="BG217" t="s">
        <v>74</v>
      </c>
      <c r="BH217" t="s">
        <v>74</v>
      </c>
      <c r="BI217">
        <v>21</v>
      </c>
      <c r="BJ217" t="s">
        <v>4687</v>
      </c>
      <c r="BK217" t="s">
        <v>101</v>
      </c>
      <c r="BL217" t="s">
        <v>4688</v>
      </c>
      <c r="BM217" t="s">
        <v>4689</v>
      </c>
      <c r="BN217" t="s">
        <v>74</v>
      </c>
      <c r="BO217" t="s">
        <v>148</v>
      </c>
      <c r="BP217" t="s">
        <v>74</v>
      </c>
      <c r="BQ217" t="s">
        <v>74</v>
      </c>
      <c r="BR217" t="s">
        <v>104</v>
      </c>
      <c r="BS217" t="s">
        <v>4690</v>
      </c>
      <c r="BT217" t="str">
        <f>HYPERLINK("https%3A%2F%2Fwww.webofscience.com%2Fwos%2Fwoscc%2Ffull-record%2FWOS:000644566400017","View Full Record in Web of Science")</f>
        <v>View Full Record in Web of Science</v>
      </c>
    </row>
    <row r="218" spans="1:72" x14ac:dyDescent="0.15">
      <c r="A218" t="s">
        <v>72</v>
      </c>
      <c r="B218" t="s">
        <v>4691</v>
      </c>
      <c r="C218" t="s">
        <v>74</v>
      </c>
      <c r="D218" t="s">
        <v>74</v>
      </c>
      <c r="E218" t="s">
        <v>74</v>
      </c>
      <c r="F218" t="s">
        <v>4692</v>
      </c>
      <c r="G218" t="s">
        <v>74</v>
      </c>
      <c r="H218" t="s">
        <v>74</v>
      </c>
      <c r="I218" t="s">
        <v>4693</v>
      </c>
      <c r="J218" t="s">
        <v>1666</v>
      </c>
      <c r="K218" t="s">
        <v>74</v>
      </c>
      <c r="L218" t="s">
        <v>74</v>
      </c>
      <c r="M218" t="s">
        <v>78</v>
      </c>
      <c r="N218" t="s">
        <v>79</v>
      </c>
      <c r="O218" t="s">
        <v>74</v>
      </c>
      <c r="P218" t="s">
        <v>74</v>
      </c>
      <c r="Q218" t="s">
        <v>74</v>
      </c>
      <c r="R218" t="s">
        <v>74</v>
      </c>
      <c r="S218" t="s">
        <v>74</v>
      </c>
      <c r="T218" t="s">
        <v>4694</v>
      </c>
      <c r="U218" t="s">
        <v>4695</v>
      </c>
      <c r="V218" t="s">
        <v>4696</v>
      </c>
      <c r="W218" t="s">
        <v>4697</v>
      </c>
      <c r="X218" t="s">
        <v>4698</v>
      </c>
      <c r="Y218" t="s">
        <v>4699</v>
      </c>
      <c r="Z218" t="s">
        <v>4700</v>
      </c>
      <c r="AA218" t="s">
        <v>4701</v>
      </c>
      <c r="AB218" t="s">
        <v>4702</v>
      </c>
      <c r="AC218" t="s">
        <v>4703</v>
      </c>
      <c r="AD218" t="s">
        <v>4704</v>
      </c>
      <c r="AE218" t="s">
        <v>4705</v>
      </c>
      <c r="AF218" t="s">
        <v>74</v>
      </c>
      <c r="AG218">
        <v>90</v>
      </c>
      <c r="AH218">
        <v>1</v>
      </c>
      <c r="AI218">
        <v>1</v>
      </c>
      <c r="AJ218">
        <v>1</v>
      </c>
      <c r="AK218">
        <v>7</v>
      </c>
      <c r="AL218" t="s">
        <v>1058</v>
      </c>
      <c r="AM218" t="s">
        <v>891</v>
      </c>
      <c r="AN218" t="s">
        <v>1059</v>
      </c>
      <c r="AO218" t="s">
        <v>1679</v>
      </c>
      <c r="AP218" t="s">
        <v>1680</v>
      </c>
      <c r="AQ218" t="s">
        <v>74</v>
      </c>
      <c r="AR218" t="s">
        <v>1681</v>
      </c>
      <c r="AS218" t="s">
        <v>1682</v>
      </c>
      <c r="AT218" t="s">
        <v>4706</v>
      </c>
      <c r="AU218">
        <v>2021</v>
      </c>
      <c r="AV218">
        <v>259</v>
      </c>
      <c r="AW218" t="s">
        <v>74</v>
      </c>
      <c r="AX218" t="s">
        <v>74</v>
      </c>
      <c r="AY218" t="s">
        <v>74</v>
      </c>
      <c r="AZ218" t="s">
        <v>74</v>
      </c>
      <c r="BA218" t="s">
        <v>74</v>
      </c>
      <c r="BB218" t="s">
        <v>74</v>
      </c>
      <c r="BC218" t="s">
        <v>74</v>
      </c>
      <c r="BD218">
        <v>106910</v>
      </c>
      <c r="BE218" t="s">
        <v>4707</v>
      </c>
      <c r="BF218" t="str">
        <f>HYPERLINK("http://dx.doi.org/10.1016/j.quascirev.2021.106910","http://dx.doi.org/10.1016/j.quascirev.2021.106910")</f>
        <v>http://dx.doi.org/10.1016/j.quascirev.2021.106910</v>
      </c>
      <c r="BG218" t="s">
        <v>74</v>
      </c>
      <c r="BH218" t="s">
        <v>514</v>
      </c>
      <c r="BI218">
        <v>13</v>
      </c>
      <c r="BJ218" t="s">
        <v>1685</v>
      </c>
      <c r="BK218" t="s">
        <v>101</v>
      </c>
      <c r="BL218" t="s">
        <v>1686</v>
      </c>
      <c r="BM218" t="s">
        <v>4708</v>
      </c>
      <c r="BN218" t="s">
        <v>74</v>
      </c>
      <c r="BO218" t="s">
        <v>74</v>
      </c>
      <c r="BP218" t="s">
        <v>74</v>
      </c>
      <c r="BQ218" t="s">
        <v>74</v>
      </c>
      <c r="BR218" t="s">
        <v>104</v>
      </c>
      <c r="BS218" t="s">
        <v>4709</v>
      </c>
      <c r="BT218" t="str">
        <f>HYPERLINK("https%3A%2F%2Fwww.webofscience.com%2Fwos%2Fwoscc%2Ffull-record%2FWOS:000647414700005","View Full Record in Web of Science")</f>
        <v>View Full Record in Web of Science</v>
      </c>
    </row>
    <row r="219" spans="1:72" x14ac:dyDescent="0.15">
      <c r="A219" t="s">
        <v>72</v>
      </c>
      <c r="B219" t="s">
        <v>4710</v>
      </c>
      <c r="C219" t="s">
        <v>74</v>
      </c>
      <c r="D219" t="s">
        <v>74</v>
      </c>
      <c r="E219" t="s">
        <v>74</v>
      </c>
      <c r="F219" t="s">
        <v>4711</v>
      </c>
      <c r="G219" t="s">
        <v>74</v>
      </c>
      <c r="H219" t="s">
        <v>74</v>
      </c>
      <c r="I219" t="s">
        <v>4712</v>
      </c>
      <c r="J219" t="s">
        <v>4713</v>
      </c>
      <c r="K219" t="s">
        <v>74</v>
      </c>
      <c r="L219" t="s">
        <v>74</v>
      </c>
      <c r="M219" t="s">
        <v>78</v>
      </c>
      <c r="N219" t="s">
        <v>79</v>
      </c>
      <c r="O219" t="s">
        <v>74</v>
      </c>
      <c r="P219" t="s">
        <v>74</v>
      </c>
      <c r="Q219" t="s">
        <v>74</v>
      </c>
      <c r="R219" t="s">
        <v>74</v>
      </c>
      <c r="S219" t="s">
        <v>74</v>
      </c>
      <c r="T219" t="s">
        <v>4714</v>
      </c>
      <c r="U219" t="s">
        <v>4715</v>
      </c>
      <c r="V219" t="s">
        <v>4716</v>
      </c>
      <c r="W219" t="s">
        <v>4717</v>
      </c>
      <c r="X219" t="s">
        <v>4718</v>
      </c>
      <c r="Y219" t="s">
        <v>4719</v>
      </c>
      <c r="Z219" t="s">
        <v>4720</v>
      </c>
      <c r="AA219" t="s">
        <v>4721</v>
      </c>
      <c r="AB219" t="s">
        <v>74</v>
      </c>
      <c r="AC219" t="s">
        <v>4722</v>
      </c>
      <c r="AD219" t="s">
        <v>4722</v>
      </c>
      <c r="AE219" t="s">
        <v>4723</v>
      </c>
      <c r="AF219" t="s">
        <v>74</v>
      </c>
      <c r="AG219">
        <v>58</v>
      </c>
      <c r="AH219">
        <v>8</v>
      </c>
      <c r="AI219">
        <v>9</v>
      </c>
      <c r="AJ219">
        <v>1</v>
      </c>
      <c r="AK219">
        <v>5</v>
      </c>
      <c r="AL219" t="s">
        <v>4724</v>
      </c>
      <c r="AM219" t="s">
        <v>4725</v>
      </c>
      <c r="AN219" t="s">
        <v>4726</v>
      </c>
      <c r="AO219" t="s">
        <v>4727</v>
      </c>
      <c r="AP219" t="s">
        <v>4728</v>
      </c>
      <c r="AQ219" t="s">
        <v>74</v>
      </c>
      <c r="AR219" t="s">
        <v>4729</v>
      </c>
      <c r="AS219" t="s">
        <v>4730</v>
      </c>
      <c r="AT219" t="s">
        <v>2859</v>
      </c>
      <c r="AU219">
        <v>2021</v>
      </c>
      <c r="AV219">
        <v>106</v>
      </c>
      <c r="AW219">
        <v>4</v>
      </c>
      <c r="AX219" t="s">
        <v>74</v>
      </c>
      <c r="AY219" t="s">
        <v>74</v>
      </c>
      <c r="AZ219" t="s">
        <v>74</v>
      </c>
      <c r="BA219" t="s">
        <v>74</v>
      </c>
      <c r="BB219">
        <v>506</v>
      </c>
      <c r="BC219">
        <v>517</v>
      </c>
      <c r="BD219" t="s">
        <v>74</v>
      </c>
      <c r="BE219" t="s">
        <v>4731</v>
      </c>
      <c r="BF219" t="str">
        <f>HYPERLINK("http://dx.doi.org/10.2138/am-2021-7507","http://dx.doi.org/10.2138/am-2021-7507")</f>
        <v>http://dx.doi.org/10.2138/am-2021-7507</v>
      </c>
      <c r="BG219" t="s">
        <v>74</v>
      </c>
      <c r="BH219" t="s">
        <v>74</v>
      </c>
      <c r="BI219">
        <v>12</v>
      </c>
      <c r="BJ219" t="s">
        <v>4732</v>
      </c>
      <c r="BK219" t="s">
        <v>101</v>
      </c>
      <c r="BL219" t="s">
        <v>4732</v>
      </c>
      <c r="BM219" t="s">
        <v>4733</v>
      </c>
      <c r="BN219" t="s">
        <v>74</v>
      </c>
      <c r="BO219" t="s">
        <v>74</v>
      </c>
      <c r="BP219" t="s">
        <v>74</v>
      </c>
      <c r="BQ219" t="s">
        <v>74</v>
      </c>
      <c r="BR219" t="s">
        <v>104</v>
      </c>
      <c r="BS219" t="s">
        <v>4734</v>
      </c>
      <c r="BT219" t="str">
        <f>HYPERLINK("https%3A%2F%2Fwww.webofscience.com%2Fwos%2Fwoscc%2Ffull-record%2FWOS:000646025000002","View Full Record in Web of Science")</f>
        <v>View Full Record in Web of Science</v>
      </c>
    </row>
    <row r="220" spans="1:72" x14ac:dyDescent="0.15">
      <c r="A220" t="s">
        <v>72</v>
      </c>
      <c r="B220" t="s">
        <v>4735</v>
      </c>
      <c r="C220" t="s">
        <v>74</v>
      </c>
      <c r="D220" t="s">
        <v>74</v>
      </c>
      <c r="E220" t="s">
        <v>74</v>
      </c>
      <c r="F220" t="s">
        <v>4736</v>
      </c>
      <c r="G220" t="s">
        <v>74</v>
      </c>
      <c r="H220" t="s">
        <v>74</v>
      </c>
      <c r="I220" t="s">
        <v>4737</v>
      </c>
      <c r="J220" t="s">
        <v>4738</v>
      </c>
      <c r="K220" t="s">
        <v>74</v>
      </c>
      <c r="L220" t="s">
        <v>74</v>
      </c>
      <c r="M220" t="s">
        <v>78</v>
      </c>
      <c r="N220" t="s">
        <v>79</v>
      </c>
      <c r="O220" t="s">
        <v>74</v>
      </c>
      <c r="P220" t="s">
        <v>74</v>
      </c>
      <c r="Q220" t="s">
        <v>74</v>
      </c>
      <c r="R220" t="s">
        <v>74</v>
      </c>
      <c r="S220" t="s">
        <v>74</v>
      </c>
      <c r="T220" t="s">
        <v>74</v>
      </c>
      <c r="U220" t="s">
        <v>4739</v>
      </c>
      <c r="V220" t="s">
        <v>4740</v>
      </c>
      <c r="W220" t="s">
        <v>4741</v>
      </c>
      <c r="X220" t="s">
        <v>4742</v>
      </c>
      <c r="Y220" t="s">
        <v>4743</v>
      </c>
      <c r="Z220" t="s">
        <v>4744</v>
      </c>
      <c r="AA220" t="s">
        <v>4745</v>
      </c>
      <c r="AB220" t="s">
        <v>4746</v>
      </c>
      <c r="AC220" t="s">
        <v>4747</v>
      </c>
      <c r="AD220" t="s">
        <v>4748</v>
      </c>
      <c r="AE220" t="s">
        <v>4749</v>
      </c>
      <c r="AF220" t="s">
        <v>74</v>
      </c>
      <c r="AG220">
        <v>51</v>
      </c>
      <c r="AH220">
        <v>15</v>
      </c>
      <c r="AI220">
        <v>15</v>
      </c>
      <c r="AJ220">
        <v>1</v>
      </c>
      <c r="AK220">
        <v>7</v>
      </c>
      <c r="AL220" t="s">
        <v>917</v>
      </c>
      <c r="AM220" t="s">
        <v>390</v>
      </c>
      <c r="AN220" t="s">
        <v>918</v>
      </c>
      <c r="AO220" t="s">
        <v>74</v>
      </c>
      <c r="AP220" t="s">
        <v>4750</v>
      </c>
      <c r="AQ220" t="s">
        <v>74</v>
      </c>
      <c r="AR220" t="s">
        <v>4751</v>
      </c>
      <c r="AS220" t="s">
        <v>4752</v>
      </c>
      <c r="AT220" t="s">
        <v>2859</v>
      </c>
      <c r="AU220">
        <v>2021</v>
      </c>
      <c r="AV220">
        <v>22</v>
      </c>
      <c r="AW220">
        <v>4</v>
      </c>
      <c r="AX220" t="s">
        <v>74</v>
      </c>
      <c r="AY220" t="s">
        <v>74</v>
      </c>
      <c r="AZ220" t="s">
        <v>74</v>
      </c>
      <c r="BA220" t="s">
        <v>74</v>
      </c>
      <c r="BB220" t="s">
        <v>74</v>
      </c>
      <c r="BC220" t="s">
        <v>74</v>
      </c>
      <c r="BD220" t="s">
        <v>4753</v>
      </c>
      <c r="BE220" t="s">
        <v>4754</v>
      </c>
      <c r="BF220" t="str">
        <f>HYPERLINK("http://dx.doi.org/10.1029/2021GC009681","http://dx.doi.org/10.1029/2021GC009681")</f>
        <v>http://dx.doi.org/10.1029/2021GC009681</v>
      </c>
      <c r="BG220" t="s">
        <v>74</v>
      </c>
      <c r="BH220" t="s">
        <v>74</v>
      </c>
      <c r="BI220">
        <v>12</v>
      </c>
      <c r="BJ220" t="s">
        <v>1066</v>
      </c>
      <c r="BK220" t="s">
        <v>101</v>
      </c>
      <c r="BL220" t="s">
        <v>1066</v>
      </c>
      <c r="BM220" t="s">
        <v>4755</v>
      </c>
      <c r="BN220" t="s">
        <v>74</v>
      </c>
      <c r="BO220" t="s">
        <v>1492</v>
      </c>
      <c r="BP220" t="s">
        <v>74</v>
      </c>
      <c r="BQ220" t="s">
        <v>74</v>
      </c>
      <c r="BR220" t="s">
        <v>104</v>
      </c>
      <c r="BS220" t="s">
        <v>4756</v>
      </c>
      <c r="BT220" t="str">
        <f>HYPERLINK("https%3A%2F%2Fwww.webofscience.com%2Fwos%2Fwoscc%2Ffull-record%2FWOS:000643942600028","View Full Record in Web of Science")</f>
        <v>View Full Record in Web of Science</v>
      </c>
    </row>
    <row r="221" spans="1:72" x14ac:dyDescent="0.15">
      <c r="A221" t="s">
        <v>72</v>
      </c>
      <c r="B221" t="s">
        <v>4757</v>
      </c>
      <c r="C221" t="s">
        <v>74</v>
      </c>
      <c r="D221" t="s">
        <v>74</v>
      </c>
      <c r="E221" t="s">
        <v>74</v>
      </c>
      <c r="F221" t="s">
        <v>4758</v>
      </c>
      <c r="G221" t="s">
        <v>74</v>
      </c>
      <c r="H221" t="s">
        <v>74</v>
      </c>
      <c r="I221" t="s">
        <v>4759</v>
      </c>
      <c r="J221" t="s">
        <v>4760</v>
      </c>
      <c r="K221" t="s">
        <v>74</v>
      </c>
      <c r="L221" t="s">
        <v>74</v>
      </c>
      <c r="M221" t="s">
        <v>78</v>
      </c>
      <c r="N221" t="s">
        <v>79</v>
      </c>
      <c r="O221" t="s">
        <v>74</v>
      </c>
      <c r="P221" t="s">
        <v>74</v>
      </c>
      <c r="Q221" t="s">
        <v>74</v>
      </c>
      <c r="R221" t="s">
        <v>74</v>
      </c>
      <c r="S221" t="s">
        <v>74</v>
      </c>
      <c r="T221" t="s">
        <v>4761</v>
      </c>
      <c r="U221" t="s">
        <v>4762</v>
      </c>
      <c r="V221" t="s">
        <v>4763</v>
      </c>
      <c r="W221" t="s">
        <v>4764</v>
      </c>
      <c r="X221" t="s">
        <v>4765</v>
      </c>
      <c r="Y221" t="s">
        <v>4766</v>
      </c>
      <c r="Z221" t="s">
        <v>4767</v>
      </c>
      <c r="AA221" t="s">
        <v>74</v>
      </c>
      <c r="AB221" t="s">
        <v>74</v>
      </c>
      <c r="AC221" t="s">
        <v>4768</v>
      </c>
      <c r="AD221" t="s">
        <v>4769</v>
      </c>
      <c r="AE221" t="s">
        <v>4770</v>
      </c>
      <c r="AF221" t="s">
        <v>74</v>
      </c>
      <c r="AG221">
        <v>27</v>
      </c>
      <c r="AH221">
        <v>10</v>
      </c>
      <c r="AI221">
        <v>11</v>
      </c>
      <c r="AJ221">
        <v>0</v>
      </c>
      <c r="AK221">
        <v>8</v>
      </c>
      <c r="AL221" t="s">
        <v>120</v>
      </c>
      <c r="AM221" t="s">
        <v>121</v>
      </c>
      <c r="AN221" t="s">
        <v>122</v>
      </c>
      <c r="AO221" t="s">
        <v>4771</v>
      </c>
      <c r="AP221" t="s">
        <v>4772</v>
      </c>
      <c r="AQ221" t="s">
        <v>74</v>
      </c>
      <c r="AR221" t="s">
        <v>4773</v>
      </c>
      <c r="AS221" t="s">
        <v>4774</v>
      </c>
      <c r="AT221" t="s">
        <v>2859</v>
      </c>
      <c r="AU221">
        <v>2021</v>
      </c>
      <c r="AV221">
        <v>38</v>
      </c>
      <c r="AW221">
        <v>4</v>
      </c>
      <c r="AX221" t="s">
        <v>74</v>
      </c>
      <c r="AY221" t="s">
        <v>74</v>
      </c>
      <c r="AZ221" t="s">
        <v>74</v>
      </c>
      <c r="BA221" t="s">
        <v>74</v>
      </c>
      <c r="BB221">
        <v>837</v>
      </c>
      <c r="BC221">
        <v>841</v>
      </c>
      <c r="BD221" t="s">
        <v>74</v>
      </c>
      <c r="BE221" t="s">
        <v>4775</v>
      </c>
      <c r="BF221" t="str">
        <f>HYPERLINK("http://dx.doi.org/10.1175/JTECH-D-20-0175.1","http://dx.doi.org/10.1175/JTECH-D-20-0175.1")</f>
        <v>http://dx.doi.org/10.1175/JTECH-D-20-0175.1</v>
      </c>
      <c r="BG221" t="s">
        <v>74</v>
      </c>
      <c r="BH221" t="s">
        <v>74</v>
      </c>
      <c r="BI221">
        <v>5</v>
      </c>
      <c r="BJ221" t="s">
        <v>4776</v>
      </c>
      <c r="BK221" t="s">
        <v>101</v>
      </c>
      <c r="BL221" t="s">
        <v>4777</v>
      </c>
      <c r="BM221" t="s">
        <v>4778</v>
      </c>
      <c r="BN221" t="s">
        <v>74</v>
      </c>
      <c r="BO221" t="s">
        <v>148</v>
      </c>
      <c r="BP221" t="s">
        <v>74</v>
      </c>
      <c r="BQ221" t="s">
        <v>74</v>
      </c>
      <c r="BR221" t="s">
        <v>104</v>
      </c>
      <c r="BS221" t="s">
        <v>4779</v>
      </c>
      <c r="BT221" t="str">
        <f>HYPERLINK("https%3A%2F%2Fwww.webofscience.com%2Fwos%2Fwoscc%2Ffull-record%2FWOS:000644157500010","View Full Record in Web of Science")</f>
        <v>View Full Record in Web of Science</v>
      </c>
    </row>
    <row r="222" spans="1:72" x14ac:dyDescent="0.15">
      <c r="A222" t="s">
        <v>72</v>
      </c>
      <c r="B222" t="s">
        <v>4780</v>
      </c>
      <c r="C222" t="s">
        <v>74</v>
      </c>
      <c r="D222" t="s">
        <v>74</v>
      </c>
      <c r="E222" t="s">
        <v>74</v>
      </c>
      <c r="F222" t="s">
        <v>4781</v>
      </c>
      <c r="G222" t="s">
        <v>74</v>
      </c>
      <c r="H222" t="s">
        <v>74</v>
      </c>
      <c r="I222" t="s">
        <v>4782</v>
      </c>
      <c r="J222" t="s">
        <v>4783</v>
      </c>
      <c r="K222" t="s">
        <v>74</v>
      </c>
      <c r="L222" t="s">
        <v>74</v>
      </c>
      <c r="M222" t="s">
        <v>78</v>
      </c>
      <c r="N222" t="s">
        <v>79</v>
      </c>
      <c r="O222" t="s">
        <v>74</v>
      </c>
      <c r="P222" t="s">
        <v>74</v>
      </c>
      <c r="Q222" t="s">
        <v>74</v>
      </c>
      <c r="R222" t="s">
        <v>74</v>
      </c>
      <c r="S222" t="s">
        <v>74</v>
      </c>
      <c r="T222" t="s">
        <v>4784</v>
      </c>
      <c r="U222" t="s">
        <v>4785</v>
      </c>
      <c r="V222" t="s">
        <v>4786</v>
      </c>
      <c r="W222" t="s">
        <v>4787</v>
      </c>
      <c r="X222" t="s">
        <v>4788</v>
      </c>
      <c r="Y222" t="s">
        <v>4789</v>
      </c>
      <c r="Z222" t="s">
        <v>4790</v>
      </c>
      <c r="AA222" t="s">
        <v>4791</v>
      </c>
      <c r="AB222" t="s">
        <v>4792</v>
      </c>
      <c r="AC222" t="s">
        <v>4793</v>
      </c>
      <c r="AD222" t="s">
        <v>4794</v>
      </c>
      <c r="AE222" t="s">
        <v>4795</v>
      </c>
      <c r="AF222" t="s">
        <v>74</v>
      </c>
      <c r="AG222">
        <v>112</v>
      </c>
      <c r="AH222">
        <v>13</v>
      </c>
      <c r="AI222">
        <v>13</v>
      </c>
      <c r="AJ222">
        <v>2</v>
      </c>
      <c r="AK222">
        <v>8</v>
      </c>
      <c r="AL222" t="s">
        <v>917</v>
      </c>
      <c r="AM222" t="s">
        <v>390</v>
      </c>
      <c r="AN222" t="s">
        <v>918</v>
      </c>
      <c r="AO222" t="s">
        <v>4796</v>
      </c>
      <c r="AP222" t="s">
        <v>4797</v>
      </c>
      <c r="AQ222" t="s">
        <v>74</v>
      </c>
      <c r="AR222" t="s">
        <v>4798</v>
      </c>
      <c r="AS222" t="s">
        <v>4799</v>
      </c>
      <c r="AT222" t="s">
        <v>2859</v>
      </c>
      <c r="AU222">
        <v>2021</v>
      </c>
      <c r="AV222">
        <v>126</v>
      </c>
      <c r="AW222">
        <v>4</v>
      </c>
      <c r="AX222" t="s">
        <v>74</v>
      </c>
      <c r="AY222" t="s">
        <v>74</v>
      </c>
      <c r="AZ222" t="s">
        <v>74</v>
      </c>
      <c r="BA222" t="s">
        <v>74</v>
      </c>
      <c r="BB222" t="s">
        <v>74</v>
      </c>
      <c r="BC222" t="s">
        <v>74</v>
      </c>
      <c r="BD222" t="s">
        <v>4800</v>
      </c>
      <c r="BE222" t="s">
        <v>4801</v>
      </c>
      <c r="BF222" t="str">
        <f>HYPERLINK("http://dx.doi.org/10.1029/2020JF005927","http://dx.doi.org/10.1029/2020JF005927")</f>
        <v>http://dx.doi.org/10.1029/2020JF005927</v>
      </c>
      <c r="BG222" t="s">
        <v>74</v>
      </c>
      <c r="BH222" t="s">
        <v>74</v>
      </c>
      <c r="BI222">
        <v>20</v>
      </c>
      <c r="BJ222" t="s">
        <v>100</v>
      </c>
      <c r="BK222" t="s">
        <v>101</v>
      </c>
      <c r="BL222" t="s">
        <v>102</v>
      </c>
      <c r="BM222" t="s">
        <v>4802</v>
      </c>
      <c r="BN222" t="s">
        <v>74</v>
      </c>
      <c r="BO222" t="s">
        <v>1068</v>
      </c>
      <c r="BP222" t="s">
        <v>74</v>
      </c>
      <c r="BQ222" t="s">
        <v>74</v>
      </c>
      <c r="BR222" t="s">
        <v>104</v>
      </c>
      <c r="BS222" t="s">
        <v>4803</v>
      </c>
      <c r="BT222" t="str">
        <f>HYPERLINK("https%3A%2F%2Fwww.webofscience.com%2Fwos%2Fwoscc%2Ffull-record%2FWOS:000645002100014","View Full Record in Web of Science")</f>
        <v>View Full Record in Web of Science</v>
      </c>
    </row>
    <row r="223" spans="1:72" x14ac:dyDescent="0.15">
      <c r="A223" t="s">
        <v>72</v>
      </c>
      <c r="B223" t="s">
        <v>4804</v>
      </c>
      <c r="C223" t="s">
        <v>74</v>
      </c>
      <c r="D223" t="s">
        <v>74</v>
      </c>
      <c r="E223" t="s">
        <v>74</v>
      </c>
      <c r="F223" t="s">
        <v>4805</v>
      </c>
      <c r="G223" t="s">
        <v>74</v>
      </c>
      <c r="H223" t="s">
        <v>74</v>
      </c>
      <c r="I223" t="s">
        <v>4806</v>
      </c>
      <c r="J223" t="s">
        <v>4783</v>
      </c>
      <c r="K223" t="s">
        <v>74</v>
      </c>
      <c r="L223" t="s">
        <v>74</v>
      </c>
      <c r="M223" t="s">
        <v>78</v>
      </c>
      <c r="N223" t="s">
        <v>79</v>
      </c>
      <c r="O223" t="s">
        <v>74</v>
      </c>
      <c r="P223" t="s">
        <v>74</v>
      </c>
      <c r="Q223" t="s">
        <v>74</v>
      </c>
      <c r="R223" t="s">
        <v>74</v>
      </c>
      <c r="S223" t="s">
        <v>74</v>
      </c>
      <c r="T223" t="s">
        <v>4807</v>
      </c>
      <c r="U223" t="s">
        <v>4808</v>
      </c>
      <c r="V223" t="s">
        <v>4809</v>
      </c>
      <c r="W223" t="s">
        <v>4810</v>
      </c>
      <c r="X223" t="s">
        <v>4811</v>
      </c>
      <c r="Y223" t="s">
        <v>4812</v>
      </c>
      <c r="Z223" t="s">
        <v>4813</v>
      </c>
      <c r="AA223" t="s">
        <v>4814</v>
      </c>
      <c r="AB223" t="s">
        <v>4815</v>
      </c>
      <c r="AC223" t="s">
        <v>4816</v>
      </c>
      <c r="AD223" t="s">
        <v>4817</v>
      </c>
      <c r="AE223" t="s">
        <v>4818</v>
      </c>
      <c r="AF223" t="s">
        <v>74</v>
      </c>
      <c r="AG223">
        <v>134</v>
      </c>
      <c r="AH223">
        <v>16</v>
      </c>
      <c r="AI223">
        <v>17</v>
      </c>
      <c r="AJ223">
        <v>0</v>
      </c>
      <c r="AK223">
        <v>4</v>
      </c>
      <c r="AL223" t="s">
        <v>917</v>
      </c>
      <c r="AM223" t="s">
        <v>390</v>
      </c>
      <c r="AN223" t="s">
        <v>918</v>
      </c>
      <c r="AO223" t="s">
        <v>4796</v>
      </c>
      <c r="AP223" t="s">
        <v>4797</v>
      </c>
      <c r="AQ223" t="s">
        <v>74</v>
      </c>
      <c r="AR223" t="s">
        <v>4798</v>
      </c>
      <c r="AS223" t="s">
        <v>4799</v>
      </c>
      <c r="AT223" t="s">
        <v>2859</v>
      </c>
      <c r="AU223">
        <v>2021</v>
      </c>
      <c r="AV223">
        <v>126</v>
      </c>
      <c r="AW223">
        <v>4</v>
      </c>
      <c r="AX223" t="s">
        <v>74</v>
      </c>
      <c r="AY223" t="s">
        <v>74</v>
      </c>
      <c r="AZ223" t="s">
        <v>74</v>
      </c>
      <c r="BA223" t="s">
        <v>74</v>
      </c>
      <c r="BB223" t="s">
        <v>74</v>
      </c>
      <c r="BC223" t="s">
        <v>74</v>
      </c>
      <c r="BD223" t="s">
        <v>4819</v>
      </c>
      <c r="BE223" t="s">
        <v>4820</v>
      </c>
      <c r="BF223" t="str">
        <f>HYPERLINK("http://dx.doi.org/10.1029/2020JF006030","http://dx.doi.org/10.1029/2020JF006030")</f>
        <v>http://dx.doi.org/10.1029/2020JF006030</v>
      </c>
      <c r="BG223" t="s">
        <v>74</v>
      </c>
      <c r="BH223" t="s">
        <v>74</v>
      </c>
      <c r="BI223">
        <v>29</v>
      </c>
      <c r="BJ223" t="s">
        <v>100</v>
      </c>
      <c r="BK223" t="s">
        <v>101</v>
      </c>
      <c r="BL223" t="s">
        <v>102</v>
      </c>
      <c r="BM223" t="s">
        <v>4802</v>
      </c>
      <c r="BN223" t="s">
        <v>74</v>
      </c>
      <c r="BO223" t="s">
        <v>496</v>
      </c>
      <c r="BP223" t="s">
        <v>74</v>
      </c>
      <c r="BQ223" t="s">
        <v>74</v>
      </c>
      <c r="BR223" t="s">
        <v>104</v>
      </c>
      <c r="BS223" t="s">
        <v>4821</v>
      </c>
      <c r="BT223" t="str">
        <f>HYPERLINK("https%3A%2F%2Fwww.webofscience.com%2Fwos%2Fwoscc%2Ffull-record%2FWOS:000645002100012","View Full Record in Web of Science")</f>
        <v>View Full Record in Web of Science</v>
      </c>
    </row>
    <row r="224" spans="1:72" x14ac:dyDescent="0.15">
      <c r="A224" t="s">
        <v>72</v>
      </c>
      <c r="B224" t="s">
        <v>4822</v>
      </c>
      <c r="C224" t="s">
        <v>74</v>
      </c>
      <c r="D224" t="s">
        <v>74</v>
      </c>
      <c r="E224" t="s">
        <v>74</v>
      </c>
      <c r="F224" t="s">
        <v>4823</v>
      </c>
      <c r="G224" t="s">
        <v>74</v>
      </c>
      <c r="H224" t="s">
        <v>74</v>
      </c>
      <c r="I224" t="s">
        <v>4824</v>
      </c>
      <c r="J224" t="s">
        <v>4825</v>
      </c>
      <c r="K224" t="s">
        <v>74</v>
      </c>
      <c r="L224" t="s">
        <v>74</v>
      </c>
      <c r="M224" t="s">
        <v>78</v>
      </c>
      <c r="N224" t="s">
        <v>79</v>
      </c>
      <c r="O224" t="s">
        <v>74</v>
      </c>
      <c r="P224" t="s">
        <v>74</v>
      </c>
      <c r="Q224" t="s">
        <v>74</v>
      </c>
      <c r="R224" t="s">
        <v>74</v>
      </c>
      <c r="S224" t="s">
        <v>74</v>
      </c>
      <c r="T224" t="s">
        <v>4826</v>
      </c>
      <c r="U224" t="s">
        <v>4827</v>
      </c>
      <c r="V224" t="s">
        <v>4828</v>
      </c>
      <c r="W224" t="s">
        <v>4829</v>
      </c>
      <c r="X224" t="s">
        <v>4830</v>
      </c>
      <c r="Y224" t="s">
        <v>4831</v>
      </c>
      <c r="Z224" t="s">
        <v>4832</v>
      </c>
      <c r="AA224" t="s">
        <v>4833</v>
      </c>
      <c r="AB224" t="s">
        <v>4834</v>
      </c>
      <c r="AC224" t="s">
        <v>4835</v>
      </c>
      <c r="AD224" t="s">
        <v>4836</v>
      </c>
      <c r="AE224" t="s">
        <v>4837</v>
      </c>
      <c r="AF224" t="s">
        <v>74</v>
      </c>
      <c r="AG224">
        <v>114</v>
      </c>
      <c r="AH224">
        <v>28</v>
      </c>
      <c r="AI224">
        <v>29</v>
      </c>
      <c r="AJ224">
        <v>1</v>
      </c>
      <c r="AK224">
        <v>7</v>
      </c>
      <c r="AL224" t="s">
        <v>917</v>
      </c>
      <c r="AM224" t="s">
        <v>390</v>
      </c>
      <c r="AN224" t="s">
        <v>918</v>
      </c>
      <c r="AO224" t="s">
        <v>4838</v>
      </c>
      <c r="AP224" t="s">
        <v>4839</v>
      </c>
      <c r="AQ224" t="s">
        <v>74</v>
      </c>
      <c r="AR224" t="s">
        <v>4840</v>
      </c>
      <c r="AS224" t="s">
        <v>4841</v>
      </c>
      <c r="AT224" t="s">
        <v>2859</v>
      </c>
      <c r="AU224">
        <v>2021</v>
      </c>
      <c r="AV224">
        <v>126</v>
      </c>
      <c r="AW224">
        <v>4</v>
      </c>
      <c r="AX224" t="s">
        <v>74</v>
      </c>
      <c r="AY224" t="s">
        <v>74</v>
      </c>
      <c r="AZ224" t="s">
        <v>74</v>
      </c>
      <c r="BA224" t="s">
        <v>74</v>
      </c>
      <c r="BB224" t="s">
        <v>74</v>
      </c>
      <c r="BC224" t="s">
        <v>74</v>
      </c>
      <c r="BD224" t="s">
        <v>4842</v>
      </c>
      <c r="BE224" t="s">
        <v>4843</v>
      </c>
      <c r="BF224" t="str">
        <f>HYPERLINK("http://dx.doi.org/10.1029/2020JA029024","http://dx.doi.org/10.1029/2020JA029024")</f>
        <v>http://dx.doi.org/10.1029/2020JA029024</v>
      </c>
      <c r="BG224" t="s">
        <v>74</v>
      </c>
      <c r="BH224" t="s">
        <v>74</v>
      </c>
      <c r="BI224">
        <v>20</v>
      </c>
      <c r="BJ224" t="s">
        <v>4844</v>
      </c>
      <c r="BK224" t="s">
        <v>101</v>
      </c>
      <c r="BL224" t="s">
        <v>4844</v>
      </c>
      <c r="BM224" t="s">
        <v>4845</v>
      </c>
      <c r="BN224" t="s">
        <v>74</v>
      </c>
      <c r="BO224" t="s">
        <v>1068</v>
      </c>
      <c r="BP224" t="s">
        <v>74</v>
      </c>
      <c r="BQ224" t="s">
        <v>74</v>
      </c>
      <c r="BR224" t="s">
        <v>104</v>
      </c>
      <c r="BS224" t="s">
        <v>4846</v>
      </c>
      <c r="BT224" t="str">
        <f>HYPERLINK("https%3A%2F%2Fwww.webofscience.com%2Fwos%2Fwoscc%2Ffull-record%2FWOS:000645003000039","View Full Record in Web of Science")</f>
        <v>View Full Record in Web of Science</v>
      </c>
    </row>
    <row r="225" spans="1:72" x14ac:dyDescent="0.15">
      <c r="A225" t="s">
        <v>72</v>
      </c>
      <c r="B225" t="s">
        <v>4847</v>
      </c>
      <c r="C225" t="s">
        <v>74</v>
      </c>
      <c r="D225" t="s">
        <v>74</v>
      </c>
      <c r="E225" t="s">
        <v>74</v>
      </c>
      <c r="F225" t="s">
        <v>4848</v>
      </c>
      <c r="G225" t="s">
        <v>74</v>
      </c>
      <c r="H225" t="s">
        <v>74</v>
      </c>
      <c r="I225" t="s">
        <v>4849</v>
      </c>
      <c r="J225" t="s">
        <v>4825</v>
      </c>
      <c r="K225" t="s">
        <v>74</v>
      </c>
      <c r="L225" t="s">
        <v>74</v>
      </c>
      <c r="M225" t="s">
        <v>78</v>
      </c>
      <c r="N225" t="s">
        <v>79</v>
      </c>
      <c r="O225" t="s">
        <v>74</v>
      </c>
      <c r="P225" t="s">
        <v>74</v>
      </c>
      <c r="Q225" t="s">
        <v>74</v>
      </c>
      <c r="R225" t="s">
        <v>74</v>
      </c>
      <c r="S225" t="s">
        <v>74</v>
      </c>
      <c r="T225" t="s">
        <v>74</v>
      </c>
      <c r="U225" t="s">
        <v>4850</v>
      </c>
      <c r="V225" t="s">
        <v>4851</v>
      </c>
      <c r="W225" t="s">
        <v>4852</v>
      </c>
      <c r="X225" t="s">
        <v>4853</v>
      </c>
      <c r="Y225" t="s">
        <v>4854</v>
      </c>
      <c r="Z225" t="s">
        <v>4855</v>
      </c>
      <c r="AA225" t="s">
        <v>4856</v>
      </c>
      <c r="AB225" t="s">
        <v>4857</v>
      </c>
      <c r="AC225" t="s">
        <v>4858</v>
      </c>
      <c r="AD225" t="s">
        <v>4859</v>
      </c>
      <c r="AE225" t="s">
        <v>4860</v>
      </c>
      <c r="AF225" t="s">
        <v>74</v>
      </c>
      <c r="AG225">
        <v>39</v>
      </c>
      <c r="AH225">
        <v>2</v>
      </c>
      <c r="AI225">
        <v>2</v>
      </c>
      <c r="AJ225">
        <v>1</v>
      </c>
      <c r="AK225">
        <v>1</v>
      </c>
      <c r="AL225" t="s">
        <v>917</v>
      </c>
      <c r="AM225" t="s">
        <v>390</v>
      </c>
      <c r="AN225" t="s">
        <v>918</v>
      </c>
      <c r="AO225" t="s">
        <v>4838</v>
      </c>
      <c r="AP225" t="s">
        <v>4839</v>
      </c>
      <c r="AQ225" t="s">
        <v>74</v>
      </c>
      <c r="AR225" t="s">
        <v>4840</v>
      </c>
      <c r="AS225" t="s">
        <v>4841</v>
      </c>
      <c r="AT225" t="s">
        <v>2859</v>
      </c>
      <c r="AU225">
        <v>2021</v>
      </c>
      <c r="AV225">
        <v>126</v>
      </c>
      <c r="AW225">
        <v>4</v>
      </c>
      <c r="AX225" t="s">
        <v>74</v>
      </c>
      <c r="AY225" t="s">
        <v>74</v>
      </c>
      <c r="AZ225" t="s">
        <v>74</v>
      </c>
      <c r="BA225" t="s">
        <v>74</v>
      </c>
      <c r="BB225" t="s">
        <v>74</v>
      </c>
      <c r="BC225" t="s">
        <v>74</v>
      </c>
      <c r="BD225" t="s">
        <v>4861</v>
      </c>
      <c r="BE225" t="s">
        <v>4862</v>
      </c>
      <c r="BF225" t="str">
        <f>HYPERLINK("http://dx.doi.org/10.1029/2020JA028959","http://dx.doi.org/10.1029/2020JA028959")</f>
        <v>http://dx.doi.org/10.1029/2020JA028959</v>
      </c>
      <c r="BG225" t="s">
        <v>74</v>
      </c>
      <c r="BH225" t="s">
        <v>74</v>
      </c>
      <c r="BI225">
        <v>12</v>
      </c>
      <c r="BJ225" t="s">
        <v>4844</v>
      </c>
      <c r="BK225" t="s">
        <v>101</v>
      </c>
      <c r="BL225" t="s">
        <v>4844</v>
      </c>
      <c r="BM225" t="s">
        <v>4845</v>
      </c>
      <c r="BN225" t="s">
        <v>74</v>
      </c>
      <c r="BO225" t="s">
        <v>3273</v>
      </c>
      <c r="BP225" t="s">
        <v>74</v>
      </c>
      <c r="BQ225" t="s">
        <v>74</v>
      </c>
      <c r="BR225" t="s">
        <v>104</v>
      </c>
      <c r="BS225" t="s">
        <v>4863</v>
      </c>
      <c r="BT225" t="str">
        <f>HYPERLINK("https%3A%2F%2Fwww.webofscience.com%2Fwos%2Fwoscc%2Ffull-record%2FWOS:000645003000052","View Full Record in Web of Science")</f>
        <v>View Full Record in Web of Science</v>
      </c>
    </row>
    <row r="226" spans="1:72" x14ac:dyDescent="0.15">
      <c r="A226" t="s">
        <v>72</v>
      </c>
      <c r="B226" t="s">
        <v>4864</v>
      </c>
      <c r="C226" t="s">
        <v>74</v>
      </c>
      <c r="D226" t="s">
        <v>74</v>
      </c>
      <c r="E226" t="s">
        <v>74</v>
      </c>
      <c r="F226" t="s">
        <v>4865</v>
      </c>
      <c r="G226" t="s">
        <v>74</v>
      </c>
      <c r="H226" t="s">
        <v>74</v>
      </c>
      <c r="I226" t="s">
        <v>4866</v>
      </c>
      <c r="J226" t="s">
        <v>4825</v>
      </c>
      <c r="K226" t="s">
        <v>74</v>
      </c>
      <c r="L226" t="s">
        <v>74</v>
      </c>
      <c r="M226" t="s">
        <v>78</v>
      </c>
      <c r="N226" t="s">
        <v>79</v>
      </c>
      <c r="O226" t="s">
        <v>74</v>
      </c>
      <c r="P226" t="s">
        <v>74</v>
      </c>
      <c r="Q226" t="s">
        <v>74</v>
      </c>
      <c r="R226" t="s">
        <v>74</v>
      </c>
      <c r="S226" t="s">
        <v>74</v>
      </c>
      <c r="T226" t="s">
        <v>4867</v>
      </c>
      <c r="U226" t="s">
        <v>4868</v>
      </c>
      <c r="V226" t="s">
        <v>4869</v>
      </c>
      <c r="W226" t="s">
        <v>4870</v>
      </c>
      <c r="X226" t="s">
        <v>4871</v>
      </c>
      <c r="Y226" t="s">
        <v>4872</v>
      </c>
      <c r="Z226" t="s">
        <v>4873</v>
      </c>
      <c r="AA226" t="s">
        <v>4874</v>
      </c>
      <c r="AB226" t="s">
        <v>4875</v>
      </c>
      <c r="AC226" t="s">
        <v>4876</v>
      </c>
      <c r="AD226" t="s">
        <v>4877</v>
      </c>
      <c r="AE226" t="s">
        <v>4878</v>
      </c>
      <c r="AF226" t="s">
        <v>74</v>
      </c>
      <c r="AG226">
        <v>52</v>
      </c>
      <c r="AH226">
        <v>13</v>
      </c>
      <c r="AI226">
        <v>13</v>
      </c>
      <c r="AJ226">
        <v>0</v>
      </c>
      <c r="AK226">
        <v>3</v>
      </c>
      <c r="AL226" t="s">
        <v>917</v>
      </c>
      <c r="AM226" t="s">
        <v>390</v>
      </c>
      <c r="AN226" t="s">
        <v>918</v>
      </c>
      <c r="AO226" t="s">
        <v>4838</v>
      </c>
      <c r="AP226" t="s">
        <v>4839</v>
      </c>
      <c r="AQ226" t="s">
        <v>74</v>
      </c>
      <c r="AR226" t="s">
        <v>4840</v>
      </c>
      <c r="AS226" t="s">
        <v>4841</v>
      </c>
      <c r="AT226" t="s">
        <v>2859</v>
      </c>
      <c r="AU226">
        <v>2021</v>
      </c>
      <c r="AV226">
        <v>126</v>
      </c>
      <c r="AW226">
        <v>4</v>
      </c>
      <c r="AX226" t="s">
        <v>74</v>
      </c>
      <c r="AY226" t="s">
        <v>74</v>
      </c>
      <c r="AZ226" t="s">
        <v>74</v>
      </c>
      <c r="BA226" t="s">
        <v>74</v>
      </c>
      <c r="BB226" t="s">
        <v>74</v>
      </c>
      <c r="BC226" t="s">
        <v>74</v>
      </c>
      <c r="BD226" t="s">
        <v>4879</v>
      </c>
      <c r="BE226" t="s">
        <v>4880</v>
      </c>
      <c r="BF226" t="str">
        <f>HYPERLINK("http://dx.doi.org/10.1029/2020JA028580","http://dx.doi.org/10.1029/2020JA028580")</f>
        <v>http://dx.doi.org/10.1029/2020JA028580</v>
      </c>
      <c r="BG226" t="s">
        <v>74</v>
      </c>
      <c r="BH226" t="s">
        <v>74</v>
      </c>
      <c r="BI226">
        <v>18</v>
      </c>
      <c r="BJ226" t="s">
        <v>4844</v>
      </c>
      <c r="BK226" t="s">
        <v>101</v>
      </c>
      <c r="BL226" t="s">
        <v>4844</v>
      </c>
      <c r="BM226" t="s">
        <v>4845</v>
      </c>
      <c r="BN226" t="s">
        <v>74</v>
      </c>
      <c r="BO226" t="s">
        <v>398</v>
      </c>
      <c r="BP226" t="s">
        <v>74</v>
      </c>
      <c r="BQ226" t="s">
        <v>74</v>
      </c>
      <c r="BR226" t="s">
        <v>104</v>
      </c>
      <c r="BS226" t="s">
        <v>4881</v>
      </c>
      <c r="BT226" t="str">
        <f>HYPERLINK("https%3A%2F%2Fwww.webofscience.com%2Fwos%2Fwoscc%2Ffull-record%2FWOS:000645003000023","View Full Record in Web of Science")</f>
        <v>View Full Record in Web of Science</v>
      </c>
    </row>
    <row r="227" spans="1:72" x14ac:dyDescent="0.15">
      <c r="A227" t="s">
        <v>72</v>
      </c>
      <c r="B227" t="s">
        <v>4882</v>
      </c>
      <c r="C227" t="s">
        <v>74</v>
      </c>
      <c r="D227" t="s">
        <v>74</v>
      </c>
      <c r="E227" t="s">
        <v>74</v>
      </c>
      <c r="F227" t="s">
        <v>4883</v>
      </c>
      <c r="G227" t="s">
        <v>74</v>
      </c>
      <c r="H227" t="s">
        <v>74</v>
      </c>
      <c r="I227" t="s">
        <v>4884</v>
      </c>
      <c r="J227" t="s">
        <v>4825</v>
      </c>
      <c r="K227" t="s">
        <v>74</v>
      </c>
      <c r="L227" t="s">
        <v>74</v>
      </c>
      <c r="M227" t="s">
        <v>78</v>
      </c>
      <c r="N227" t="s">
        <v>79</v>
      </c>
      <c r="O227" t="s">
        <v>74</v>
      </c>
      <c r="P227" t="s">
        <v>74</v>
      </c>
      <c r="Q227" t="s">
        <v>74</v>
      </c>
      <c r="R227" t="s">
        <v>74</v>
      </c>
      <c r="S227" t="s">
        <v>74</v>
      </c>
      <c r="T227" t="s">
        <v>4885</v>
      </c>
      <c r="U227" t="s">
        <v>4886</v>
      </c>
      <c r="V227" t="s">
        <v>4887</v>
      </c>
      <c r="W227" t="s">
        <v>4888</v>
      </c>
      <c r="X227" t="s">
        <v>4889</v>
      </c>
      <c r="Y227" t="s">
        <v>4890</v>
      </c>
      <c r="Z227" t="s">
        <v>4891</v>
      </c>
      <c r="AA227" t="s">
        <v>4892</v>
      </c>
      <c r="AB227" t="s">
        <v>4893</v>
      </c>
      <c r="AC227" t="s">
        <v>4894</v>
      </c>
      <c r="AD227" t="s">
        <v>4894</v>
      </c>
      <c r="AE227" t="s">
        <v>4895</v>
      </c>
      <c r="AF227" t="s">
        <v>74</v>
      </c>
      <c r="AG227">
        <v>40</v>
      </c>
      <c r="AH227">
        <v>4</v>
      </c>
      <c r="AI227">
        <v>4</v>
      </c>
      <c r="AJ227">
        <v>1</v>
      </c>
      <c r="AK227">
        <v>7</v>
      </c>
      <c r="AL227" t="s">
        <v>917</v>
      </c>
      <c r="AM227" t="s">
        <v>390</v>
      </c>
      <c r="AN227" t="s">
        <v>918</v>
      </c>
      <c r="AO227" t="s">
        <v>4838</v>
      </c>
      <c r="AP227" t="s">
        <v>4839</v>
      </c>
      <c r="AQ227" t="s">
        <v>74</v>
      </c>
      <c r="AR227" t="s">
        <v>4840</v>
      </c>
      <c r="AS227" t="s">
        <v>4841</v>
      </c>
      <c r="AT227" t="s">
        <v>2859</v>
      </c>
      <c r="AU227">
        <v>2021</v>
      </c>
      <c r="AV227">
        <v>126</v>
      </c>
      <c r="AW227">
        <v>4</v>
      </c>
      <c r="AX227" t="s">
        <v>74</v>
      </c>
      <c r="AY227" t="s">
        <v>74</v>
      </c>
      <c r="AZ227" t="s">
        <v>74</v>
      </c>
      <c r="BA227" t="s">
        <v>74</v>
      </c>
      <c r="BB227" t="s">
        <v>74</v>
      </c>
      <c r="BC227" t="s">
        <v>74</v>
      </c>
      <c r="BD227" t="s">
        <v>4896</v>
      </c>
      <c r="BE227" t="s">
        <v>4897</v>
      </c>
      <c r="BF227" t="str">
        <f>HYPERLINK("http://dx.doi.org/10.1029/2020JA029043","http://dx.doi.org/10.1029/2020JA029043")</f>
        <v>http://dx.doi.org/10.1029/2020JA029043</v>
      </c>
      <c r="BG227" t="s">
        <v>74</v>
      </c>
      <c r="BH227" t="s">
        <v>74</v>
      </c>
      <c r="BI227">
        <v>16</v>
      </c>
      <c r="BJ227" t="s">
        <v>4844</v>
      </c>
      <c r="BK227" t="s">
        <v>101</v>
      </c>
      <c r="BL227" t="s">
        <v>4844</v>
      </c>
      <c r="BM227" t="s">
        <v>4845</v>
      </c>
      <c r="BN227" t="s">
        <v>74</v>
      </c>
      <c r="BO227" t="s">
        <v>663</v>
      </c>
      <c r="BP227" t="s">
        <v>74</v>
      </c>
      <c r="BQ227" t="s">
        <v>74</v>
      </c>
      <c r="BR227" t="s">
        <v>104</v>
      </c>
      <c r="BS227" t="s">
        <v>4898</v>
      </c>
      <c r="BT227" t="str">
        <f>HYPERLINK("https%3A%2F%2Fwww.webofscience.com%2Fwos%2Fwoscc%2Ffull-record%2FWOS:000645003000007","View Full Record in Web of Science")</f>
        <v>View Full Record in Web of Science</v>
      </c>
    </row>
    <row r="228" spans="1:72" x14ac:dyDescent="0.15">
      <c r="A228" t="s">
        <v>72</v>
      </c>
      <c r="B228" t="s">
        <v>4899</v>
      </c>
      <c r="C228" t="s">
        <v>74</v>
      </c>
      <c r="D228" t="s">
        <v>74</v>
      </c>
      <c r="E228" t="s">
        <v>74</v>
      </c>
      <c r="F228" t="s">
        <v>4900</v>
      </c>
      <c r="G228" t="s">
        <v>74</v>
      </c>
      <c r="H228" t="s">
        <v>74</v>
      </c>
      <c r="I228" t="s">
        <v>4901</v>
      </c>
      <c r="J228" t="s">
        <v>350</v>
      </c>
      <c r="K228" t="s">
        <v>74</v>
      </c>
      <c r="L228" t="s">
        <v>74</v>
      </c>
      <c r="M228" t="s">
        <v>78</v>
      </c>
      <c r="N228" t="s">
        <v>79</v>
      </c>
      <c r="O228" t="s">
        <v>74</v>
      </c>
      <c r="P228" t="s">
        <v>74</v>
      </c>
      <c r="Q228" t="s">
        <v>74</v>
      </c>
      <c r="R228" t="s">
        <v>74</v>
      </c>
      <c r="S228" t="s">
        <v>74</v>
      </c>
      <c r="T228" t="s">
        <v>4902</v>
      </c>
      <c r="U228" t="s">
        <v>4903</v>
      </c>
      <c r="V228" t="s">
        <v>4904</v>
      </c>
      <c r="W228" t="s">
        <v>4905</v>
      </c>
      <c r="X228" t="s">
        <v>4906</v>
      </c>
      <c r="Y228" t="s">
        <v>4907</v>
      </c>
      <c r="Z228" t="s">
        <v>4908</v>
      </c>
      <c r="AA228" t="s">
        <v>4909</v>
      </c>
      <c r="AB228" t="s">
        <v>4910</v>
      </c>
      <c r="AC228" t="s">
        <v>4911</v>
      </c>
      <c r="AD228" t="s">
        <v>4769</v>
      </c>
      <c r="AE228" t="s">
        <v>4912</v>
      </c>
      <c r="AF228" t="s">
        <v>74</v>
      </c>
      <c r="AG228">
        <v>55</v>
      </c>
      <c r="AH228">
        <v>12</v>
      </c>
      <c r="AI228">
        <v>16</v>
      </c>
      <c r="AJ228">
        <v>0</v>
      </c>
      <c r="AK228">
        <v>6</v>
      </c>
      <c r="AL228" t="s">
        <v>120</v>
      </c>
      <c r="AM228" t="s">
        <v>121</v>
      </c>
      <c r="AN228" t="s">
        <v>363</v>
      </c>
      <c r="AO228" t="s">
        <v>364</v>
      </c>
      <c r="AP228" t="s">
        <v>365</v>
      </c>
      <c r="AQ228" t="s">
        <v>74</v>
      </c>
      <c r="AR228" t="s">
        <v>366</v>
      </c>
      <c r="AS228" t="s">
        <v>367</v>
      </c>
      <c r="AT228" t="s">
        <v>2859</v>
      </c>
      <c r="AU228">
        <v>2021</v>
      </c>
      <c r="AV228">
        <v>51</v>
      </c>
      <c r="AW228">
        <v>4</v>
      </c>
      <c r="AX228" t="s">
        <v>74</v>
      </c>
      <c r="AY228" t="s">
        <v>74</v>
      </c>
      <c r="AZ228" t="s">
        <v>74</v>
      </c>
      <c r="BA228" t="s">
        <v>74</v>
      </c>
      <c r="BB228">
        <v>1223</v>
      </c>
      <c r="BC228">
        <v>1246</v>
      </c>
      <c r="BD228" t="s">
        <v>74</v>
      </c>
      <c r="BE228" t="s">
        <v>4913</v>
      </c>
      <c r="BF228" t="str">
        <f>HYPERLINK("http://dx.doi.org/10.1175/JPO-D-20-0091.1","http://dx.doi.org/10.1175/JPO-D-20-0091.1")</f>
        <v>http://dx.doi.org/10.1175/JPO-D-20-0091.1</v>
      </c>
      <c r="BG228" t="s">
        <v>74</v>
      </c>
      <c r="BH228" t="s">
        <v>74</v>
      </c>
      <c r="BI228">
        <v>24</v>
      </c>
      <c r="BJ228" t="s">
        <v>369</v>
      </c>
      <c r="BK228" t="s">
        <v>101</v>
      </c>
      <c r="BL228" t="s">
        <v>369</v>
      </c>
      <c r="BM228" t="s">
        <v>4914</v>
      </c>
      <c r="BN228" t="s">
        <v>74</v>
      </c>
      <c r="BO228" t="s">
        <v>74</v>
      </c>
      <c r="BP228" t="s">
        <v>74</v>
      </c>
      <c r="BQ228" t="s">
        <v>74</v>
      </c>
      <c r="BR228" t="s">
        <v>104</v>
      </c>
      <c r="BS228" t="s">
        <v>4915</v>
      </c>
      <c r="BT228" t="str">
        <f>HYPERLINK("https%3A%2F%2Fwww.webofscience.com%2Fwos%2Fwoscc%2Ffull-record%2FWOS:000644279200015","View Full Record in Web of Science")</f>
        <v>View Full Record in Web of Science</v>
      </c>
    </row>
    <row r="229" spans="1:72" x14ac:dyDescent="0.15">
      <c r="A229" t="s">
        <v>72</v>
      </c>
      <c r="B229" t="s">
        <v>4916</v>
      </c>
      <c r="C229" t="s">
        <v>74</v>
      </c>
      <c r="D229" t="s">
        <v>74</v>
      </c>
      <c r="E229" t="s">
        <v>74</v>
      </c>
      <c r="F229" t="s">
        <v>4917</v>
      </c>
      <c r="G229" t="s">
        <v>74</v>
      </c>
      <c r="H229" t="s">
        <v>74</v>
      </c>
      <c r="I229" t="s">
        <v>4918</v>
      </c>
      <c r="J229" t="s">
        <v>4919</v>
      </c>
      <c r="K229" t="s">
        <v>74</v>
      </c>
      <c r="L229" t="s">
        <v>74</v>
      </c>
      <c r="M229" t="s">
        <v>78</v>
      </c>
      <c r="N229" t="s">
        <v>79</v>
      </c>
      <c r="O229" t="s">
        <v>74</v>
      </c>
      <c r="P229" t="s">
        <v>74</v>
      </c>
      <c r="Q229" t="s">
        <v>74</v>
      </c>
      <c r="R229" t="s">
        <v>74</v>
      </c>
      <c r="S229" t="s">
        <v>74</v>
      </c>
      <c r="T229" t="s">
        <v>4920</v>
      </c>
      <c r="U229" t="s">
        <v>4921</v>
      </c>
      <c r="V229" t="s">
        <v>4922</v>
      </c>
      <c r="W229" t="s">
        <v>4923</v>
      </c>
      <c r="X229" t="s">
        <v>4924</v>
      </c>
      <c r="Y229" t="s">
        <v>4925</v>
      </c>
      <c r="Z229" t="s">
        <v>4926</v>
      </c>
      <c r="AA229" t="s">
        <v>4927</v>
      </c>
      <c r="AB229" t="s">
        <v>4928</v>
      </c>
      <c r="AC229" t="s">
        <v>4929</v>
      </c>
      <c r="AD229" t="s">
        <v>4930</v>
      </c>
      <c r="AE229" t="s">
        <v>4931</v>
      </c>
      <c r="AF229" t="s">
        <v>74</v>
      </c>
      <c r="AG229">
        <v>108</v>
      </c>
      <c r="AH229">
        <v>31</v>
      </c>
      <c r="AI229">
        <v>34</v>
      </c>
      <c r="AJ229">
        <v>5</v>
      </c>
      <c r="AK229">
        <v>18</v>
      </c>
      <c r="AL229" t="s">
        <v>917</v>
      </c>
      <c r="AM229" t="s">
        <v>390</v>
      </c>
      <c r="AN229" t="s">
        <v>918</v>
      </c>
      <c r="AO229" t="s">
        <v>74</v>
      </c>
      <c r="AP229" t="s">
        <v>4932</v>
      </c>
      <c r="AQ229" t="s">
        <v>74</v>
      </c>
      <c r="AR229" t="s">
        <v>4933</v>
      </c>
      <c r="AS229" t="s">
        <v>4934</v>
      </c>
      <c r="AT229" t="s">
        <v>2859</v>
      </c>
      <c r="AU229">
        <v>2021</v>
      </c>
      <c r="AV229">
        <v>8</v>
      </c>
      <c r="AW229">
        <v>4</v>
      </c>
      <c r="AX229" t="s">
        <v>74</v>
      </c>
      <c r="AY229" t="s">
        <v>74</v>
      </c>
      <c r="AZ229" t="s">
        <v>74</v>
      </c>
      <c r="BA229" t="s">
        <v>74</v>
      </c>
      <c r="BB229" t="s">
        <v>74</v>
      </c>
      <c r="BC229" t="s">
        <v>74</v>
      </c>
      <c r="BD229" t="s">
        <v>4935</v>
      </c>
      <c r="BE229" t="s">
        <v>4936</v>
      </c>
      <c r="BF229" t="str">
        <f>HYPERLINK("http://dx.doi.org/10.1029/2020EA001199","http://dx.doi.org/10.1029/2020EA001199")</f>
        <v>http://dx.doi.org/10.1029/2020EA001199</v>
      </c>
      <c r="BG229" t="s">
        <v>74</v>
      </c>
      <c r="BH229" t="s">
        <v>74</v>
      </c>
      <c r="BI229">
        <v>28</v>
      </c>
      <c r="BJ229" t="s">
        <v>4937</v>
      </c>
      <c r="BK229" t="s">
        <v>101</v>
      </c>
      <c r="BL229" t="s">
        <v>4938</v>
      </c>
      <c r="BM229" t="s">
        <v>4939</v>
      </c>
      <c r="BN229" t="s">
        <v>74</v>
      </c>
      <c r="BO229" t="s">
        <v>298</v>
      </c>
      <c r="BP229" t="s">
        <v>74</v>
      </c>
      <c r="BQ229" t="s">
        <v>74</v>
      </c>
      <c r="BR229" t="s">
        <v>104</v>
      </c>
      <c r="BS229" t="s">
        <v>4940</v>
      </c>
      <c r="BT229" t="str">
        <f>HYPERLINK("https%3A%2F%2Fwww.webofscience.com%2Fwos%2Fwoscc%2Ffull-record%2FWOS:000645000600013","View Full Record in Web of Science")</f>
        <v>View Full Record in Web of Science</v>
      </c>
    </row>
    <row r="230" spans="1:72" x14ac:dyDescent="0.15">
      <c r="A230" t="s">
        <v>72</v>
      </c>
      <c r="B230" t="s">
        <v>4941</v>
      </c>
      <c r="C230" t="s">
        <v>74</v>
      </c>
      <c r="D230" t="s">
        <v>74</v>
      </c>
      <c r="E230" t="s">
        <v>74</v>
      </c>
      <c r="F230" t="s">
        <v>4942</v>
      </c>
      <c r="G230" t="s">
        <v>74</v>
      </c>
      <c r="H230" t="s">
        <v>74</v>
      </c>
      <c r="I230" t="s">
        <v>4943</v>
      </c>
      <c r="J230" t="s">
        <v>4944</v>
      </c>
      <c r="K230" t="s">
        <v>74</v>
      </c>
      <c r="L230" t="s">
        <v>74</v>
      </c>
      <c r="M230" t="s">
        <v>78</v>
      </c>
      <c r="N230" t="s">
        <v>79</v>
      </c>
      <c r="O230" t="s">
        <v>74</v>
      </c>
      <c r="P230" t="s">
        <v>74</v>
      </c>
      <c r="Q230" t="s">
        <v>74</v>
      </c>
      <c r="R230" t="s">
        <v>74</v>
      </c>
      <c r="S230" t="s">
        <v>74</v>
      </c>
      <c r="T230" t="s">
        <v>4945</v>
      </c>
      <c r="U230" t="s">
        <v>4946</v>
      </c>
      <c r="V230" t="s">
        <v>4947</v>
      </c>
      <c r="W230" t="s">
        <v>4948</v>
      </c>
      <c r="X230" t="s">
        <v>4949</v>
      </c>
      <c r="Y230" t="s">
        <v>4950</v>
      </c>
      <c r="Z230" t="s">
        <v>4951</v>
      </c>
      <c r="AA230" t="s">
        <v>4952</v>
      </c>
      <c r="AB230" t="s">
        <v>4953</v>
      </c>
      <c r="AC230" t="s">
        <v>4954</v>
      </c>
      <c r="AD230" t="s">
        <v>4955</v>
      </c>
      <c r="AE230" t="s">
        <v>4956</v>
      </c>
      <c r="AF230" t="s">
        <v>74</v>
      </c>
      <c r="AG230">
        <v>56</v>
      </c>
      <c r="AH230">
        <v>10</v>
      </c>
      <c r="AI230">
        <v>10</v>
      </c>
      <c r="AJ230">
        <v>6</v>
      </c>
      <c r="AK230">
        <v>29</v>
      </c>
      <c r="AL230" t="s">
        <v>917</v>
      </c>
      <c r="AM230" t="s">
        <v>390</v>
      </c>
      <c r="AN230" t="s">
        <v>918</v>
      </c>
      <c r="AO230" t="s">
        <v>4957</v>
      </c>
      <c r="AP230" t="s">
        <v>4958</v>
      </c>
      <c r="AQ230" t="s">
        <v>74</v>
      </c>
      <c r="AR230" t="s">
        <v>4959</v>
      </c>
      <c r="AS230" t="s">
        <v>4960</v>
      </c>
      <c r="AT230" t="s">
        <v>2859</v>
      </c>
      <c r="AU230">
        <v>2021</v>
      </c>
      <c r="AV230">
        <v>126</v>
      </c>
      <c r="AW230">
        <v>4</v>
      </c>
      <c r="AX230" t="s">
        <v>74</v>
      </c>
      <c r="AY230" t="s">
        <v>74</v>
      </c>
      <c r="AZ230" t="s">
        <v>74</v>
      </c>
      <c r="BA230" t="s">
        <v>74</v>
      </c>
      <c r="BB230" t="s">
        <v>74</v>
      </c>
      <c r="BC230" t="s">
        <v>74</v>
      </c>
      <c r="BD230" t="s">
        <v>4961</v>
      </c>
      <c r="BE230" t="s">
        <v>4962</v>
      </c>
      <c r="BF230" t="str">
        <f>HYPERLINK("http://dx.doi.org/10.1029/2020JG006227","http://dx.doi.org/10.1029/2020JG006227")</f>
        <v>http://dx.doi.org/10.1029/2020JG006227</v>
      </c>
      <c r="BG230" t="s">
        <v>74</v>
      </c>
      <c r="BH230" t="s">
        <v>74</v>
      </c>
      <c r="BI230">
        <v>21</v>
      </c>
      <c r="BJ230" t="s">
        <v>4963</v>
      </c>
      <c r="BK230" t="s">
        <v>101</v>
      </c>
      <c r="BL230" t="s">
        <v>1278</v>
      </c>
      <c r="BM230" t="s">
        <v>4964</v>
      </c>
      <c r="BN230" t="s">
        <v>74</v>
      </c>
      <c r="BO230" t="s">
        <v>398</v>
      </c>
      <c r="BP230" t="s">
        <v>74</v>
      </c>
      <c r="BQ230" t="s">
        <v>74</v>
      </c>
      <c r="BR230" t="s">
        <v>104</v>
      </c>
      <c r="BS230" t="s">
        <v>4965</v>
      </c>
      <c r="BT230" t="str">
        <f>HYPERLINK("https%3A%2F%2Fwww.webofscience.com%2Fwos%2Fwoscc%2Ffull-record%2FWOS:000645001600022","View Full Record in Web of Science")</f>
        <v>View Full Record in Web of Science</v>
      </c>
    </row>
    <row r="231" spans="1:72" x14ac:dyDescent="0.15">
      <c r="A231" t="s">
        <v>72</v>
      </c>
      <c r="B231" t="s">
        <v>4966</v>
      </c>
      <c r="C231" t="s">
        <v>74</v>
      </c>
      <c r="D231" t="s">
        <v>74</v>
      </c>
      <c r="E231" t="s">
        <v>74</v>
      </c>
      <c r="F231" t="s">
        <v>4967</v>
      </c>
      <c r="G231" t="s">
        <v>74</v>
      </c>
      <c r="H231" t="s">
        <v>74</v>
      </c>
      <c r="I231" t="s">
        <v>4968</v>
      </c>
      <c r="J231" t="s">
        <v>4969</v>
      </c>
      <c r="K231" t="s">
        <v>74</v>
      </c>
      <c r="L231" t="s">
        <v>74</v>
      </c>
      <c r="M231" t="s">
        <v>78</v>
      </c>
      <c r="N231" t="s">
        <v>79</v>
      </c>
      <c r="O231" t="s">
        <v>74</v>
      </c>
      <c r="P231" t="s">
        <v>74</v>
      </c>
      <c r="Q231" t="s">
        <v>74</v>
      </c>
      <c r="R231" t="s">
        <v>74</v>
      </c>
      <c r="S231" t="s">
        <v>74</v>
      </c>
      <c r="T231" t="s">
        <v>4970</v>
      </c>
      <c r="U231" t="s">
        <v>4971</v>
      </c>
      <c r="V231" t="s">
        <v>4972</v>
      </c>
      <c r="W231" t="s">
        <v>4973</v>
      </c>
      <c r="X231" t="s">
        <v>4974</v>
      </c>
      <c r="Y231" t="s">
        <v>4975</v>
      </c>
      <c r="Z231" t="s">
        <v>4976</v>
      </c>
      <c r="AA231" t="s">
        <v>4977</v>
      </c>
      <c r="AB231" t="s">
        <v>4978</v>
      </c>
      <c r="AC231" t="s">
        <v>4979</v>
      </c>
      <c r="AD231" t="s">
        <v>4980</v>
      </c>
      <c r="AE231" t="s">
        <v>4981</v>
      </c>
      <c r="AF231" t="s">
        <v>74</v>
      </c>
      <c r="AG231">
        <v>39</v>
      </c>
      <c r="AH231">
        <v>6</v>
      </c>
      <c r="AI231">
        <v>6</v>
      </c>
      <c r="AJ231">
        <v>0</v>
      </c>
      <c r="AK231">
        <v>6</v>
      </c>
      <c r="AL231" t="s">
        <v>917</v>
      </c>
      <c r="AM231" t="s">
        <v>390</v>
      </c>
      <c r="AN231" t="s">
        <v>918</v>
      </c>
      <c r="AO231" t="s">
        <v>4982</v>
      </c>
      <c r="AP231" t="s">
        <v>4983</v>
      </c>
      <c r="AQ231" t="s">
        <v>74</v>
      </c>
      <c r="AR231" t="s">
        <v>4984</v>
      </c>
      <c r="AS231" t="s">
        <v>4985</v>
      </c>
      <c r="AT231" t="s">
        <v>2859</v>
      </c>
      <c r="AU231">
        <v>2021</v>
      </c>
      <c r="AV231">
        <v>126</v>
      </c>
      <c r="AW231">
        <v>4</v>
      </c>
      <c r="AX231" t="s">
        <v>74</v>
      </c>
      <c r="AY231" t="s">
        <v>74</v>
      </c>
      <c r="AZ231" t="s">
        <v>74</v>
      </c>
      <c r="BA231" t="s">
        <v>74</v>
      </c>
      <c r="BB231" t="s">
        <v>74</v>
      </c>
      <c r="BC231" t="s">
        <v>74</v>
      </c>
      <c r="BD231" t="s">
        <v>4986</v>
      </c>
      <c r="BE231" t="s">
        <v>4987</v>
      </c>
      <c r="BF231" t="str">
        <f>HYPERLINK("http://dx.doi.org/10.1029/2020JC016585","http://dx.doi.org/10.1029/2020JC016585")</f>
        <v>http://dx.doi.org/10.1029/2020JC016585</v>
      </c>
      <c r="BG231" t="s">
        <v>74</v>
      </c>
      <c r="BH231" t="s">
        <v>74</v>
      </c>
      <c r="BI231">
        <v>25</v>
      </c>
      <c r="BJ231" t="s">
        <v>369</v>
      </c>
      <c r="BK231" t="s">
        <v>101</v>
      </c>
      <c r="BL231" t="s">
        <v>369</v>
      </c>
      <c r="BM231" t="s">
        <v>4988</v>
      </c>
      <c r="BN231" t="s">
        <v>74</v>
      </c>
      <c r="BO231" t="s">
        <v>4989</v>
      </c>
      <c r="BP231" t="s">
        <v>74</v>
      </c>
      <c r="BQ231" t="s">
        <v>74</v>
      </c>
      <c r="BR231" t="s">
        <v>104</v>
      </c>
      <c r="BS231" t="s">
        <v>4990</v>
      </c>
      <c r="BT231" t="str">
        <f>HYPERLINK("https%3A%2F%2Fwww.webofscience.com%2Fwos%2Fwoscc%2Ffull-record%2FWOS:000645019200009","View Full Record in Web of Science")</f>
        <v>View Full Record in Web of Science</v>
      </c>
    </row>
    <row r="232" spans="1:72" x14ac:dyDescent="0.15">
      <c r="A232" t="s">
        <v>72</v>
      </c>
      <c r="B232" t="s">
        <v>4991</v>
      </c>
      <c r="C232" t="s">
        <v>74</v>
      </c>
      <c r="D232" t="s">
        <v>74</v>
      </c>
      <c r="E232" t="s">
        <v>74</v>
      </c>
      <c r="F232" t="s">
        <v>4992</v>
      </c>
      <c r="G232" t="s">
        <v>74</v>
      </c>
      <c r="H232" t="s">
        <v>74</v>
      </c>
      <c r="I232" t="s">
        <v>4993</v>
      </c>
      <c r="J232" t="s">
        <v>4969</v>
      </c>
      <c r="K232" t="s">
        <v>74</v>
      </c>
      <c r="L232" t="s">
        <v>74</v>
      </c>
      <c r="M232" t="s">
        <v>78</v>
      </c>
      <c r="N232" t="s">
        <v>79</v>
      </c>
      <c r="O232" t="s">
        <v>74</v>
      </c>
      <c r="P232" t="s">
        <v>74</v>
      </c>
      <c r="Q232" t="s">
        <v>74</v>
      </c>
      <c r="R232" t="s">
        <v>74</v>
      </c>
      <c r="S232" t="s">
        <v>74</v>
      </c>
      <c r="T232" t="s">
        <v>4994</v>
      </c>
      <c r="U232" t="s">
        <v>4995</v>
      </c>
      <c r="V232" t="s">
        <v>4996</v>
      </c>
      <c r="W232" t="s">
        <v>4997</v>
      </c>
      <c r="X232" t="s">
        <v>4998</v>
      </c>
      <c r="Y232" t="s">
        <v>4999</v>
      </c>
      <c r="Z232" t="s">
        <v>5000</v>
      </c>
      <c r="AA232" t="s">
        <v>74</v>
      </c>
      <c r="AB232" t="s">
        <v>74</v>
      </c>
      <c r="AC232" t="s">
        <v>5001</v>
      </c>
      <c r="AD232" t="s">
        <v>5002</v>
      </c>
      <c r="AE232" t="s">
        <v>5003</v>
      </c>
      <c r="AF232" t="s">
        <v>74</v>
      </c>
      <c r="AG232">
        <v>35</v>
      </c>
      <c r="AH232">
        <v>9</v>
      </c>
      <c r="AI232">
        <v>9</v>
      </c>
      <c r="AJ232">
        <v>5</v>
      </c>
      <c r="AK232">
        <v>16</v>
      </c>
      <c r="AL232" t="s">
        <v>917</v>
      </c>
      <c r="AM232" t="s">
        <v>390</v>
      </c>
      <c r="AN232" t="s">
        <v>918</v>
      </c>
      <c r="AO232" t="s">
        <v>4982</v>
      </c>
      <c r="AP232" t="s">
        <v>4983</v>
      </c>
      <c r="AQ232" t="s">
        <v>74</v>
      </c>
      <c r="AR232" t="s">
        <v>4984</v>
      </c>
      <c r="AS232" t="s">
        <v>4985</v>
      </c>
      <c r="AT232" t="s">
        <v>2859</v>
      </c>
      <c r="AU232">
        <v>2021</v>
      </c>
      <c r="AV232">
        <v>126</v>
      </c>
      <c r="AW232">
        <v>4</v>
      </c>
      <c r="AX232" t="s">
        <v>74</v>
      </c>
      <c r="AY232" t="s">
        <v>74</v>
      </c>
      <c r="AZ232" t="s">
        <v>74</v>
      </c>
      <c r="BA232" t="s">
        <v>74</v>
      </c>
      <c r="BB232" t="s">
        <v>74</v>
      </c>
      <c r="BC232" t="s">
        <v>74</v>
      </c>
      <c r="BD232" t="s">
        <v>5004</v>
      </c>
      <c r="BE232" t="s">
        <v>5005</v>
      </c>
      <c r="BF232" t="str">
        <f>HYPERLINK("http://dx.doi.org/10.1029/2021JC017284","http://dx.doi.org/10.1029/2021JC017284")</f>
        <v>http://dx.doi.org/10.1029/2021JC017284</v>
      </c>
      <c r="BG232" t="s">
        <v>74</v>
      </c>
      <c r="BH232" t="s">
        <v>74</v>
      </c>
      <c r="BI232">
        <v>13</v>
      </c>
      <c r="BJ232" t="s">
        <v>369</v>
      </c>
      <c r="BK232" t="s">
        <v>101</v>
      </c>
      <c r="BL232" t="s">
        <v>369</v>
      </c>
      <c r="BM232" t="s">
        <v>4988</v>
      </c>
      <c r="BN232" t="s">
        <v>74</v>
      </c>
      <c r="BO232" t="s">
        <v>74</v>
      </c>
      <c r="BP232" t="s">
        <v>74</v>
      </c>
      <c r="BQ232" t="s">
        <v>74</v>
      </c>
      <c r="BR232" t="s">
        <v>104</v>
      </c>
      <c r="BS232" t="s">
        <v>5006</v>
      </c>
      <c r="BT232" t="str">
        <f>HYPERLINK("https%3A%2F%2Fwww.webofscience.com%2Fwos%2Fwoscc%2Ffull-record%2FWOS:000645019200008","View Full Record in Web of Science")</f>
        <v>View Full Record in Web of Science</v>
      </c>
    </row>
    <row r="233" spans="1:72" x14ac:dyDescent="0.15">
      <c r="A233" t="s">
        <v>72</v>
      </c>
      <c r="B233" t="s">
        <v>5007</v>
      </c>
      <c r="C233" t="s">
        <v>74</v>
      </c>
      <c r="D233" t="s">
        <v>74</v>
      </c>
      <c r="E233" t="s">
        <v>74</v>
      </c>
      <c r="F233" t="s">
        <v>5008</v>
      </c>
      <c r="G233" t="s">
        <v>74</v>
      </c>
      <c r="H233" t="s">
        <v>74</v>
      </c>
      <c r="I233" t="s">
        <v>5009</v>
      </c>
      <c r="J233" t="s">
        <v>4969</v>
      </c>
      <c r="K233" t="s">
        <v>74</v>
      </c>
      <c r="L233" t="s">
        <v>74</v>
      </c>
      <c r="M233" t="s">
        <v>78</v>
      </c>
      <c r="N233" t="s">
        <v>79</v>
      </c>
      <c r="O233" t="s">
        <v>74</v>
      </c>
      <c r="P233" t="s">
        <v>74</v>
      </c>
      <c r="Q233" t="s">
        <v>74</v>
      </c>
      <c r="R233" t="s">
        <v>74</v>
      </c>
      <c r="S233" t="s">
        <v>74</v>
      </c>
      <c r="T233" t="s">
        <v>5010</v>
      </c>
      <c r="U233" t="s">
        <v>5011</v>
      </c>
      <c r="V233" t="s">
        <v>5012</v>
      </c>
      <c r="W233" t="s">
        <v>5013</v>
      </c>
      <c r="X233" t="s">
        <v>5014</v>
      </c>
      <c r="Y233" t="s">
        <v>5015</v>
      </c>
      <c r="Z233" t="s">
        <v>5016</v>
      </c>
      <c r="AA233" t="s">
        <v>5017</v>
      </c>
      <c r="AB233" t="s">
        <v>5018</v>
      </c>
      <c r="AC233" t="s">
        <v>5019</v>
      </c>
      <c r="AD233" t="s">
        <v>5020</v>
      </c>
      <c r="AE233" t="s">
        <v>5021</v>
      </c>
      <c r="AF233" t="s">
        <v>74</v>
      </c>
      <c r="AG233">
        <v>57</v>
      </c>
      <c r="AH233">
        <v>16</v>
      </c>
      <c r="AI233">
        <v>17</v>
      </c>
      <c r="AJ233">
        <v>1</v>
      </c>
      <c r="AK233">
        <v>7</v>
      </c>
      <c r="AL233" t="s">
        <v>917</v>
      </c>
      <c r="AM233" t="s">
        <v>390</v>
      </c>
      <c r="AN233" t="s">
        <v>918</v>
      </c>
      <c r="AO233" t="s">
        <v>4982</v>
      </c>
      <c r="AP233" t="s">
        <v>4983</v>
      </c>
      <c r="AQ233" t="s">
        <v>74</v>
      </c>
      <c r="AR233" t="s">
        <v>4984</v>
      </c>
      <c r="AS233" t="s">
        <v>4985</v>
      </c>
      <c r="AT233" t="s">
        <v>2859</v>
      </c>
      <c r="AU233">
        <v>2021</v>
      </c>
      <c r="AV233">
        <v>126</v>
      </c>
      <c r="AW233">
        <v>4</v>
      </c>
      <c r="AX233" t="s">
        <v>74</v>
      </c>
      <c r="AY233" t="s">
        <v>74</v>
      </c>
      <c r="AZ233" t="s">
        <v>74</v>
      </c>
      <c r="BA233" t="s">
        <v>74</v>
      </c>
      <c r="BB233" t="s">
        <v>74</v>
      </c>
      <c r="BC233" t="s">
        <v>74</v>
      </c>
      <c r="BD233" t="s">
        <v>5022</v>
      </c>
      <c r="BE233" t="s">
        <v>5023</v>
      </c>
      <c r="BF233" t="str">
        <f>HYPERLINK("http://dx.doi.org/10.1029/2020JC016727","http://dx.doi.org/10.1029/2020JC016727")</f>
        <v>http://dx.doi.org/10.1029/2020JC016727</v>
      </c>
      <c r="BG233" t="s">
        <v>74</v>
      </c>
      <c r="BH233" t="s">
        <v>74</v>
      </c>
      <c r="BI233">
        <v>20</v>
      </c>
      <c r="BJ233" t="s">
        <v>369</v>
      </c>
      <c r="BK233" t="s">
        <v>101</v>
      </c>
      <c r="BL233" t="s">
        <v>369</v>
      </c>
      <c r="BM233" t="s">
        <v>4988</v>
      </c>
      <c r="BN233" t="s">
        <v>74</v>
      </c>
      <c r="BO233" t="s">
        <v>398</v>
      </c>
      <c r="BP233" t="s">
        <v>74</v>
      </c>
      <c r="BQ233" t="s">
        <v>74</v>
      </c>
      <c r="BR233" t="s">
        <v>104</v>
      </c>
      <c r="BS233" t="s">
        <v>5024</v>
      </c>
      <c r="BT233" t="str">
        <f>HYPERLINK("https%3A%2F%2Fwww.webofscience.com%2Fwos%2Fwoscc%2Ffull-record%2FWOS:000645019200011","View Full Record in Web of Science")</f>
        <v>View Full Record in Web of Science</v>
      </c>
    </row>
    <row r="234" spans="1:72" x14ac:dyDescent="0.15">
      <c r="A234" t="s">
        <v>72</v>
      </c>
      <c r="B234" t="s">
        <v>5025</v>
      </c>
      <c r="C234" t="s">
        <v>74</v>
      </c>
      <c r="D234" t="s">
        <v>74</v>
      </c>
      <c r="E234" t="s">
        <v>74</v>
      </c>
      <c r="F234" t="s">
        <v>5026</v>
      </c>
      <c r="G234" t="s">
        <v>74</v>
      </c>
      <c r="H234" t="s">
        <v>74</v>
      </c>
      <c r="I234" t="s">
        <v>5027</v>
      </c>
      <c r="J234" t="s">
        <v>4969</v>
      </c>
      <c r="K234" t="s">
        <v>74</v>
      </c>
      <c r="L234" t="s">
        <v>74</v>
      </c>
      <c r="M234" t="s">
        <v>78</v>
      </c>
      <c r="N234" t="s">
        <v>79</v>
      </c>
      <c r="O234" t="s">
        <v>74</v>
      </c>
      <c r="P234" t="s">
        <v>74</v>
      </c>
      <c r="Q234" t="s">
        <v>74</v>
      </c>
      <c r="R234" t="s">
        <v>74</v>
      </c>
      <c r="S234" t="s">
        <v>74</v>
      </c>
      <c r="T234" t="s">
        <v>5028</v>
      </c>
      <c r="U234" t="s">
        <v>5029</v>
      </c>
      <c r="V234" t="s">
        <v>5030</v>
      </c>
      <c r="W234" t="s">
        <v>5031</v>
      </c>
      <c r="X234" t="s">
        <v>5032</v>
      </c>
      <c r="Y234" t="s">
        <v>5033</v>
      </c>
      <c r="Z234" t="s">
        <v>5034</v>
      </c>
      <c r="AA234" t="s">
        <v>5035</v>
      </c>
      <c r="AB234" t="s">
        <v>5036</v>
      </c>
      <c r="AC234" t="s">
        <v>5037</v>
      </c>
      <c r="AD234" t="s">
        <v>5038</v>
      </c>
      <c r="AE234" t="s">
        <v>5039</v>
      </c>
      <c r="AF234" t="s">
        <v>74</v>
      </c>
      <c r="AG234">
        <v>65</v>
      </c>
      <c r="AH234">
        <v>20</v>
      </c>
      <c r="AI234">
        <v>20</v>
      </c>
      <c r="AJ234">
        <v>4</v>
      </c>
      <c r="AK234">
        <v>12</v>
      </c>
      <c r="AL234" t="s">
        <v>917</v>
      </c>
      <c r="AM234" t="s">
        <v>390</v>
      </c>
      <c r="AN234" t="s">
        <v>918</v>
      </c>
      <c r="AO234" t="s">
        <v>4982</v>
      </c>
      <c r="AP234" t="s">
        <v>4983</v>
      </c>
      <c r="AQ234" t="s">
        <v>74</v>
      </c>
      <c r="AR234" t="s">
        <v>4984</v>
      </c>
      <c r="AS234" t="s">
        <v>4985</v>
      </c>
      <c r="AT234" t="s">
        <v>2859</v>
      </c>
      <c r="AU234">
        <v>2021</v>
      </c>
      <c r="AV234">
        <v>126</v>
      </c>
      <c r="AW234">
        <v>4</v>
      </c>
      <c r="AX234" t="s">
        <v>74</v>
      </c>
      <c r="AY234" t="s">
        <v>74</v>
      </c>
      <c r="AZ234" t="s">
        <v>74</v>
      </c>
      <c r="BA234" t="s">
        <v>74</v>
      </c>
      <c r="BB234" t="s">
        <v>74</v>
      </c>
      <c r="BC234" t="s">
        <v>74</v>
      </c>
      <c r="BD234" t="s">
        <v>5040</v>
      </c>
      <c r="BE234" t="s">
        <v>5041</v>
      </c>
      <c r="BF234" t="str">
        <f>HYPERLINK("http://dx.doi.org/10.1029/2020JC016814","http://dx.doi.org/10.1029/2020JC016814")</f>
        <v>http://dx.doi.org/10.1029/2020JC016814</v>
      </c>
      <c r="BG234" t="s">
        <v>74</v>
      </c>
      <c r="BH234" t="s">
        <v>74</v>
      </c>
      <c r="BI234">
        <v>24</v>
      </c>
      <c r="BJ234" t="s">
        <v>369</v>
      </c>
      <c r="BK234" t="s">
        <v>101</v>
      </c>
      <c r="BL234" t="s">
        <v>369</v>
      </c>
      <c r="BM234" t="s">
        <v>4988</v>
      </c>
      <c r="BN234" t="s">
        <v>74</v>
      </c>
      <c r="BO234" t="s">
        <v>663</v>
      </c>
      <c r="BP234" t="s">
        <v>74</v>
      </c>
      <c r="BQ234" t="s">
        <v>74</v>
      </c>
      <c r="BR234" t="s">
        <v>104</v>
      </c>
      <c r="BS234" t="s">
        <v>5042</v>
      </c>
      <c r="BT234" t="str">
        <f>HYPERLINK("https%3A%2F%2Fwww.webofscience.com%2Fwos%2Fwoscc%2Ffull-record%2FWOS:000645019200007","View Full Record in Web of Science")</f>
        <v>View Full Record in Web of Science</v>
      </c>
    </row>
    <row r="235" spans="1:72" x14ac:dyDescent="0.15">
      <c r="A235" t="s">
        <v>72</v>
      </c>
      <c r="B235" t="s">
        <v>5043</v>
      </c>
      <c r="C235" t="s">
        <v>74</v>
      </c>
      <c r="D235" t="s">
        <v>74</v>
      </c>
      <c r="E235" t="s">
        <v>74</v>
      </c>
      <c r="F235" t="s">
        <v>5044</v>
      </c>
      <c r="G235" t="s">
        <v>74</v>
      </c>
      <c r="H235" t="s">
        <v>74</v>
      </c>
      <c r="I235" t="s">
        <v>5045</v>
      </c>
      <c r="J235" t="s">
        <v>4969</v>
      </c>
      <c r="K235" t="s">
        <v>74</v>
      </c>
      <c r="L235" t="s">
        <v>74</v>
      </c>
      <c r="M235" t="s">
        <v>78</v>
      </c>
      <c r="N235" t="s">
        <v>79</v>
      </c>
      <c r="O235" t="s">
        <v>74</v>
      </c>
      <c r="P235" t="s">
        <v>74</v>
      </c>
      <c r="Q235" t="s">
        <v>74</v>
      </c>
      <c r="R235" t="s">
        <v>74</v>
      </c>
      <c r="S235" t="s">
        <v>74</v>
      </c>
      <c r="T235" t="s">
        <v>74</v>
      </c>
      <c r="U235" t="s">
        <v>5046</v>
      </c>
      <c r="V235" t="s">
        <v>5047</v>
      </c>
      <c r="W235" t="s">
        <v>5048</v>
      </c>
      <c r="X235" t="s">
        <v>5049</v>
      </c>
      <c r="Y235" t="s">
        <v>5050</v>
      </c>
      <c r="Z235" t="s">
        <v>5051</v>
      </c>
      <c r="AA235" t="s">
        <v>5052</v>
      </c>
      <c r="AB235" t="s">
        <v>5053</v>
      </c>
      <c r="AC235" t="s">
        <v>5054</v>
      </c>
      <c r="AD235" t="s">
        <v>5055</v>
      </c>
      <c r="AE235" t="s">
        <v>5056</v>
      </c>
      <c r="AF235" t="s">
        <v>74</v>
      </c>
      <c r="AG235">
        <v>53</v>
      </c>
      <c r="AH235">
        <v>6</v>
      </c>
      <c r="AI235">
        <v>6</v>
      </c>
      <c r="AJ235">
        <v>3</v>
      </c>
      <c r="AK235">
        <v>9</v>
      </c>
      <c r="AL235" t="s">
        <v>917</v>
      </c>
      <c r="AM235" t="s">
        <v>390</v>
      </c>
      <c r="AN235" t="s">
        <v>918</v>
      </c>
      <c r="AO235" t="s">
        <v>4982</v>
      </c>
      <c r="AP235" t="s">
        <v>4983</v>
      </c>
      <c r="AQ235" t="s">
        <v>74</v>
      </c>
      <c r="AR235" t="s">
        <v>4984</v>
      </c>
      <c r="AS235" t="s">
        <v>4985</v>
      </c>
      <c r="AT235" t="s">
        <v>2859</v>
      </c>
      <c r="AU235">
        <v>2021</v>
      </c>
      <c r="AV235">
        <v>126</v>
      </c>
      <c r="AW235">
        <v>4</v>
      </c>
      <c r="AX235" t="s">
        <v>74</v>
      </c>
      <c r="AY235" t="s">
        <v>74</v>
      </c>
      <c r="AZ235" t="s">
        <v>74</v>
      </c>
      <c r="BA235" t="s">
        <v>74</v>
      </c>
      <c r="BB235" t="s">
        <v>74</v>
      </c>
      <c r="BC235" t="s">
        <v>74</v>
      </c>
      <c r="BD235" t="s">
        <v>5057</v>
      </c>
      <c r="BE235" t="s">
        <v>5058</v>
      </c>
      <c r="BF235" t="str">
        <f>HYPERLINK("http://dx.doi.org/10.1029/2020JC016920","http://dx.doi.org/10.1029/2020JC016920")</f>
        <v>http://dx.doi.org/10.1029/2020JC016920</v>
      </c>
      <c r="BG235" t="s">
        <v>74</v>
      </c>
      <c r="BH235" t="s">
        <v>74</v>
      </c>
      <c r="BI235">
        <v>15</v>
      </c>
      <c r="BJ235" t="s">
        <v>369</v>
      </c>
      <c r="BK235" t="s">
        <v>101</v>
      </c>
      <c r="BL235" t="s">
        <v>369</v>
      </c>
      <c r="BM235" t="s">
        <v>4988</v>
      </c>
      <c r="BN235" t="s">
        <v>74</v>
      </c>
      <c r="BO235" t="s">
        <v>712</v>
      </c>
      <c r="BP235" t="s">
        <v>74</v>
      </c>
      <c r="BQ235" t="s">
        <v>74</v>
      </c>
      <c r="BR235" t="s">
        <v>104</v>
      </c>
      <c r="BS235" t="s">
        <v>5059</v>
      </c>
      <c r="BT235" t="str">
        <f>HYPERLINK("https%3A%2F%2Fwww.webofscience.com%2Fwos%2Fwoscc%2Ffull-record%2FWOS:000645019200002","View Full Record in Web of Science")</f>
        <v>View Full Record in Web of Science</v>
      </c>
    </row>
    <row r="236" spans="1:72" x14ac:dyDescent="0.15">
      <c r="A236" t="s">
        <v>72</v>
      </c>
      <c r="B236" t="s">
        <v>5060</v>
      </c>
      <c r="C236" t="s">
        <v>74</v>
      </c>
      <c r="D236" t="s">
        <v>74</v>
      </c>
      <c r="E236" t="s">
        <v>74</v>
      </c>
      <c r="F236" t="s">
        <v>5061</v>
      </c>
      <c r="G236" t="s">
        <v>74</v>
      </c>
      <c r="H236" t="s">
        <v>74</v>
      </c>
      <c r="I236" t="s">
        <v>5062</v>
      </c>
      <c r="J236" t="s">
        <v>5063</v>
      </c>
      <c r="K236" t="s">
        <v>74</v>
      </c>
      <c r="L236" t="s">
        <v>74</v>
      </c>
      <c r="M236" t="s">
        <v>78</v>
      </c>
      <c r="N236" t="s">
        <v>1074</v>
      </c>
      <c r="O236" t="s">
        <v>74</v>
      </c>
      <c r="P236" t="s">
        <v>74</v>
      </c>
      <c r="Q236" t="s">
        <v>74</v>
      </c>
      <c r="R236" t="s">
        <v>74</v>
      </c>
      <c r="S236" t="s">
        <v>74</v>
      </c>
      <c r="T236" t="s">
        <v>5064</v>
      </c>
      <c r="U236" t="s">
        <v>5065</v>
      </c>
      <c r="V236" t="s">
        <v>5066</v>
      </c>
      <c r="W236" t="s">
        <v>5067</v>
      </c>
      <c r="X236" t="s">
        <v>5068</v>
      </c>
      <c r="Y236" t="s">
        <v>5069</v>
      </c>
      <c r="Z236" t="s">
        <v>5070</v>
      </c>
      <c r="AA236" t="s">
        <v>5071</v>
      </c>
      <c r="AB236" t="s">
        <v>5072</v>
      </c>
      <c r="AC236" t="s">
        <v>5073</v>
      </c>
      <c r="AD236" t="s">
        <v>5074</v>
      </c>
      <c r="AE236" t="s">
        <v>5075</v>
      </c>
      <c r="AF236" t="s">
        <v>74</v>
      </c>
      <c r="AG236">
        <v>191</v>
      </c>
      <c r="AH236">
        <v>32</v>
      </c>
      <c r="AI236">
        <v>33</v>
      </c>
      <c r="AJ236">
        <v>1</v>
      </c>
      <c r="AK236">
        <v>10</v>
      </c>
      <c r="AL236" t="s">
        <v>917</v>
      </c>
      <c r="AM236" t="s">
        <v>390</v>
      </c>
      <c r="AN236" t="s">
        <v>918</v>
      </c>
      <c r="AO236" t="s">
        <v>74</v>
      </c>
      <c r="AP236" t="s">
        <v>5076</v>
      </c>
      <c r="AQ236" t="s">
        <v>74</v>
      </c>
      <c r="AR236" t="s">
        <v>5077</v>
      </c>
      <c r="AS236" t="s">
        <v>5078</v>
      </c>
      <c r="AT236" t="s">
        <v>2859</v>
      </c>
      <c r="AU236">
        <v>2021</v>
      </c>
      <c r="AV236">
        <v>19</v>
      </c>
      <c r="AW236">
        <v>4</v>
      </c>
      <c r="AX236" t="s">
        <v>74</v>
      </c>
      <c r="AY236" t="s">
        <v>74</v>
      </c>
      <c r="AZ236" t="s">
        <v>74</v>
      </c>
      <c r="BA236" t="s">
        <v>74</v>
      </c>
      <c r="BB236" t="s">
        <v>74</v>
      </c>
      <c r="BC236" t="s">
        <v>74</v>
      </c>
      <c r="BD236" t="s">
        <v>5079</v>
      </c>
      <c r="BE236" t="s">
        <v>5080</v>
      </c>
      <c r="BF236" t="str">
        <f>HYPERLINK("http://dx.doi.org/10.1029/2020SW002593","http://dx.doi.org/10.1029/2020SW002593")</f>
        <v>http://dx.doi.org/10.1029/2020SW002593</v>
      </c>
      <c r="BG236" t="s">
        <v>74</v>
      </c>
      <c r="BH236" t="s">
        <v>74</v>
      </c>
      <c r="BI236">
        <v>32</v>
      </c>
      <c r="BJ236" t="s">
        <v>1119</v>
      </c>
      <c r="BK236" t="s">
        <v>101</v>
      </c>
      <c r="BL236" t="s">
        <v>1119</v>
      </c>
      <c r="BM236" t="s">
        <v>5081</v>
      </c>
      <c r="BN236" t="s">
        <v>74</v>
      </c>
      <c r="BO236" t="s">
        <v>5082</v>
      </c>
      <c r="BP236" t="s">
        <v>74</v>
      </c>
      <c r="BQ236" t="s">
        <v>74</v>
      </c>
      <c r="BR236" t="s">
        <v>104</v>
      </c>
      <c r="BS236" t="s">
        <v>5083</v>
      </c>
      <c r="BT236" t="str">
        <f>HYPERLINK("https%3A%2F%2Fwww.webofscience.com%2Fwos%2Fwoscc%2Ffull-record%2FWOS:000644602700007","View Full Record in Web of Science")</f>
        <v>View Full Record in Web of Science</v>
      </c>
    </row>
    <row r="237" spans="1:72" x14ac:dyDescent="0.15">
      <c r="A237" t="s">
        <v>72</v>
      </c>
      <c r="B237" t="s">
        <v>5084</v>
      </c>
      <c r="C237" t="s">
        <v>74</v>
      </c>
      <c r="D237" t="s">
        <v>74</v>
      </c>
      <c r="E237" t="s">
        <v>74</v>
      </c>
      <c r="F237" t="s">
        <v>5085</v>
      </c>
      <c r="G237" t="s">
        <v>74</v>
      </c>
      <c r="H237" t="s">
        <v>74</v>
      </c>
      <c r="I237" t="s">
        <v>5086</v>
      </c>
      <c r="J237" t="s">
        <v>109</v>
      </c>
      <c r="K237" t="s">
        <v>74</v>
      </c>
      <c r="L237" t="s">
        <v>74</v>
      </c>
      <c r="M237" t="s">
        <v>78</v>
      </c>
      <c r="N237" t="s">
        <v>79</v>
      </c>
      <c r="O237" t="s">
        <v>74</v>
      </c>
      <c r="P237" t="s">
        <v>74</v>
      </c>
      <c r="Q237" t="s">
        <v>74</v>
      </c>
      <c r="R237" t="s">
        <v>74</v>
      </c>
      <c r="S237" t="s">
        <v>74</v>
      </c>
      <c r="T237" t="s">
        <v>5087</v>
      </c>
      <c r="U237" t="s">
        <v>5088</v>
      </c>
      <c r="V237" t="s">
        <v>5089</v>
      </c>
      <c r="W237" t="s">
        <v>5090</v>
      </c>
      <c r="X237" t="s">
        <v>5091</v>
      </c>
      <c r="Y237" t="s">
        <v>5092</v>
      </c>
      <c r="Z237" t="s">
        <v>5093</v>
      </c>
      <c r="AA237" t="s">
        <v>5094</v>
      </c>
      <c r="AB237" t="s">
        <v>5095</v>
      </c>
      <c r="AC237" t="s">
        <v>5096</v>
      </c>
      <c r="AD237" t="s">
        <v>5097</v>
      </c>
      <c r="AE237" t="s">
        <v>5098</v>
      </c>
      <c r="AF237" t="s">
        <v>74</v>
      </c>
      <c r="AG237">
        <v>77</v>
      </c>
      <c r="AH237">
        <v>4</v>
      </c>
      <c r="AI237">
        <v>4</v>
      </c>
      <c r="AJ237">
        <v>1</v>
      </c>
      <c r="AK237">
        <v>9</v>
      </c>
      <c r="AL237" t="s">
        <v>120</v>
      </c>
      <c r="AM237" t="s">
        <v>121</v>
      </c>
      <c r="AN237" t="s">
        <v>363</v>
      </c>
      <c r="AO237" t="s">
        <v>123</v>
      </c>
      <c r="AP237" t="s">
        <v>124</v>
      </c>
      <c r="AQ237" t="s">
        <v>74</v>
      </c>
      <c r="AR237" t="s">
        <v>125</v>
      </c>
      <c r="AS237" t="s">
        <v>126</v>
      </c>
      <c r="AT237" t="s">
        <v>2859</v>
      </c>
      <c r="AU237">
        <v>2021</v>
      </c>
      <c r="AV237">
        <v>34</v>
      </c>
      <c r="AW237">
        <v>7</v>
      </c>
      <c r="AX237" t="s">
        <v>74</v>
      </c>
      <c r="AY237" t="s">
        <v>74</v>
      </c>
      <c r="AZ237" t="s">
        <v>74</v>
      </c>
      <c r="BA237" t="s">
        <v>74</v>
      </c>
      <c r="BB237">
        <v>2473</v>
      </c>
      <c r="BC237">
        <v>2490</v>
      </c>
      <c r="BD237" t="s">
        <v>74</v>
      </c>
      <c r="BE237" t="s">
        <v>5099</v>
      </c>
      <c r="BF237" t="str">
        <f>HYPERLINK("http://dx.doi.org/10.1175/JCLI-D-20-0625.1","http://dx.doi.org/10.1175/JCLI-D-20-0625.1")</f>
        <v>http://dx.doi.org/10.1175/JCLI-D-20-0625.1</v>
      </c>
      <c r="BG237" t="s">
        <v>74</v>
      </c>
      <c r="BH237" t="s">
        <v>74</v>
      </c>
      <c r="BI237">
        <v>18</v>
      </c>
      <c r="BJ237" t="s">
        <v>129</v>
      </c>
      <c r="BK237" t="s">
        <v>101</v>
      </c>
      <c r="BL237" t="s">
        <v>129</v>
      </c>
      <c r="BM237" t="s">
        <v>5100</v>
      </c>
      <c r="BN237" t="s">
        <v>74</v>
      </c>
      <c r="BO237" t="s">
        <v>496</v>
      </c>
      <c r="BP237" t="s">
        <v>74</v>
      </c>
      <c r="BQ237" t="s">
        <v>74</v>
      </c>
      <c r="BR237" t="s">
        <v>104</v>
      </c>
      <c r="BS237" t="s">
        <v>5101</v>
      </c>
      <c r="BT237" t="str">
        <f>HYPERLINK("https%3A%2F%2Fwww.webofscience.com%2Fwos%2Fwoscc%2Ffull-record%2FWOS:000644142700006","View Full Record in Web of Science")</f>
        <v>View Full Record in Web of Science</v>
      </c>
    </row>
    <row r="238" spans="1:72" x14ac:dyDescent="0.15">
      <c r="A238" t="s">
        <v>72</v>
      </c>
      <c r="B238" t="s">
        <v>5102</v>
      </c>
      <c r="C238" t="s">
        <v>74</v>
      </c>
      <c r="D238" t="s">
        <v>74</v>
      </c>
      <c r="E238" t="s">
        <v>74</v>
      </c>
      <c r="F238" t="s">
        <v>5103</v>
      </c>
      <c r="G238" t="s">
        <v>74</v>
      </c>
      <c r="H238" t="s">
        <v>74</v>
      </c>
      <c r="I238" t="s">
        <v>5104</v>
      </c>
      <c r="J238" t="s">
        <v>109</v>
      </c>
      <c r="K238" t="s">
        <v>74</v>
      </c>
      <c r="L238" t="s">
        <v>74</v>
      </c>
      <c r="M238" t="s">
        <v>78</v>
      </c>
      <c r="N238" t="s">
        <v>79</v>
      </c>
      <c r="O238" t="s">
        <v>74</v>
      </c>
      <c r="P238" t="s">
        <v>74</v>
      </c>
      <c r="Q238" t="s">
        <v>74</v>
      </c>
      <c r="R238" t="s">
        <v>74</v>
      </c>
      <c r="S238" t="s">
        <v>74</v>
      </c>
      <c r="T238" t="s">
        <v>5105</v>
      </c>
      <c r="U238" t="s">
        <v>5106</v>
      </c>
      <c r="V238" t="s">
        <v>5107</v>
      </c>
      <c r="W238" t="s">
        <v>5108</v>
      </c>
      <c r="X238" t="s">
        <v>5109</v>
      </c>
      <c r="Y238" t="s">
        <v>5110</v>
      </c>
      <c r="Z238" t="s">
        <v>5111</v>
      </c>
      <c r="AA238" t="s">
        <v>5112</v>
      </c>
      <c r="AB238" t="s">
        <v>5113</v>
      </c>
      <c r="AC238" t="s">
        <v>5114</v>
      </c>
      <c r="AD238" t="s">
        <v>5115</v>
      </c>
      <c r="AE238" t="s">
        <v>5116</v>
      </c>
      <c r="AF238" t="s">
        <v>74</v>
      </c>
      <c r="AG238">
        <v>76</v>
      </c>
      <c r="AH238">
        <v>7</v>
      </c>
      <c r="AI238">
        <v>7</v>
      </c>
      <c r="AJ238">
        <v>1</v>
      </c>
      <c r="AK238">
        <v>3</v>
      </c>
      <c r="AL238" t="s">
        <v>120</v>
      </c>
      <c r="AM238" t="s">
        <v>121</v>
      </c>
      <c r="AN238" t="s">
        <v>363</v>
      </c>
      <c r="AO238" t="s">
        <v>123</v>
      </c>
      <c r="AP238" t="s">
        <v>124</v>
      </c>
      <c r="AQ238" t="s">
        <v>74</v>
      </c>
      <c r="AR238" t="s">
        <v>125</v>
      </c>
      <c r="AS238" t="s">
        <v>126</v>
      </c>
      <c r="AT238" t="s">
        <v>2859</v>
      </c>
      <c r="AU238">
        <v>2021</v>
      </c>
      <c r="AV238">
        <v>34</v>
      </c>
      <c r="AW238">
        <v>7</v>
      </c>
      <c r="AX238" t="s">
        <v>74</v>
      </c>
      <c r="AY238" t="s">
        <v>74</v>
      </c>
      <c r="AZ238" t="s">
        <v>74</v>
      </c>
      <c r="BA238" t="s">
        <v>74</v>
      </c>
      <c r="BB238">
        <v>2491</v>
      </c>
      <c r="BC238">
        <v>2510</v>
      </c>
      <c r="BD238" t="s">
        <v>74</v>
      </c>
      <c r="BE238" t="s">
        <v>5117</v>
      </c>
      <c r="BF238" t="str">
        <f>HYPERLINK("http://dx.doi.org/10.1175/JCLI-D-20-0229.1","http://dx.doi.org/10.1175/JCLI-D-20-0229.1")</f>
        <v>http://dx.doi.org/10.1175/JCLI-D-20-0229.1</v>
      </c>
      <c r="BG238" t="s">
        <v>74</v>
      </c>
      <c r="BH238" t="s">
        <v>74</v>
      </c>
      <c r="BI238">
        <v>20</v>
      </c>
      <c r="BJ238" t="s">
        <v>129</v>
      </c>
      <c r="BK238" t="s">
        <v>101</v>
      </c>
      <c r="BL238" t="s">
        <v>129</v>
      </c>
      <c r="BM238" t="s">
        <v>5100</v>
      </c>
      <c r="BN238" t="s">
        <v>74</v>
      </c>
      <c r="BO238" t="s">
        <v>5118</v>
      </c>
      <c r="BP238" t="s">
        <v>74</v>
      </c>
      <c r="BQ238" t="s">
        <v>74</v>
      </c>
      <c r="BR238" t="s">
        <v>104</v>
      </c>
      <c r="BS238" t="s">
        <v>5119</v>
      </c>
      <c r="BT238" t="str">
        <f>HYPERLINK("https%3A%2F%2Fwww.webofscience.com%2Fwos%2Fwoscc%2Ffull-record%2FWOS:000644142700007","View Full Record in Web of Science")</f>
        <v>View Full Record in Web of Science</v>
      </c>
    </row>
    <row r="239" spans="1:72" x14ac:dyDescent="0.15">
      <c r="A239" t="s">
        <v>72</v>
      </c>
      <c r="B239" t="s">
        <v>5120</v>
      </c>
      <c r="C239" t="s">
        <v>74</v>
      </c>
      <c r="D239" t="s">
        <v>74</v>
      </c>
      <c r="E239" t="s">
        <v>74</v>
      </c>
      <c r="F239" t="s">
        <v>5121</v>
      </c>
      <c r="G239" t="s">
        <v>74</v>
      </c>
      <c r="H239" t="s">
        <v>74</v>
      </c>
      <c r="I239" t="s">
        <v>5122</v>
      </c>
      <c r="J239" t="s">
        <v>109</v>
      </c>
      <c r="K239" t="s">
        <v>74</v>
      </c>
      <c r="L239" t="s">
        <v>74</v>
      </c>
      <c r="M239" t="s">
        <v>78</v>
      </c>
      <c r="N239" t="s">
        <v>79</v>
      </c>
      <c r="O239" t="s">
        <v>74</v>
      </c>
      <c r="P239" t="s">
        <v>74</v>
      </c>
      <c r="Q239" t="s">
        <v>74</v>
      </c>
      <c r="R239" t="s">
        <v>74</v>
      </c>
      <c r="S239" t="s">
        <v>74</v>
      </c>
      <c r="T239" t="s">
        <v>5123</v>
      </c>
      <c r="U239" t="s">
        <v>5124</v>
      </c>
      <c r="V239" t="s">
        <v>5125</v>
      </c>
      <c r="W239" t="s">
        <v>5126</v>
      </c>
      <c r="X239" t="s">
        <v>5127</v>
      </c>
      <c r="Y239" t="s">
        <v>5128</v>
      </c>
      <c r="Z239" t="s">
        <v>5129</v>
      </c>
      <c r="AA239" t="s">
        <v>5130</v>
      </c>
      <c r="AB239" t="s">
        <v>5131</v>
      </c>
      <c r="AC239" t="s">
        <v>5132</v>
      </c>
      <c r="AD239" t="s">
        <v>5133</v>
      </c>
      <c r="AE239" t="s">
        <v>5134</v>
      </c>
      <c r="AF239" t="s">
        <v>74</v>
      </c>
      <c r="AG239">
        <v>82</v>
      </c>
      <c r="AH239">
        <v>16</v>
      </c>
      <c r="AI239">
        <v>17</v>
      </c>
      <c r="AJ239">
        <v>2</v>
      </c>
      <c r="AK239">
        <v>8</v>
      </c>
      <c r="AL239" t="s">
        <v>120</v>
      </c>
      <c r="AM239" t="s">
        <v>121</v>
      </c>
      <c r="AN239" t="s">
        <v>122</v>
      </c>
      <c r="AO239" t="s">
        <v>123</v>
      </c>
      <c r="AP239" t="s">
        <v>124</v>
      </c>
      <c r="AQ239" t="s">
        <v>74</v>
      </c>
      <c r="AR239" t="s">
        <v>125</v>
      </c>
      <c r="AS239" t="s">
        <v>126</v>
      </c>
      <c r="AT239" t="s">
        <v>2859</v>
      </c>
      <c r="AU239">
        <v>2021</v>
      </c>
      <c r="AV239">
        <v>34</v>
      </c>
      <c r="AW239">
        <v>7</v>
      </c>
      <c r="AX239" t="s">
        <v>74</v>
      </c>
      <c r="AY239" t="s">
        <v>74</v>
      </c>
      <c r="AZ239" t="s">
        <v>74</v>
      </c>
      <c r="BA239" t="s">
        <v>74</v>
      </c>
      <c r="BB239">
        <v>2529</v>
      </c>
      <c r="BC239">
        <v>2548</v>
      </c>
      <c r="BD239" t="s">
        <v>74</v>
      </c>
      <c r="BE239" t="s">
        <v>5135</v>
      </c>
      <c r="BF239" t="str">
        <f>HYPERLINK("http://dx.doi.org/10.1175/JCLI-D-20-0069.1","http://dx.doi.org/10.1175/JCLI-D-20-0069.1")</f>
        <v>http://dx.doi.org/10.1175/JCLI-D-20-0069.1</v>
      </c>
      <c r="BG239" t="s">
        <v>74</v>
      </c>
      <c r="BH239" t="s">
        <v>74</v>
      </c>
      <c r="BI239">
        <v>20</v>
      </c>
      <c r="BJ239" t="s">
        <v>129</v>
      </c>
      <c r="BK239" t="s">
        <v>101</v>
      </c>
      <c r="BL239" t="s">
        <v>129</v>
      </c>
      <c r="BM239" t="s">
        <v>5100</v>
      </c>
      <c r="BN239" t="s">
        <v>74</v>
      </c>
      <c r="BO239" t="s">
        <v>496</v>
      </c>
      <c r="BP239" t="s">
        <v>74</v>
      </c>
      <c r="BQ239" t="s">
        <v>74</v>
      </c>
      <c r="BR239" t="s">
        <v>104</v>
      </c>
      <c r="BS239" t="s">
        <v>5136</v>
      </c>
      <c r="BT239" t="str">
        <f>HYPERLINK("https%3A%2F%2Fwww.webofscience.com%2Fwos%2Fwoscc%2Ffull-record%2FWOS:000644142700009","View Full Record in Web of Science")</f>
        <v>View Full Record in Web of Science</v>
      </c>
    </row>
    <row r="240" spans="1:72" x14ac:dyDescent="0.15">
      <c r="A240" t="s">
        <v>72</v>
      </c>
      <c r="B240" t="s">
        <v>5137</v>
      </c>
      <c r="C240" t="s">
        <v>74</v>
      </c>
      <c r="D240" t="s">
        <v>74</v>
      </c>
      <c r="E240" t="s">
        <v>74</v>
      </c>
      <c r="F240" t="s">
        <v>5138</v>
      </c>
      <c r="G240" t="s">
        <v>74</v>
      </c>
      <c r="H240" t="s">
        <v>74</v>
      </c>
      <c r="I240" t="s">
        <v>5139</v>
      </c>
      <c r="J240" t="s">
        <v>109</v>
      </c>
      <c r="K240" t="s">
        <v>74</v>
      </c>
      <c r="L240" t="s">
        <v>74</v>
      </c>
      <c r="M240" t="s">
        <v>78</v>
      </c>
      <c r="N240" t="s">
        <v>79</v>
      </c>
      <c r="O240" t="s">
        <v>74</v>
      </c>
      <c r="P240" t="s">
        <v>74</v>
      </c>
      <c r="Q240" t="s">
        <v>74</v>
      </c>
      <c r="R240" t="s">
        <v>74</v>
      </c>
      <c r="S240" t="s">
        <v>74</v>
      </c>
      <c r="T240" t="s">
        <v>5140</v>
      </c>
      <c r="U240" t="s">
        <v>5141</v>
      </c>
      <c r="V240" t="s">
        <v>5142</v>
      </c>
      <c r="W240" t="s">
        <v>5143</v>
      </c>
      <c r="X240" t="s">
        <v>5144</v>
      </c>
      <c r="Y240" t="s">
        <v>5145</v>
      </c>
      <c r="Z240" t="s">
        <v>5146</v>
      </c>
      <c r="AA240" t="s">
        <v>5147</v>
      </c>
      <c r="AB240" t="s">
        <v>5148</v>
      </c>
      <c r="AC240" t="s">
        <v>5149</v>
      </c>
      <c r="AD240" t="s">
        <v>5150</v>
      </c>
      <c r="AE240" t="s">
        <v>5151</v>
      </c>
      <c r="AF240" t="s">
        <v>74</v>
      </c>
      <c r="AG240">
        <v>72</v>
      </c>
      <c r="AH240">
        <v>8</v>
      </c>
      <c r="AI240">
        <v>9</v>
      </c>
      <c r="AJ240">
        <v>2</v>
      </c>
      <c r="AK240">
        <v>12</v>
      </c>
      <c r="AL240" t="s">
        <v>120</v>
      </c>
      <c r="AM240" t="s">
        <v>121</v>
      </c>
      <c r="AN240" t="s">
        <v>363</v>
      </c>
      <c r="AO240" t="s">
        <v>123</v>
      </c>
      <c r="AP240" t="s">
        <v>124</v>
      </c>
      <c r="AQ240" t="s">
        <v>74</v>
      </c>
      <c r="AR240" t="s">
        <v>125</v>
      </c>
      <c r="AS240" t="s">
        <v>126</v>
      </c>
      <c r="AT240" t="s">
        <v>2859</v>
      </c>
      <c r="AU240">
        <v>2021</v>
      </c>
      <c r="AV240">
        <v>34</v>
      </c>
      <c r="AW240">
        <v>7</v>
      </c>
      <c r="AX240" t="s">
        <v>74</v>
      </c>
      <c r="AY240" t="s">
        <v>74</v>
      </c>
      <c r="AZ240" t="s">
        <v>74</v>
      </c>
      <c r="BA240" t="s">
        <v>74</v>
      </c>
      <c r="BB240">
        <v>2549</v>
      </c>
      <c r="BC240">
        <v>2565</v>
      </c>
      <c r="BD240" t="s">
        <v>74</v>
      </c>
      <c r="BE240" t="s">
        <v>5152</v>
      </c>
      <c r="BF240" t="str">
        <f>HYPERLINK("http://dx.doi.org/10.1175/JCLI-D-20-0216.1","http://dx.doi.org/10.1175/JCLI-D-20-0216.1")</f>
        <v>http://dx.doi.org/10.1175/JCLI-D-20-0216.1</v>
      </c>
      <c r="BG240" t="s">
        <v>74</v>
      </c>
      <c r="BH240" t="s">
        <v>74</v>
      </c>
      <c r="BI240">
        <v>17</v>
      </c>
      <c r="BJ240" t="s">
        <v>129</v>
      </c>
      <c r="BK240" t="s">
        <v>101</v>
      </c>
      <c r="BL240" t="s">
        <v>129</v>
      </c>
      <c r="BM240" t="s">
        <v>5100</v>
      </c>
      <c r="BN240" t="s">
        <v>74</v>
      </c>
      <c r="BO240" t="s">
        <v>148</v>
      </c>
      <c r="BP240" t="s">
        <v>74</v>
      </c>
      <c r="BQ240" t="s">
        <v>74</v>
      </c>
      <c r="BR240" t="s">
        <v>104</v>
      </c>
      <c r="BS240" t="s">
        <v>5153</v>
      </c>
      <c r="BT240" t="str">
        <f>HYPERLINK("https%3A%2F%2Fwww.webofscience.com%2Fwos%2Fwoscc%2Ffull-record%2FWOS:000644142700010","View Full Record in Web of Science")</f>
        <v>View Full Record in Web of Science</v>
      </c>
    </row>
    <row r="241" spans="1:72" x14ac:dyDescent="0.15">
      <c r="A241" t="s">
        <v>72</v>
      </c>
      <c r="B241" t="s">
        <v>5154</v>
      </c>
      <c r="C241" t="s">
        <v>74</v>
      </c>
      <c r="D241" t="s">
        <v>74</v>
      </c>
      <c r="E241" t="s">
        <v>74</v>
      </c>
      <c r="F241" t="s">
        <v>5155</v>
      </c>
      <c r="G241" t="s">
        <v>74</v>
      </c>
      <c r="H241" t="s">
        <v>74</v>
      </c>
      <c r="I241" t="s">
        <v>5156</v>
      </c>
      <c r="J241" t="s">
        <v>109</v>
      </c>
      <c r="K241" t="s">
        <v>74</v>
      </c>
      <c r="L241" t="s">
        <v>74</v>
      </c>
      <c r="M241" t="s">
        <v>78</v>
      </c>
      <c r="N241" t="s">
        <v>79</v>
      </c>
      <c r="O241" t="s">
        <v>74</v>
      </c>
      <c r="P241" t="s">
        <v>74</v>
      </c>
      <c r="Q241" t="s">
        <v>74</v>
      </c>
      <c r="R241" t="s">
        <v>74</v>
      </c>
      <c r="S241" t="s">
        <v>74</v>
      </c>
      <c r="T241" t="s">
        <v>5157</v>
      </c>
      <c r="U241" t="s">
        <v>5158</v>
      </c>
      <c r="V241" t="s">
        <v>5159</v>
      </c>
      <c r="W241" t="s">
        <v>5160</v>
      </c>
      <c r="X241" t="s">
        <v>2407</v>
      </c>
      <c r="Y241" t="s">
        <v>5161</v>
      </c>
      <c r="Z241" t="s">
        <v>5162</v>
      </c>
      <c r="AA241" t="s">
        <v>5163</v>
      </c>
      <c r="AB241" t="s">
        <v>5164</v>
      </c>
      <c r="AC241" t="s">
        <v>5165</v>
      </c>
      <c r="AD241" t="s">
        <v>5166</v>
      </c>
      <c r="AE241" t="s">
        <v>74</v>
      </c>
      <c r="AF241" t="s">
        <v>74</v>
      </c>
      <c r="AG241">
        <v>53</v>
      </c>
      <c r="AH241">
        <v>44</v>
      </c>
      <c r="AI241">
        <v>46</v>
      </c>
      <c r="AJ241">
        <v>7</v>
      </c>
      <c r="AK241">
        <v>54</v>
      </c>
      <c r="AL241" t="s">
        <v>120</v>
      </c>
      <c r="AM241" t="s">
        <v>121</v>
      </c>
      <c r="AN241" t="s">
        <v>122</v>
      </c>
      <c r="AO241" t="s">
        <v>123</v>
      </c>
      <c r="AP241" t="s">
        <v>124</v>
      </c>
      <c r="AQ241" t="s">
        <v>74</v>
      </c>
      <c r="AR241" t="s">
        <v>125</v>
      </c>
      <c r="AS241" t="s">
        <v>126</v>
      </c>
      <c r="AT241" t="s">
        <v>2859</v>
      </c>
      <c r="AU241">
        <v>2021</v>
      </c>
      <c r="AV241">
        <v>34</v>
      </c>
      <c r="AW241">
        <v>7</v>
      </c>
      <c r="AX241" t="s">
        <v>74</v>
      </c>
      <c r="AY241" t="s">
        <v>74</v>
      </c>
      <c r="AZ241" t="s">
        <v>74</v>
      </c>
      <c r="BA241" t="s">
        <v>74</v>
      </c>
      <c r="BB241">
        <v>2653</v>
      </c>
      <c r="BC241">
        <v>2668</v>
      </c>
      <c r="BD241" t="s">
        <v>74</v>
      </c>
      <c r="BE241" t="s">
        <v>5167</v>
      </c>
      <c r="BF241" t="str">
        <f>HYPERLINK("http://dx.doi.org/10.1175/JCLI-D-20-0538.1","http://dx.doi.org/10.1175/JCLI-D-20-0538.1")</f>
        <v>http://dx.doi.org/10.1175/JCLI-D-20-0538.1</v>
      </c>
      <c r="BG241" t="s">
        <v>74</v>
      </c>
      <c r="BH241" t="s">
        <v>74</v>
      </c>
      <c r="BI241">
        <v>16</v>
      </c>
      <c r="BJ241" t="s">
        <v>129</v>
      </c>
      <c r="BK241" t="s">
        <v>101</v>
      </c>
      <c r="BL241" t="s">
        <v>129</v>
      </c>
      <c r="BM241" t="s">
        <v>5100</v>
      </c>
      <c r="BN241" t="s">
        <v>74</v>
      </c>
      <c r="BO241" t="s">
        <v>1095</v>
      </c>
      <c r="BP241" t="s">
        <v>74</v>
      </c>
      <c r="BQ241" t="s">
        <v>74</v>
      </c>
      <c r="BR241" t="s">
        <v>104</v>
      </c>
      <c r="BS241" t="s">
        <v>5168</v>
      </c>
      <c r="BT241" t="str">
        <f>HYPERLINK("https%3A%2F%2Fwww.webofscience.com%2Fwos%2Fwoscc%2Ffull-record%2FWOS:000644142700015","View Full Record in Web of Science")</f>
        <v>View Full Record in Web of Science</v>
      </c>
    </row>
    <row r="242" spans="1:72" x14ac:dyDescent="0.15">
      <c r="A242" t="s">
        <v>72</v>
      </c>
      <c r="B242" t="s">
        <v>5169</v>
      </c>
      <c r="C242" t="s">
        <v>74</v>
      </c>
      <c r="D242" t="s">
        <v>74</v>
      </c>
      <c r="E242" t="s">
        <v>74</v>
      </c>
      <c r="F242" t="s">
        <v>5170</v>
      </c>
      <c r="G242" t="s">
        <v>74</v>
      </c>
      <c r="H242" t="s">
        <v>74</v>
      </c>
      <c r="I242" t="s">
        <v>5171</v>
      </c>
      <c r="J242" t="s">
        <v>109</v>
      </c>
      <c r="K242" t="s">
        <v>74</v>
      </c>
      <c r="L242" t="s">
        <v>74</v>
      </c>
      <c r="M242" t="s">
        <v>78</v>
      </c>
      <c r="N242" t="s">
        <v>1074</v>
      </c>
      <c r="O242" t="s">
        <v>74</v>
      </c>
      <c r="P242" t="s">
        <v>74</v>
      </c>
      <c r="Q242" t="s">
        <v>74</v>
      </c>
      <c r="R242" t="s">
        <v>74</v>
      </c>
      <c r="S242" t="s">
        <v>74</v>
      </c>
      <c r="T242" t="s">
        <v>5172</v>
      </c>
      <c r="U242" t="s">
        <v>5173</v>
      </c>
      <c r="V242" t="s">
        <v>5174</v>
      </c>
      <c r="W242" t="s">
        <v>5175</v>
      </c>
      <c r="X242" t="s">
        <v>5176</v>
      </c>
      <c r="Y242" t="s">
        <v>5177</v>
      </c>
      <c r="Z242" t="s">
        <v>5178</v>
      </c>
      <c r="AA242" t="s">
        <v>5179</v>
      </c>
      <c r="AB242" t="s">
        <v>5180</v>
      </c>
      <c r="AC242" t="s">
        <v>5181</v>
      </c>
      <c r="AD242" t="s">
        <v>5182</v>
      </c>
      <c r="AE242" t="s">
        <v>5183</v>
      </c>
      <c r="AF242" t="s">
        <v>74</v>
      </c>
      <c r="AG242">
        <v>267</v>
      </c>
      <c r="AH242">
        <v>21</v>
      </c>
      <c r="AI242">
        <v>22</v>
      </c>
      <c r="AJ242">
        <v>12</v>
      </c>
      <c r="AK242">
        <v>37</v>
      </c>
      <c r="AL242" t="s">
        <v>120</v>
      </c>
      <c r="AM242" t="s">
        <v>121</v>
      </c>
      <c r="AN242" t="s">
        <v>363</v>
      </c>
      <c r="AO242" t="s">
        <v>123</v>
      </c>
      <c r="AP242" t="s">
        <v>124</v>
      </c>
      <c r="AQ242" t="s">
        <v>74</v>
      </c>
      <c r="AR242" t="s">
        <v>125</v>
      </c>
      <c r="AS242" t="s">
        <v>126</v>
      </c>
      <c r="AT242" t="s">
        <v>2859</v>
      </c>
      <c r="AU242">
        <v>2021</v>
      </c>
      <c r="AV242">
        <v>34</v>
      </c>
      <c r="AW242">
        <v>8</v>
      </c>
      <c r="AX242" t="s">
        <v>74</v>
      </c>
      <c r="AY242" t="s">
        <v>74</v>
      </c>
      <c r="AZ242" t="s">
        <v>74</v>
      </c>
      <c r="BA242" t="s">
        <v>74</v>
      </c>
      <c r="BB242">
        <v>2813</v>
      </c>
      <c r="BC242">
        <v>2838</v>
      </c>
      <c r="BD242" t="s">
        <v>74</v>
      </c>
      <c r="BE242" t="s">
        <v>5184</v>
      </c>
      <c r="BF242" t="str">
        <f>HYPERLINK("http://dx.doi.org/10.1175/JCLI-D-20-0385.1","http://dx.doi.org/10.1175/JCLI-D-20-0385.1")</f>
        <v>http://dx.doi.org/10.1175/JCLI-D-20-0385.1</v>
      </c>
      <c r="BG242" t="s">
        <v>74</v>
      </c>
      <c r="BH242" t="s">
        <v>74</v>
      </c>
      <c r="BI242">
        <v>26</v>
      </c>
      <c r="BJ242" t="s">
        <v>129</v>
      </c>
      <c r="BK242" t="s">
        <v>101</v>
      </c>
      <c r="BL242" t="s">
        <v>129</v>
      </c>
      <c r="BM242" t="s">
        <v>5185</v>
      </c>
      <c r="BN242" t="s">
        <v>74</v>
      </c>
      <c r="BO242" t="s">
        <v>3052</v>
      </c>
      <c r="BP242" t="s">
        <v>74</v>
      </c>
      <c r="BQ242" t="s">
        <v>74</v>
      </c>
      <c r="BR242" t="s">
        <v>104</v>
      </c>
      <c r="BS242" t="s">
        <v>5186</v>
      </c>
      <c r="BT242" t="str">
        <f>HYPERLINK("https%3A%2F%2Fwww.webofscience.com%2Fwos%2Fwoscc%2Ffull-record%2FWOS:000644147200001","View Full Record in Web of Science")</f>
        <v>View Full Record in Web of Science</v>
      </c>
    </row>
    <row r="243" spans="1:72" x14ac:dyDescent="0.15">
      <c r="A243" t="s">
        <v>72</v>
      </c>
      <c r="B243" t="s">
        <v>5187</v>
      </c>
      <c r="C243" t="s">
        <v>74</v>
      </c>
      <c r="D243" t="s">
        <v>74</v>
      </c>
      <c r="E243" t="s">
        <v>74</v>
      </c>
      <c r="F243" t="s">
        <v>5188</v>
      </c>
      <c r="G243" t="s">
        <v>74</v>
      </c>
      <c r="H243" t="s">
        <v>74</v>
      </c>
      <c r="I243" t="s">
        <v>5189</v>
      </c>
      <c r="J243" t="s">
        <v>109</v>
      </c>
      <c r="K243" t="s">
        <v>74</v>
      </c>
      <c r="L243" t="s">
        <v>74</v>
      </c>
      <c r="M243" t="s">
        <v>78</v>
      </c>
      <c r="N243" t="s">
        <v>79</v>
      </c>
      <c r="O243" t="s">
        <v>74</v>
      </c>
      <c r="P243" t="s">
        <v>74</v>
      </c>
      <c r="Q243" t="s">
        <v>74</v>
      </c>
      <c r="R243" t="s">
        <v>74</v>
      </c>
      <c r="S243" t="s">
        <v>74</v>
      </c>
      <c r="T243" t="s">
        <v>5190</v>
      </c>
      <c r="U243" t="s">
        <v>5191</v>
      </c>
      <c r="V243" t="s">
        <v>5192</v>
      </c>
      <c r="W243" t="s">
        <v>5193</v>
      </c>
      <c r="X243" t="s">
        <v>5194</v>
      </c>
      <c r="Y243" t="s">
        <v>5195</v>
      </c>
      <c r="Z243" t="s">
        <v>5196</v>
      </c>
      <c r="AA243" t="s">
        <v>74</v>
      </c>
      <c r="AB243" t="s">
        <v>74</v>
      </c>
      <c r="AC243" t="s">
        <v>5197</v>
      </c>
      <c r="AD243" t="s">
        <v>5198</v>
      </c>
      <c r="AE243" t="s">
        <v>5199</v>
      </c>
      <c r="AF243" t="s">
        <v>74</v>
      </c>
      <c r="AG243">
        <v>51</v>
      </c>
      <c r="AH243">
        <v>5</v>
      </c>
      <c r="AI243">
        <v>5</v>
      </c>
      <c r="AJ243">
        <v>0</v>
      </c>
      <c r="AK243">
        <v>15</v>
      </c>
      <c r="AL243" t="s">
        <v>120</v>
      </c>
      <c r="AM243" t="s">
        <v>121</v>
      </c>
      <c r="AN243" t="s">
        <v>122</v>
      </c>
      <c r="AO243" t="s">
        <v>123</v>
      </c>
      <c r="AP243" t="s">
        <v>124</v>
      </c>
      <c r="AQ243" t="s">
        <v>74</v>
      </c>
      <c r="AR243" t="s">
        <v>125</v>
      </c>
      <c r="AS243" t="s">
        <v>126</v>
      </c>
      <c r="AT243" t="s">
        <v>2859</v>
      </c>
      <c r="AU243">
        <v>2021</v>
      </c>
      <c r="AV243">
        <v>34</v>
      </c>
      <c r="AW243">
        <v>8</v>
      </c>
      <c r="AX243" t="s">
        <v>74</v>
      </c>
      <c r="AY243" t="s">
        <v>74</v>
      </c>
      <c r="AZ243" t="s">
        <v>74</v>
      </c>
      <c r="BA243" t="s">
        <v>74</v>
      </c>
      <c r="BB243">
        <v>2941</v>
      </c>
      <c r="BC243">
        <v>2956</v>
      </c>
      <c r="BD243" t="s">
        <v>74</v>
      </c>
      <c r="BE243" t="s">
        <v>5200</v>
      </c>
      <c r="BF243" t="str">
        <f>HYPERLINK("http://dx.doi.org/10.1175/JCLI-D-20-0058.1","http://dx.doi.org/10.1175/JCLI-D-20-0058.1")</f>
        <v>http://dx.doi.org/10.1175/JCLI-D-20-0058.1</v>
      </c>
      <c r="BG243" t="s">
        <v>74</v>
      </c>
      <c r="BH243" t="s">
        <v>74</v>
      </c>
      <c r="BI243">
        <v>16</v>
      </c>
      <c r="BJ243" t="s">
        <v>129</v>
      </c>
      <c r="BK243" t="s">
        <v>101</v>
      </c>
      <c r="BL243" t="s">
        <v>129</v>
      </c>
      <c r="BM243" t="s">
        <v>5185</v>
      </c>
      <c r="BN243" t="s">
        <v>74</v>
      </c>
      <c r="BO243" t="s">
        <v>3052</v>
      </c>
      <c r="BP243" t="s">
        <v>74</v>
      </c>
      <c r="BQ243" t="s">
        <v>74</v>
      </c>
      <c r="BR243" t="s">
        <v>104</v>
      </c>
      <c r="BS243" t="s">
        <v>5201</v>
      </c>
      <c r="BT243" t="str">
        <f>HYPERLINK("https%3A%2F%2Fwww.webofscience.com%2Fwos%2Fwoscc%2Ffull-record%2FWOS:000644147200008","View Full Record in Web of Science")</f>
        <v>View Full Record in Web of Science</v>
      </c>
    </row>
    <row r="244" spans="1:72" x14ac:dyDescent="0.15">
      <c r="A244" t="s">
        <v>72</v>
      </c>
      <c r="B244" t="s">
        <v>5202</v>
      </c>
      <c r="C244" t="s">
        <v>74</v>
      </c>
      <c r="D244" t="s">
        <v>74</v>
      </c>
      <c r="E244" t="s">
        <v>74</v>
      </c>
      <c r="F244" t="s">
        <v>5203</v>
      </c>
      <c r="G244" t="s">
        <v>74</v>
      </c>
      <c r="H244" t="s">
        <v>74</v>
      </c>
      <c r="I244" t="s">
        <v>5204</v>
      </c>
      <c r="J244" t="s">
        <v>5205</v>
      </c>
      <c r="K244" t="s">
        <v>74</v>
      </c>
      <c r="L244" t="s">
        <v>74</v>
      </c>
      <c r="M244" t="s">
        <v>78</v>
      </c>
      <c r="N244" t="s">
        <v>79</v>
      </c>
      <c r="O244" t="s">
        <v>74</v>
      </c>
      <c r="P244" t="s">
        <v>74</v>
      </c>
      <c r="Q244" t="s">
        <v>74</v>
      </c>
      <c r="R244" t="s">
        <v>74</v>
      </c>
      <c r="S244" t="s">
        <v>74</v>
      </c>
      <c r="T244" t="s">
        <v>5206</v>
      </c>
      <c r="U244" t="s">
        <v>5207</v>
      </c>
      <c r="V244" t="s">
        <v>5208</v>
      </c>
      <c r="W244" t="s">
        <v>5209</v>
      </c>
      <c r="X244" t="s">
        <v>5210</v>
      </c>
      <c r="Y244" t="s">
        <v>5211</v>
      </c>
      <c r="Z244" t="s">
        <v>5212</v>
      </c>
      <c r="AA244" t="s">
        <v>5213</v>
      </c>
      <c r="AB244" t="s">
        <v>74</v>
      </c>
      <c r="AC244" t="s">
        <v>5214</v>
      </c>
      <c r="AD244" t="s">
        <v>5215</v>
      </c>
      <c r="AE244" t="s">
        <v>5216</v>
      </c>
      <c r="AF244" t="s">
        <v>74</v>
      </c>
      <c r="AG244">
        <v>59</v>
      </c>
      <c r="AH244">
        <v>2</v>
      </c>
      <c r="AI244">
        <v>2</v>
      </c>
      <c r="AJ244">
        <v>0</v>
      </c>
      <c r="AK244">
        <v>4</v>
      </c>
      <c r="AL244" t="s">
        <v>120</v>
      </c>
      <c r="AM244" t="s">
        <v>121</v>
      </c>
      <c r="AN244" t="s">
        <v>122</v>
      </c>
      <c r="AO244" t="s">
        <v>5217</v>
      </c>
      <c r="AP244" t="s">
        <v>5218</v>
      </c>
      <c r="AQ244" t="s">
        <v>74</v>
      </c>
      <c r="AR244" t="s">
        <v>5219</v>
      </c>
      <c r="AS244" t="s">
        <v>5220</v>
      </c>
      <c r="AT244" t="s">
        <v>2859</v>
      </c>
      <c r="AU244">
        <v>2021</v>
      </c>
      <c r="AV244">
        <v>22</v>
      </c>
      <c r="AW244">
        <v>4</v>
      </c>
      <c r="AX244" t="s">
        <v>74</v>
      </c>
      <c r="AY244" t="s">
        <v>74</v>
      </c>
      <c r="AZ244" t="s">
        <v>74</v>
      </c>
      <c r="BA244" t="s">
        <v>74</v>
      </c>
      <c r="BB244">
        <v>795</v>
      </c>
      <c r="BC244">
        <v>811</v>
      </c>
      <c r="BD244" t="s">
        <v>74</v>
      </c>
      <c r="BE244" t="s">
        <v>5221</v>
      </c>
      <c r="BF244" t="str">
        <f>HYPERLINK("http://dx.doi.org/10.1175/JHM-D-20-0206.1","http://dx.doi.org/10.1175/JHM-D-20-0206.1")</f>
        <v>http://dx.doi.org/10.1175/JHM-D-20-0206.1</v>
      </c>
      <c r="BG244" t="s">
        <v>74</v>
      </c>
      <c r="BH244" t="s">
        <v>74</v>
      </c>
      <c r="BI244">
        <v>17</v>
      </c>
      <c r="BJ244" t="s">
        <v>129</v>
      </c>
      <c r="BK244" t="s">
        <v>101</v>
      </c>
      <c r="BL244" t="s">
        <v>129</v>
      </c>
      <c r="BM244" t="s">
        <v>5222</v>
      </c>
      <c r="BN244" t="s">
        <v>74</v>
      </c>
      <c r="BO244" t="s">
        <v>5082</v>
      </c>
      <c r="BP244" t="s">
        <v>74</v>
      </c>
      <c r="BQ244" t="s">
        <v>74</v>
      </c>
      <c r="BR244" t="s">
        <v>104</v>
      </c>
      <c r="BS244" t="s">
        <v>5223</v>
      </c>
      <c r="BT244" t="str">
        <f>HYPERLINK("https%3A%2F%2Fwww.webofscience.com%2Fwos%2Fwoscc%2Ffull-record%2FWOS:000644214500004","View Full Record in Web of Science")</f>
        <v>View Full Record in Web of Science</v>
      </c>
    </row>
    <row r="245" spans="1:72" x14ac:dyDescent="0.15">
      <c r="A245" t="s">
        <v>72</v>
      </c>
      <c r="B245" t="s">
        <v>5224</v>
      </c>
      <c r="C245" t="s">
        <v>74</v>
      </c>
      <c r="D245" t="s">
        <v>74</v>
      </c>
      <c r="E245" t="s">
        <v>74</v>
      </c>
      <c r="F245" t="s">
        <v>5225</v>
      </c>
      <c r="G245" t="s">
        <v>74</v>
      </c>
      <c r="H245" t="s">
        <v>74</v>
      </c>
      <c r="I245" t="s">
        <v>5226</v>
      </c>
      <c r="J245" t="s">
        <v>425</v>
      </c>
      <c r="K245" t="s">
        <v>74</v>
      </c>
      <c r="L245" t="s">
        <v>74</v>
      </c>
      <c r="M245" t="s">
        <v>78</v>
      </c>
      <c r="N245" t="s">
        <v>79</v>
      </c>
      <c r="O245" t="s">
        <v>74</v>
      </c>
      <c r="P245" t="s">
        <v>74</v>
      </c>
      <c r="Q245" t="s">
        <v>74</v>
      </c>
      <c r="R245" t="s">
        <v>74</v>
      </c>
      <c r="S245" t="s">
        <v>74</v>
      </c>
      <c r="T245" t="s">
        <v>5227</v>
      </c>
      <c r="U245" t="s">
        <v>5228</v>
      </c>
      <c r="V245" t="s">
        <v>5229</v>
      </c>
      <c r="W245" t="s">
        <v>5230</v>
      </c>
      <c r="X245" t="s">
        <v>5231</v>
      </c>
      <c r="Y245" t="s">
        <v>5232</v>
      </c>
      <c r="Z245" t="s">
        <v>5233</v>
      </c>
      <c r="AA245" t="s">
        <v>5234</v>
      </c>
      <c r="AB245" t="s">
        <v>5235</v>
      </c>
      <c r="AC245" t="s">
        <v>5236</v>
      </c>
      <c r="AD245" t="s">
        <v>5237</v>
      </c>
      <c r="AE245" t="s">
        <v>5238</v>
      </c>
      <c r="AF245" t="s">
        <v>74</v>
      </c>
      <c r="AG245">
        <v>72</v>
      </c>
      <c r="AH245">
        <v>4</v>
      </c>
      <c r="AI245">
        <v>4</v>
      </c>
      <c r="AJ245">
        <v>2</v>
      </c>
      <c r="AK245">
        <v>11</v>
      </c>
      <c r="AL245" t="s">
        <v>335</v>
      </c>
      <c r="AM245" t="s">
        <v>336</v>
      </c>
      <c r="AN245" t="s">
        <v>337</v>
      </c>
      <c r="AO245" t="s">
        <v>74</v>
      </c>
      <c r="AP245" t="s">
        <v>438</v>
      </c>
      <c r="AQ245" t="s">
        <v>74</v>
      </c>
      <c r="AR245" t="s">
        <v>439</v>
      </c>
      <c r="AS245" t="s">
        <v>440</v>
      </c>
      <c r="AT245" t="s">
        <v>2859</v>
      </c>
      <c r="AU245">
        <v>2021</v>
      </c>
      <c r="AV245">
        <v>13</v>
      </c>
      <c r="AW245">
        <v>8</v>
      </c>
      <c r="AX245" t="s">
        <v>74</v>
      </c>
      <c r="AY245" t="s">
        <v>74</v>
      </c>
      <c r="AZ245" t="s">
        <v>74</v>
      </c>
      <c r="BA245" t="s">
        <v>74</v>
      </c>
      <c r="BB245" t="s">
        <v>74</v>
      </c>
      <c r="BC245" t="s">
        <v>74</v>
      </c>
      <c r="BD245">
        <v>1594</v>
      </c>
      <c r="BE245" t="s">
        <v>5239</v>
      </c>
      <c r="BF245" t="str">
        <f>HYPERLINK("http://dx.doi.org/10.3390/rs13081594","http://dx.doi.org/10.3390/rs13081594")</f>
        <v>http://dx.doi.org/10.3390/rs13081594</v>
      </c>
      <c r="BG245" t="s">
        <v>74</v>
      </c>
      <c r="BH245" t="s">
        <v>74</v>
      </c>
      <c r="BI245">
        <v>19</v>
      </c>
      <c r="BJ245" t="s">
        <v>442</v>
      </c>
      <c r="BK245" t="s">
        <v>101</v>
      </c>
      <c r="BL245" t="s">
        <v>443</v>
      </c>
      <c r="BM245" t="s">
        <v>5240</v>
      </c>
      <c r="BN245" t="s">
        <v>74</v>
      </c>
      <c r="BO245" t="s">
        <v>317</v>
      </c>
      <c r="BP245" t="s">
        <v>74</v>
      </c>
      <c r="BQ245" t="s">
        <v>74</v>
      </c>
      <c r="BR245" t="s">
        <v>104</v>
      </c>
      <c r="BS245" t="s">
        <v>5241</v>
      </c>
      <c r="BT245" t="str">
        <f>HYPERLINK("https%3A%2F%2Fwww.webofscience.com%2Fwos%2Fwoscc%2Ffull-record%2FWOS:000644685400001","View Full Record in Web of Science")</f>
        <v>View Full Record in Web of Science</v>
      </c>
    </row>
    <row r="246" spans="1:72" x14ac:dyDescent="0.15">
      <c r="A246" t="s">
        <v>72</v>
      </c>
      <c r="B246" t="s">
        <v>5242</v>
      </c>
      <c r="C246" t="s">
        <v>74</v>
      </c>
      <c r="D246" t="s">
        <v>74</v>
      </c>
      <c r="E246" t="s">
        <v>74</v>
      </c>
      <c r="F246" t="s">
        <v>5243</v>
      </c>
      <c r="G246" t="s">
        <v>74</v>
      </c>
      <c r="H246" t="s">
        <v>74</v>
      </c>
      <c r="I246" t="s">
        <v>5244</v>
      </c>
      <c r="J246" t="s">
        <v>4202</v>
      </c>
      <c r="K246" t="s">
        <v>74</v>
      </c>
      <c r="L246" t="s">
        <v>74</v>
      </c>
      <c r="M246" t="s">
        <v>78</v>
      </c>
      <c r="N246" t="s">
        <v>1799</v>
      </c>
      <c r="O246" t="s">
        <v>74</v>
      </c>
      <c r="P246" t="s">
        <v>74</v>
      </c>
      <c r="Q246" t="s">
        <v>74</v>
      </c>
      <c r="R246" t="s">
        <v>74</v>
      </c>
      <c r="S246" t="s">
        <v>74</v>
      </c>
      <c r="T246" t="s">
        <v>74</v>
      </c>
      <c r="U246" t="s">
        <v>74</v>
      </c>
      <c r="V246" t="s">
        <v>74</v>
      </c>
      <c r="W246" t="s">
        <v>74</v>
      </c>
      <c r="X246" t="s">
        <v>74</v>
      </c>
      <c r="Y246" t="s">
        <v>74</v>
      </c>
      <c r="Z246" t="s">
        <v>74</v>
      </c>
      <c r="AA246" t="s">
        <v>5245</v>
      </c>
      <c r="AB246" t="s">
        <v>2716</v>
      </c>
      <c r="AC246" t="s">
        <v>74</v>
      </c>
      <c r="AD246" t="s">
        <v>74</v>
      </c>
      <c r="AE246" t="s">
        <v>74</v>
      </c>
      <c r="AF246" t="s">
        <v>74</v>
      </c>
      <c r="AG246">
        <v>0</v>
      </c>
      <c r="AH246">
        <v>0</v>
      </c>
      <c r="AI246">
        <v>0</v>
      </c>
      <c r="AJ246">
        <v>0</v>
      </c>
      <c r="AK246">
        <v>3</v>
      </c>
      <c r="AL246" t="s">
        <v>625</v>
      </c>
      <c r="AM246" t="s">
        <v>167</v>
      </c>
      <c r="AN246" t="s">
        <v>626</v>
      </c>
      <c r="AO246" t="s">
        <v>4213</v>
      </c>
      <c r="AP246" t="s">
        <v>4214</v>
      </c>
      <c r="AQ246" t="s">
        <v>74</v>
      </c>
      <c r="AR246" t="s">
        <v>4215</v>
      </c>
      <c r="AS246" t="s">
        <v>4216</v>
      </c>
      <c r="AT246" t="s">
        <v>2859</v>
      </c>
      <c r="AU246">
        <v>2021</v>
      </c>
      <c r="AV246">
        <v>33</v>
      </c>
      <c r="AW246">
        <v>2</v>
      </c>
      <c r="AX246" t="s">
        <v>74</v>
      </c>
      <c r="AY246" t="s">
        <v>74</v>
      </c>
      <c r="AZ246" t="s">
        <v>74</v>
      </c>
      <c r="BA246" t="s">
        <v>74</v>
      </c>
      <c r="BB246">
        <v>117</v>
      </c>
      <c r="BC246">
        <v>117</v>
      </c>
      <c r="BD246" t="s">
        <v>5246</v>
      </c>
      <c r="BE246" t="s">
        <v>5247</v>
      </c>
      <c r="BF246" t="str">
        <f>HYPERLINK("http://dx.doi.org/10.1017/S0954102021000134","http://dx.doi.org/10.1017/S0954102021000134")</f>
        <v>http://dx.doi.org/10.1017/S0954102021000134</v>
      </c>
      <c r="BG246" t="s">
        <v>74</v>
      </c>
      <c r="BH246" t="s">
        <v>74</v>
      </c>
      <c r="BI246">
        <v>1</v>
      </c>
      <c r="BJ246" t="s">
        <v>4219</v>
      </c>
      <c r="BK246" t="s">
        <v>101</v>
      </c>
      <c r="BL246" t="s">
        <v>4220</v>
      </c>
      <c r="BM246" t="s">
        <v>4221</v>
      </c>
      <c r="BN246" t="s">
        <v>74</v>
      </c>
      <c r="BO246" t="s">
        <v>148</v>
      </c>
      <c r="BP246" t="s">
        <v>74</v>
      </c>
      <c r="BQ246" t="s">
        <v>74</v>
      </c>
      <c r="BR246" t="s">
        <v>104</v>
      </c>
      <c r="BS246" t="s">
        <v>5248</v>
      </c>
      <c r="BT246" t="str">
        <f>HYPERLINK("https%3A%2F%2Fwww.webofscience.com%2Fwos%2Fwoscc%2Ffull-record%2FWOS:000648921000001","View Full Record in Web of Science")</f>
        <v>View Full Record in Web of Science</v>
      </c>
    </row>
    <row r="247" spans="1:72" x14ac:dyDescent="0.15">
      <c r="A247" t="s">
        <v>72</v>
      </c>
      <c r="B247" t="s">
        <v>5249</v>
      </c>
      <c r="C247" t="s">
        <v>74</v>
      </c>
      <c r="D247" t="s">
        <v>74</v>
      </c>
      <c r="E247" t="s">
        <v>74</v>
      </c>
      <c r="F247" t="s">
        <v>5250</v>
      </c>
      <c r="G247" t="s">
        <v>74</v>
      </c>
      <c r="H247" t="s">
        <v>74</v>
      </c>
      <c r="I247" t="s">
        <v>5251</v>
      </c>
      <c r="J247" t="s">
        <v>4202</v>
      </c>
      <c r="K247" t="s">
        <v>74</v>
      </c>
      <c r="L247" t="s">
        <v>74</v>
      </c>
      <c r="M247" t="s">
        <v>78</v>
      </c>
      <c r="N247" t="s">
        <v>79</v>
      </c>
      <c r="O247" t="s">
        <v>74</v>
      </c>
      <c r="P247" t="s">
        <v>74</v>
      </c>
      <c r="Q247" t="s">
        <v>74</v>
      </c>
      <c r="R247" t="s">
        <v>74</v>
      </c>
      <c r="S247" t="s">
        <v>74</v>
      </c>
      <c r="T247" t="s">
        <v>5252</v>
      </c>
      <c r="U247" t="s">
        <v>74</v>
      </c>
      <c r="V247" t="s">
        <v>5253</v>
      </c>
      <c r="W247" t="s">
        <v>5254</v>
      </c>
      <c r="X247" t="s">
        <v>5255</v>
      </c>
      <c r="Y247" t="s">
        <v>5256</v>
      </c>
      <c r="Z247" t="s">
        <v>5257</v>
      </c>
      <c r="AA247" t="s">
        <v>5258</v>
      </c>
      <c r="AB247" t="s">
        <v>5259</v>
      </c>
      <c r="AC247" t="s">
        <v>5260</v>
      </c>
      <c r="AD247" t="s">
        <v>5261</v>
      </c>
      <c r="AE247" t="s">
        <v>5262</v>
      </c>
      <c r="AF247" t="s">
        <v>74</v>
      </c>
      <c r="AG247">
        <v>36</v>
      </c>
      <c r="AH247">
        <v>4</v>
      </c>
      <c r="AI247">
        <v>4</v>
      </c>
      <c r="AJ247">
        <v>2</v>
      </c>
      <c r="AK247">
        <v>14</v>
      </c>
      <c r="AL247" t="s">
        <v>625</v>
      </c>
      <c r="AM247" t="s">
        <v>167</v>
      </c>
      <c r="AN247" t="s">
        <v>626</v>
      </c>
      <c r="AO247" t="s">
        <v>4213</v>
      </c>
      <c r="AP247" t="s">
        <v>4214</v>
      </c>
      <c r="AQ247" t="s">
        <v>74</v>
      </c>
      <c r="AR247" t="s">
        <v>4215</v>
      </c>
      <c r="AS247" t="s">
        <v>4216</v>
      </c>
      <c r="AT247" t="s">
        <v>2859</v>
      </c>
      <c r="AU247">
        <v>2021</v>
      </c>
      <c r="AV247">
        <v>33</v>
      </c>
      <c r="AW247">
        <v>2</v>
      </c>
      <c r="AX247" t="s">
        <v>74</v>
      </c>
      <c r="AY247" t="s">
        <v>74</v>
      </c>
      <c r="AZ247" t="s">
        <v>74</v>
      </c>
      <c r="BA247" t="s">
        <v>74</v>
      </c>
      <c r="BB247">
        <v>118</v>
      </c>
      <c r="BC247">
        <v>132</v>
      </c>
      <c r="BD247" t="s">
        <v>5263</v>
      </c>
      <c r="BE247" t="s">
        <v>5264</v>
      </c>
      <c r="BF247" t="str">
        <f>HYPERLINK("http://dx.doi.org/10.1017/S0954102020000620","http://dx.doi.org/10.1017/S0954102020000620")</f>
        <v>http://dx.doi.org/10.1017/S0954102020000620</v>
      </c>
      <c r="BG247" t="s">
        <v>74</v>
      </c>
      <c r="BH247" t="s">
        <v>74</v>
      </c>
      <c r="BI247">
        <v>15</v>
      </c>
      <c r="BJ247" t="s">
        <v>4219</v>
      </c>
      <c r="BK247" t="s">
        <v>101</v>
      </c>
      <c r="BL247" t="s">
        <v>4220</v>
      </c>
      <c r="BM247" t="s">
        <v>4221</v>
      </c>
      <c r="BN247" t="s">
        <v>74</v>
      </c>
      <c r="BO247" t="s">
        <v>496</v>
      </c>
      <c r="BP247" t="s">
        <v>74</v>
      </c>
      <c r="BQ247" t="s">
        <v>74</v>
      </c>
      <c r="BR247" t="s">
        <v>104</v>
      </c>
      <c r="BS247" t="s">
        <v>5265</v>
      </c>
      <c r="BT247" t="str">
        <f>HYPERLINK("https%3A%2F%2Fwww.webofscience.com%2Fwos%2Fwoscc%2Ffull-record%2FWOS:000648921000002","View Full Record in Web of Science")</f>
        <v>View Full Record in Web of Science</v>
      </c>
    </row>
    <row r="248" spans="1:72" x14ac:dyDescent="0.15">
      <c r="A248" t="s">
        <v>72</v>
      </c>
      <c r="B248" t="s">
        <v>5266</v>
      </c>
      <c r="C248" t="s">
        <v>74</v>
      </c>
      <c r="D248" t="s">
        <v>74</v>
      </c>
      <c r="E248" t="s">
        <v>74</v>
      </c>
      <c r="F248" t="s">
        <v>5267</v>
      </c>
      <c r="G248" t="s">
        <v>74</v>
      </c>
      <c r="H248" t="s">
        <v>74</v>
      </c>
      <c r="I248" t="s">
        <v>5268</v>
      </c>
      <c r="J248" t="s">
        <v>4202</v>
      </c>
      <c r="K248" t="s">
        <v>74</v>
      </c>
      <c r="L248" t="s">
        <v>74</v>
      </c>
      <c r="M248" t="s">
        <v>78</v>
      </c>
      <c r="N248" t="s">
        <v>79</v>
      </c>
      <c r="O248" t="s">
        <v>74</v>
      </c>
      <c r="P248" t="s">
        <v>74</v>
      </c>
      <c r="Q248" t="s">
        <v>74</v>
      </c>
      <c r="R248" t="s">
        <v>74</v>
      </c>
      <c r="S248" t="s">
        <v>74</v>
      </c>
      <c r="T248" t="s">
        <v>5269</v>
      </c>
      <c r="U248" t="s">
        <v>74</v>
      </c>
      <c r="V248" t="s">
        <v>5270</v>
      </c>
      <c r="W248" t="s">
        <v>5271</v>
      </c>
      <c r="X248" t="s">
        <v>5272</v>
      </c>
      <c r="Y248" t="s">
        <v>5273</v>
      </c>
      <c r="Z248" t="s">
        <v>5274</v>
      </c>
      <c r="AA248" t="s">
        <v>5275</v>
      </c>
      <c r="AB248" t="s">
        <v>5276</v>
      </c>
      <c r="AC248" t="s">
        <v>5277</v>
      </c>
      <c r="AD248" t="s">
        <v>5278</v>
      </c>
      <c r="AE248" t="s">
        <v>5279</v>
      </c>
      <c r="AF248" t="s">
        <v>74</v>
      </c>
      <c r="AG248">
        <v>47</v>
      </c>
      <c r="AH248">
        <v>5</v>
      </c>
      <c r="AI248">
        <v>5</v>
      </c>
      <c r="AJ248">
        <v>1</v>
      </c>
      <c r="AK248">
        <v>10</v>
      </c>
      <c r="AL248" t="s">
        <v>625</v>
      </c>
      <c r="AM248" t="s">
        <v>167</v>
      </c>
      <c r="AN248" t="s">
        <v>626</v>
      </c>
      <c r="AO248" t="s">
        <v>4213</v>
      </c>
      <c r="AP248" t="s">
        <v>4214</v>
      </c>
      <c r="AQ248" t="s">
        <v>74</v>
      </c>
      <c r="AR248" t="s">
        <v>4215</v>
      </c>
      <c r="AS248" t="s">
        <v>4216</v>
      </c>
      <c r="AT248" t="s">
        <v>2859</v>
      </c>
      <c r="AU248">
        <v>2021</v>
      </c>
      <c r="AV248">
        <v>33</v>
      </c>
      <c r="AW248">
        <v>2</v>
      </c>
      <c r="AX248" t="s">
        <v>74</v>
      </c>
      <c r="AY248" t="s">
        <v>74</v>
      </c>
      <c r="AZ248" t="s">
        <v>74</v>
      </c>
      <c r="BA248" t="s">
        <v>74</v>
      </c>
      <c r="BB248">
        <v>150</v>
      </c>
      <c r="BC248">
        <v>164</v>
      </c>
      <c r="BD248" t="s">
        <v>5280</v>
      </c>
      <c r="BE248" t="s">
        <v>5281</v>
      </c>
      <c r="BF248" t="str">
        <f>HYPERLINK("http://dx.doi.org/10.1017/S0954102020000504","http://dx.doi.org/10.1017/S0954102020000504")</f>
        <v>http://dx.doi.org/10.1017/S0954102020000504</v>
      </c>
      <c r="BG248" t="s">
        <v>74</v>
      </c>
      <c r="BH248" t="s">
        <v>74</v>
      </c>
      <c r="BI248">
        <v>15</v>
      </c>
      <c r="BJ248" t="s">
        <v>4219</v>
      </c>
      <c r="BK248" t="s">
        <v>101</v>
      </c>
      <c r="BL248" t="s">
        <v>4220</v>
      </c>
      <c r="BM248" t="s">
        <v>4221</v>
      </c>
      <c r="BN248" t="s">
        <v>74</v>
      </c>
      <c r="BO248" t="s">
        <v>74</v>
      </c>
      <c r="BP248" t="s">
        <v>74</v>
      </c>
      <c r="BQ248" t="s">
        <v>74</v>
      </c>
      <c r="BR248" t="s">
        <v>104</v>
      </c>
      <c r="BS248" t="s">
        <v>5282</v>
      </c>
      <c r="BT248" t="str">
        <f>HYPERLINK("https%3A%2F%2Fwww.webofscience.com%2Fwos%2Fwoscc%2Ffull-record%2FWOS:000648921000004","View Full Record in Web of Science")</f>
        <v>View Full Record in Web of Science</v>
      </c>
    </row>
    <row r="249" spans="1:72" x14ac:dyDescent="0.15">
      <c r="A249" t="s">
        <v>72</v>
      </c>
      <c r="B249" t="s">
        <v>5283</v>
      </c>
      <c r="C249" t="s">
        <v>74</v>
      </c>
      <c r="D249" t="s">
        <v>74</v>
      </c>
      <c r="E249" t="s">
        <v>74</v>
      </c>
      <c r="F249" t="s">
        <v>5284</v>
      </c>
      <c r="G249" t="s">
        <v>74</v>
      </c>
      <c r="H249" t="s">
        <v>74</v>
      </c>
      <c r="I249" t="s">
        <v>5285</v>
      </c>
      <c r="J249" t="s">
        <v>4202</v>
      </c>
      <c r="K249" t="s">
        <v>74</v>
      </c>
      <c r="L249" t="s">
        <v>74</v>
      </c>
      <c r="M249" t="s">
        <v>78</v>
      </c>
      <c r="N249" t="s">
        <v>79</v>
      </c>
      <c r="O249" t="s">
        <v>74</v>
      </c>
      <c r="P249" t="s">
        <v>74</v>
      </c>
      <c r="Q249" t="s">
        <v>74</v>
      </c>
      <c r="R249" t="s">
        <v>74</v>
      </c>
      <c r="S249" t="s">
        <v>74</v>
      </c>
      <c r="T249" t="s">
        <v>5286</v>
      </c>
      <c r="U249" t="s">
        <v>5287</v>
      </c>
      <c r="V249" t="s">
        <v>5288</v>
      </c>
      <c r="W249" t="s">
        <v>5289</v>
      </c>
      <c r="X249" t="s">
        <v>2407</v>
      </c>
      <c r="Y249" t="s">
        <v>5290</v>
      </c>
      <c r="Z249" t="s">
        <v>5291</v>
      </c>
      <c r="AA249" t="s">
        <v>74</v>
      </c>
      <c r="AB249" t="s">
        <v>74</v>
      </c>
      <c r="AC249" t="s">
        <v>5292</v>
      </c>
      <c r="AD249" t="s">
        <v>5293</v>
      </c>
      <c r="AE249" t="s">
        <v>5294</v>
      </c>
      <c r="AF249" t="s">
        <v>74</v>
      </c>
      <c r="AG249">
        <v>31</v>
      </c>
      <c r="AH249">
        <v>4</v>
      </c>
      <c r="AI249">
        <v>4</v>
      </c>
      <c r="AJ249">
        <v>0</v>
      </c>
      <c r="AK249">
        <v>12</v>
      </c>
      <c r="AL249" t="s">
        <v>625</v>
      </c>
      <c r="AM249" t="s">
        <v>167</v>
      </c>
      <c r="AN249" t="s">
        <v>626</v>
      </c>
      <c r="AO249" t="s">
        <v>4213</v>
      </c>
      <c r="AP249" t="s">
        <v>4214</v>
      </c>
      <c r="AQ249" t="s">
        <v>74</v>
      </c>
      <c r="AR249" t="s">
        <v>4215</v>
      </c>
      <c r="AS249" t="s">
        <v>4216</v>
      </c>
      <c r="AT249" t="s">
        <v>2859</v>
      </c>
      <c r="AU249">
        <v>2021</v>
      </c>
      <c r="AV249">
        <v>33</v>
      </c>
      <c r="AW249">
        <v>2</v>
      </c>
      <c r="AX249" t="s">
        <v>74</v>
      </c>
      <c r="AY249" t="s">
        <v>74</v>
      </c>
      <c r="AZ249" t="s">
        <v>74</v>
      </c>
      <c r="BA249" t="s">
        <v>74</v>
      </c>
      <c r="BB249">
        <v>165</v>
      </c>
      <c r="BC249">
        <v>173</v>
      </c>
      <c r="BD249" t="s">
        <v>5295</v>
      </c>
      <c r="BE249" t="s">
        <v>5296</v>
      </c>
      <c r="BF249" t="str">
        <f>HYPERLINK("http://dx.doi.org/10.1017/S0954102020000528","http://dx.doi.org/10.1017/S0954102020000528")</f>
        <v>http://dx.doi.org/10.1017/S0954102020000528</v>
      </c>
      <c r="BG249" t="s">
        <v>74</v>
      </c>
      <c r="BH249" t="s">
        <v>74</v>
      </c>
      <c r="BI249">
        <v>9</v>
      </c>
      <c r="BJ249" t="s">
        <v>4219</v>
      </c>
      <c r="BK249" t="s">
        <v>101</v>
      </c>
      <c r="BL249" t="s">
        <v>4220</v>
      </c>
      <c r="BM249" t="s">
        <v>4221</v>
      </c>
      <c r="BN249" t="s">
        <v>74</v>
      </c>
      <c r="BO249" t="s">
        <v>74</v>
      </c>
      <c r="BP249" t="s">
        <v>74</v>
      </c>
      <c r="BQ249" t="s">
        <v>74</v>
      </c>
      <c r="BR249" t="s">
        <v>104</v>
      </c>
      <c r="BS249" t="s">
        <v>5297</v>
      </c>
      <c r="BT249" t="str">
        <f>HYPERLINK("https%3A%2F%2Fwww.webofscience.com%2Fwos%2Fwoscc%2Ffull-record%2FWOS:000648921000005","View Full Record in Web of Science")</f>
        <v>View Full Record in Web of Science</v>
      </c>
    </row>
    <row r="250" spans="1:72" x14ac:dyDescent="0.15">
      <c r="A250" t="s">
        <v>72</v>
      </c>
      <c r="B250" t="s">
        <v>5298</v>
      </c>
      <c r="C250" t="s">
        <v>74</v>
      </c>
      <c r="D250" t="s">
        <v>74</v>
      </c>
      <c r="E250" t="s">
        <v>74</v>
      </c>
      <c r="F250" t="s">
        <v>5299</v>
      </c>
      <c r="G250" t="s">
        <v>74</v>
      </c>
      <c r="H250" t="s">
        <v>74</v>
      </c>
      <c r="I250" t="s">
        <v>5300</v>
      </c>
      <c r="J250" t="s">
        <v>4202</v>
      </c>
      <c r="K250" t="s">
        <v>74</v>
      </c>
      <c r="L250" t="s">
        <v>74</v>
      </c>
      <c r="M250" t="s">
        <v>78</v>
      </c>
      <c r="N250" t="s">
        <v>79</v>
      </c>
      <c r="O250" t="s">
        <v>74</v>
      </c>
      <c r="P250" t="s">
        <v>74</v>
      </c>
      <c r="Q250" t="s">
        <v>74</v>
      </c>
      <c r="R250" t="s">
        <v>74</v>
      </c>
      <c r="S250" t="s">
        <v>74</v>
      </c>
      <c r="T250" t="s">
        <v>5301</v>
      </c>
      <c r="U250" t="s">
        <v>74</v>
      </c>
      <c r="V250" t="s">
        <v>5302</v>
      </c>
      <c r="W250" t="s">
        <v>5303</v>
      </c>
      <c r="X250" t="s">
        <v>5304</v>
      </c>
      <c r="Y250" t="s">
        <v>5305</v>
      </c>
      <c r="Z250" t="s">
        <v>5306</v>
      </c>
      <c r="AA250" t="s">
        <v>5307</v>
      </c>
      <c r="AB250" t="s">
        <v>5308</v>
      </c>
      <c r="AC250" t="s">
        <v>5309</v>
      </c>
      <c r="AD250" t="s">
        <v>5310</v>
      </c>
      <c r="AE250" t="s">
        <v>5311</v>
      </c>
      <c r="AF250" t="s">
        <v>74</v>
      </c>
      <c r="AG250">
        <v>46</v>
      </c>
      <c r="AH250">
        <v>6</v>
      </c>
      <c r="AI250">
        <v>6</v>
      </c>
      <c r="AJ250">
        <v>0</v>
      </c>
      <c r="AK250">
        <v>5</v>
      </c>
      <c r="AL250" t="s">
        <v>625</v>
      </c>
      <c r="AM250" t="s">
        <v>167</v>
      </c>
      <c r="AN250" t="s">
        <v>626</v>
      </c>
      <c r="AO250" t="s">
        <v>4213</v>
      </c>
      <c r="AP250" t="s">
        <v>4214</v>
      </c>
      <c r="AQ250" t="s">
        <v>74</v>
      </c>
      <c r="AR250" t="s">
        <v>4215</v>
      </c>
      <c r="AS250" t="s">
        <v>4216</v>
      </c>
      <c r="AT250" t="s">
        <v>2859</v>
      </c>
      <c r="AU250">
        <v>2021</v>
      </c>
      <c r="AV250">
        <v>33</v>
      </c>
      <c r="AW250">
        <v>2</v>
      </c>
      <c r="AX250" t="s">
        <v>74</v>
      </c>
      <c r="AY250" t="s">
        <v>74</v>
      </c>
      <c r="AZ250" t="s">
        <v>74</v>
      </c>
      <c r="BA250" t="s">
        <v>74</v>
      </c>
      <c r="BB250">
        <v>174</v>
      </c>
      <c r="BC250">
        <v>188</v>
      </c>
      <c r="BD250" t="s">
        <v>5312</v>
      </c>
      <c r="BE250" t="s">
        <v>5313</v>
      </c>
      <c r="BF250" t="str">
        <f>HYPERLINK("http://dx.doi.org/10.1017/S0954102020000619","http://dx.doi.org/10.1017/S0954102020000619")</f>
        <v>http://dx.doi.org/10.1017/S0954102020000619</v>
      </c>
      <c r="BG250" t="s">
        <v>74</v>
      </c>
      <c r="BH250" t="s">
        <v>74</v>
      </c>
      <c r="BI250">
        <v>15</v>
      </c>
      <c r="BJ250" t="s">
        <v>4219</v>
      </c>
      <c r="BK250" t="s">
        <v>101</v>
      </c>
      <c r="BL250" t="s">
        <v>4220</v>
      </c>
      <c r="BM250" t="s">
        <v>4221</v>
      </c>
      <c r="BN250" t="s">
        <v>74</v>
      </c>
      <c r="BO250" t="s">
        <v>74</v>
      </c>
      <c r="BP250" t="s">
        <v>74</v>
      </c>
      <c r="BQ250" t="s">
        <v>74</v>
      </c>
      <c r="BR250" t="s">
        <v>104</v>
      </c>
      <c r="BS250" t="s">
        <v>5314</v>
      </c>
      <c r="BT250" t="str">
        <f>HYPERLINK("https%3A%2F%2Fwww.webofscience.com%2Fwos%2Fwoscc%2Ffull-record%2FWOS:000648921000006","View Full Record in Web of Science")</f>
        <v>View Full Record in Web of Science</v>
      </c>
    </row>
    <row r="251" spans="1:72" x14ac:dyDescent="0.15">
      <c r="A251" t="s">
        <v>72</v>
      </c>
      <c r="B251" t="s">
        <v>5298</v>
      </c>
      <c r="C251" t="s">
        <v>74</v>
      </c>
      <c r="D251" t="s">
        <v>74</v>
      </c>
      <c r="E251" t="s">
        <v>74</v>
      </c>
      <c r="F251" t="s">
        <v>5315</v>
      </c>
      <c r="G251" t="s">
        <v>74</v>
      </c>
      <c r="H251" t="s">
        <v>74</v>
      </c>
      <c r="I251" t="s">
        <v>5316</v>
      </c>
      <c r="J251" t="s">
        <v>4202</v>
      </c>
      <c r="K251" t="s">
        <v>74</v>
      </c>
      <c r="L251" t="s">
        <v>74</v>
      </c>
      <c r="M251" t="s">
        <v>78</v>
      </c>
      <c r="N251" t="s">
        <v>3616</v>
      </c>
      <c r="O251" t="s">
        <v>74</v>
      </c>
      <c r="P251" t="s">
        <v>74</v>
      </c>
      <c r="Q251" t="s">
        <v>74</v>
      </c>
      <c r="R251" t="s">
        <v>74</v>
      </c>
      <c r="S251" t="s">
        <v>74</v>
      </c>
      <c r="T251" t="s">
        <v>5317</v>
      </c>
      <c r="U251" t="s">
        <v>74</v>
      </c>
      <c r="V251" t="s">
        <v>74</v>
      </c>
      <c r="W251" t="s">
        <v>74</v>
      </c>
      <c r="X251" t="s">
        <v>74</v>
      </c>
      <c r="Y251" t="s">
        <v>74</v>
      </c>
      <c r="Z251" t="s">
        <v>74</v>
      </c>
      <c r="AA251" t="s">
        <v>74</v>
      </c>
      <c r="AB251" t="s">
        <v>74</v>
      </c>
      <c r="AC251" t="s">
        <v>74</v>
      </c>
      <c r="AD251" t="s">
        <v>74</v>
      </c>
      <c r="AE251" t="s">
        <v>74</v>
      </c>
      <c r="AF251" t="s">
        <v>74</v>
      </c>
      <c r="AG251">
        <v>1</v>
      </c>
      <c r="AH251">
        <v>0</v>
      </c>
      <c r="AI251">
        <v>0</v>
      </c>
      <c r="AJ251">
        <v>0</v>
      </c>
      <c r="AK251">
        <v>2</v>
      </c>
      <c r="AL251" t="s">
        <v>625</v>
      </c>
      <c r="AM251" t="s">
        <v>167</v>
      </c>
      <c r="AN251" t="s">
        <v>626</v>
      </c>
      <c r="AO251" t="s">
        <v>4213</v>
      </c>
      <c r="AP251" t="s">
        <v>4214</v>
      </c>
      <c r="AQ251" t="s">
        <v>74</v>
      </c>
      <c r="AR251" t="s">
        <v>4215</v>
      </c>
      <c r="AS251" t="s">
        <v>4216</v>
      </c>
      <c r="AT251" t="s">
        <v>2859</v>
      </c>
      <c r="AU251">
        <v>2021</v>
      </c>
      <c r="AV251">
        <v>33</v>
      </c>
      <c r="AW251">
        <v>2</v>
      </c>
      <c r="AX251" t="s">
        <v>74</v>
      </c>
      <c r="AY251" t="s">
        <v>74</v>
      </c>
      <c r="AZ251" t="s">
        <v>74</v>
      </c>
      <c r="BA251" t="s">
        <v>74</v>
      </c>
      <c r="BB251">
        <v>189</v>
      </c>
      <c r="BC251">
        <v>191</v>
      </c>
      <c r="BD251" t="s">
        <v>5318</v>
      </c>
      <c r="BE251" t="s">
        <v>5319</v>
      </c>
      <c r="BF251" t="str">
        <f>HYPERLINK("http://dx.doi.org/10.1017/S095410202100002X","http://dx.doi.org/10.1017/S095410202100002X")</f>
        <v>http://dx.doi.org/10.1017/S095410202100002X</v>
      </c>
      <c r="BG251" t="s">
        <v>74</v>
      </c>
      <c r="BH251" t="s">
        <v>74</v>
      </c>
      <c r="BI251">
        <v>3</v>
      </c>
      <c r="BJ251" t="s">
        <v>4219</v>
      </c>
      <c r="BK251" t="s">
        <v>101</v>
      </c>
      <c r="BL251" t="s">
        <v>4220</v>
      </c>
      <c r="BM251" t="s">
        <v>4221</v>
      </c>
      <c r="BN251" t="s">
        <v>74</v>
      </c>
      <c r="BO251" t="s">
        <v>148</v>
      </c>
      <c r="BP251" t="s">
        <v>74</v>
      </c>
      <c r="BQ251" t="s">
        <v>74</v>
      </c>
      <c r="BR251" t="s">
        <v>104</v>
      </c>
      <c r="BS251" t="s">
        <v>5320</v>
      </c>
      <c r="BT251" t="str">
        <f>HYPERLINK("https%3A%2F%2Fwww.webofscience.com%2Fwos%2Fwoscc%2Ffull-record%2FWOS:000648921000007","View Full Record in Web of Science")</f>
        <v>View Full Record in Web of Science</v>
      </c>
    </row>
    <row r="252" spans="1:72" x14ac:dyDescent="0.15">
      <c r="A252" t="s">
        <v>72</v>
      </c>
      <c r="B252" t="s">
        <v>5321</v>
      </c>
      <c r="C252" t="s">
        <v>74</v>
      </c>
      <c r="D252" t="s">
        <v>74</v>
      </c>
      <c r="E252" t="s">
        <v>74</v>
      </c>
      <c r="F252" t="s">
        <v>5322</v>
      </c>
      <c r="G252" t="s">
        <v>74</v>
      </c>
      <c r="H252" t="s">
        <v>74</v>
      </c>
      <c r="I252" t="s">
        <v>5323</v>
      </c>
      <c r="J252" t="s">
        <v>4202</v>
      </c>
      <c r="K252" t="s">
        <v>74</v>
      </c>
      <c r="L252" t="s">
        <v>74</v>
      </c>
      <c r="M252" t="s">
        <v>78</v>
      </c>
      <c r="N252" t="s">
        <v>79</v>
      </c>
      <c r="O252" t="s">
        <v>74</v>
      </c>
      <c r="P252" t="s">
        <v>74</v>
      </c>
      <c r="Q252" t="s">
        <v>74</v>
      </c>
      <c r="R252" t="s">
        <v>74</v>
      </c>
      <c r="S252" t="s">
        <v>74</v>
      </c>
      <c r="T252" t="s">
        <v>5324</v>
      </c>
      <c r="U252" t="s">
        <v>5325</v>
      </c>
      <c r="V252" t="s">
        <v>5326</v>
      </c>
      <c r="W252" t="s">
        <v>5327</v>
      </c>
      <c r="X252" t="s">
        <v>5328</v>
      </c>
      <c r="Y252" t="s">
        <v>5329</v>
      </c>
      <c r="Z252" t="s">
        <v>5330</v>
      </c>
      <c r="AA252" t="s">
        <v>5245</v>
      </c>
      <c r="AB252" t="s">
        <v>5331</v>
      </c>
      <c r="AC252" t="s">
        <v>5332</v>
      </c>
      <c r="AD252" t="s">
        <v>5333</v>
      </c>
      <c r="AE252" t="s">
        <v>5334</v>
      </c>
      <c r="AF252" t="s">
        <v>74</v>
      </c>
      <c r="AG252">
        <v>59</v>
      </c>
      <c r="AH252">
        <v>5</v>
      </c>
      <c r="AI252">
        <v>5</v>
      </c>
      <c r="AJ252">
        <v>3</v>
      </c>
      <c r="AK252">
        <v>13</v>
      </c>
      <c r="AL252" t="s">
        <v>625</v>
      </c>
      <c r="AM252" t="s">
        <v>167</v>
      </c>
      <c r="AN252" t="s">
        <v>626</v>
      </c>
      <c r="AO252" t="s">
        <v>4213</v>
      </c>
      <c r="AP252" t="s">
        <v>4214</v>
      </c>
      <c r="AQ252" t="s">
        <v>74</v>
      </c>
      <c r="AR252" t="s">
        <v>4215</v>
      </c>
      <c r="AS252" t="s">
        <v>4216</v>
      </c>
      <c r="AT252" t="s">
        <v>2859</v>
      </c>
      <c r="AU252">
        <v>2021</v>
      </c>
      <c r="AV252">
        <v>33</v>
      </c>
      <c r="AW252">
        <v>2</v>
      </c>
      <c r="AX252" t="s">
        <v>74</v>
      </c>
      <c r="AY252" t="s">
        <v>74</v>
      </c>
      <c r="AZ252" t="s">
        <v>74</v>
      </c>
      <c r="BA252" t="s">
        <v>74</v>
      </c>
      <c r="BB252">
        <v>192</v>
      </c>
      <c r="BC252">
        <v>212</v>
      </c>
      <c r="BD252" t="s">
        <v>5335</v>
      </c>
      <c r="BE252" t="s">
        <v>5336</v>
      </c>
      <c r="BF252" t="str">
        <f>HYPERLINK("http://dx.doi.org/10.1017/S0954102020000607","http://dx.doi.org/10.1017/S0954102020000607")</f>
        <v>http://dx.doi.org/10.1017/S0954102020000607</v>
      </c>
      <c r="BG252" t="s">
        <v>74</v>
      </c>
      <c r="BH252" t="s">
        <v>74</v>
      </c>
      <c r="BI252">
        <v>21</v>
      </c>
      <c r="BJ252" t="s">
        <v>4219</v>
      </c>
      <c r="BK252" t="s">
        <v>101</v>
      </c>
      <c r="BL252" t="s">
        <v>4220</v>
      </c>
      <c r="BM252" t="s">
        <v>4221</v>
      </c>
      <c r="BN252" t="s">
        <v>74</v>
      </c>
      <c r="BO252" t="s">
        <v>74</v>
      </c>
      <c r="BP252" t="s">
        <v>74</v>
      </c>
      <c r="BQ252" t="s">
        <v>74</v>
      </c>
      <c r="BR252" t="s">
        <v>104</v>
      </c>
      <c r="BS252" t="s">
        <v>5337</v>
      </c>
      <c r="BT252" t="str">
        <f>HYPERLINK("https%3A%2F%2Fwww.webofscience.com%2Fwos%2Fwoscc%2Ffull-record%2FWOS:000648921000008","View Full Record in Web of Science")</f>
        <v>View Full Record in Web of Science</v>
      </c>
    </row>
    <row r="253" spans="1:72" x14ac:dyDescent="0.15">
      <c r="A253" t="s">
        <v>72</v>
      </c>
      <c r="B253" t="s">
        <v>5338</v>
      </c>
      <c r="C253" t="s">
        <v>74</v>
      </c>
      <c r="D253" t="s">
        <v>74</v>
      </c>
      <c r="E253" t="s">
        <v>74</v>
      </c>
      <c r="F253" t="s">
        <v>5339</v>
      </c>
      <c r="G253" t="s">
        <v>74</v>
      </c>
      <c r="H253" t="s">
        <v>74</v>
      </c>
      <c r="I253" t="s">
        <v>5340</v>
      </c>
      <c r="J253" t="s">
        <v>4202</v>
      </c>
      <c r="K253" t="s">
        <v>74</v>
      </c>
      <c r="L253" t="s">
        <v>74</v>
      </c>
      <c r="M253" t="s">
        <v>78</v>
      </c>
      <c r="N253" t="s">
        <v>79</v>
      </c>
      <c r="O253" t="s">
        <v>74</v>
      </c>
      <c r="P253" t="s">
        <v>74</v>
      </c>
      <c r="Q253" t="s">
        <v>74</v>
      </c>
      <c r="R253" t="s">
        <v>74</v>
      </c>
      <c r="S253" t="s">
        <v>74</v>
      </c>
      <c r="T253" t="s">
        <v>5341</v>
      </c>
      <c r="U253" t="s">
        <v>5342</v>
      </c>
      <c r="V253" t="s">
        <v>5343</v>
      </c>
      <c r="W253" t="s">
        <v>5344</v>
      </c>
      <c r="X253" t="s">
        <v>5345</v>
      </c>
      <c r="Y253" t="s">
        <v>5346</v>
      </c>
      <c r="Z253" t="s">
        <v>5347</v>
      </c>
      <c r="AA253" t="s">
        <v>74</v>
      </c>
      <c r="AB253" t="s">
        <v>5348</v>
      </c>
      <c r="AC253" t="s">
        <v>5349</v>
      </c>
      <c r="AD253" t="s">
        <v>5350</v>
      </c>
      <c r="AE253" t="s">
        <v>5351</v>
      </c>
      <c r="AF253" t="s">
        <v>74</v>
      </c>
      <c r="AG253">
        <v>9</v>
      </c>
      <c r="AH253">
        <v>2</v>
      </c>
      <c r="AI253">
        <v>2</v>
      </c>
      <c r="AJ253">
        <v>0</v>
      </c>
      <c r="AK253">
        <v>2</v>
      </c>
      <c r="AL253" t="s">
        <v>625</v>
      </c>
      <c r="AM253" t="s">
        <v>167</v>
      </c>
      <c r="AN253" t="s">
        <v>626</v>
      </c>
      <c r="AO253" t="s">
        <v>4213</v>
      </c>
      <c r="AP253" t="s">
        <v>4214</v>
      </c>
      <c r="AQ253" t="s">
        <v>74</v>
      </c>
      <c r="AR253" t="s">
        <v>4215</v>
      </c>
      <c r="AS253" t="s">
        <v>4216</v>
      </c>
      <c r="AT253" t="s">
        <v>2859</v>
      </c>
      <c r="AU253">
        <v>2021</v>
      </c>
      <c r="AV253">
        <v>33</v>
      </c>
      <c r="AW253">
        <v>2</v>
      </c>
      <c r="AX253" t="s">
        <v>74</v>
      </c>
      <c r="AY253" t="s">
        <v>74</v>
      </c>
      <c r="AZ253" t="s">
        <v>74</v>
      </c>
      <c r="BA253" t="s">
        <v>74</v>
      </c>
      <c r="BB253">
        <v>213</v>
      </c>
      <c r="BC253">
        <v>216</v>
      </c>
      <c r="BD253" t="s">
        <v>5352</v>
      </c>
      <c r="BE253" t="s">
        <v>5353</v>
      </c>
      <c r="BF253" t="str">
        <f>HYPERLINK("http://dx.doi.org/10.1017/S0954102021000055","http://dx.doi.org/10.1017/S0954102021000055")</f>
        <v>http://dx.doi.org/10.1017/S0954102021000055</v>
      </c>
      <c r="BG253" t="s">
        <v>74</v>
      </c>
      <c r="BH253" t="s">
        <v>74</v>
      </c>
      <c r="BI253">
        <v>4</v>
      </c>
      <c r="BJ253" t="s">
        <v>4219</v>
      </c>
      <c r="BK253" t="s">
        <v>101</v>
      </c>
      <c r="BL253" t="s">
        <v>4220</v>
      </c>
      <c r="BM253" t="s">
        <v>4221</v>
      </c>
      <c r="BN253" t="s">
        <v>74</v>
      </c>
      <c r="BO253" t="s">
        <v>74</v>
      </c>
      <c r="BP253" t="s">
        <v>74</v>
      </c>
      <c r="BQ253" t="s">
        <v>74</v>
      </c>
      <c r="BR253" t="s">
        <v>104</v>
      </c>
      <c r="BS253" t="s">
        <v>5354</v>
      </c>
      <c r="BT253" t="str">
        <f>HYPERLINK("https%3A%2F%2Fwww.webofscience.com%2Fwos%2Fwoscc%2Ffull-record%2FWOS:000648921000009","View Full Record in Web of Science")</f>
        <v>View Full Record in Web of Science</v>
      </c>
    </row>
    <row r="254" spans="1:72" x14ac:dyDescent="0.15">
      <c r="A254" t="s">
        <v>72</v>
      </c>
      <c r="B254" t="s">
        <v>5355</v>
      </c>
      <c r="C254" t="s">
        <v>74</v>
      </c>
      <c r="D254" t="s">
        <v>74</v>
      </c>
      <c r="E254" t="s">
        <v>74</v>
      </c>
      <c r="F254" t="s">
        <v>5356</v>
      </c>
      <c r="G254" t="s">
        <v>74</v>
      </c>
      <c r="H254" t="s">
        <v>74</v>
      </c>
      <c r="I254" t="s">
        <v>5357</v>
      </c>
      <c r="J254" t="s">
        <v>4202</v>
      </c>
      <c r="K254" t="s">
        <v>74</v>
      </c>
      <c r="L254" t="s">
        <v>74</v>
      </c>
      <c r="M254" t="s">
        <v>78</v>
      </c>
      <c r="N254" t="s">
        <v>79</v>
      </c>
      <c r="O254" t="s">
        <v>74</v>
      </c>
      <c r="P254" t="s">
        <v>74</v>
      </c>
      <c r="Q254" t="s">
        <v>74</v>
      </c>
      <c r="R254" t="s">
        <v>74</v>
      </c>
      <c r="S254" t="s">
        <v>74</v>
      </c>
      <c r="T254" t="s">
        <v>5358</v>
      </c>
      <c r="U254" t="s">
        <v>5359</v>
      </c>
      <c r="V254" t="s">
        <v>5360</v>
      </c>
      <c r="W254" t="s">
        <v>5361</v>
      </c>
      <c r="X254" t="s">
        <v>5362</v>
      </c>
      <c r="Y254" t="s">
        <v>5363</v>
      </c>
      <c r="Z254" t="s">
        <v>5364</v>
      </c>
      <c r="AA254" t="s">
        <v>5365</v>
      </c>
      <c r="AB254" t="s">
        <v>5366</v>
      </c>
      <c r="AC254" t="s">
        <v>5367</v>
      </c>
      <c r="AD254" t="s">
        <v>5368</v>
      </c>
      <c r="AE254" t="s">
        <v>5369</v>
      </c>
      <c r="AF254" t="s">
        <v>74</v>
      </c>
      <c r="AG254">
        <v>36</v>
      </c>
      <c r="AH254">
        <v>0</v>
      </c>
      <c r="AI254">
        <v>0</v>
      </c>
      <c r="AJ254">
        <v>1</v>
      </c>
      <c r="AK254">
        <v>5</v>
      </c>
      <c r="AL254" t="s">
        <v>625</v>
      </c>
      <c r="AM254" t="s">
        <v>167</v>
      </c>
      <c r="AN254" t="s">
        <v>626</v>
      </c>
      <c r="AO254" t="s">
        <v>4213</v>
      </c>
      <c r="AP254" t="s">
        <v>4214</v>
      </c>
      <c r="AQ254" t="s">
        <v>74</v>
      </c>
      <c r="AR254" t="s">
        <v>4215</v>
      </c>
      <c r="AS254" t="s">
        <v>4216</v>
      </c>
      <c r="AT254" t="s">
        <v>2859</v>
      </c>
      <c r="AU254">
        <v>2021</v>
      </c>
      <c r="AV254">
        <v>33</v>
      </c>
      <c r="AW254">
        <v>2</v>
      </c>
      <c r="AX254" t="s">
        <v>74</v>
      </c>
      <c r="AY254" t="s">
        <v>74</v>
      </c>
      <c r="AZ254" t="s">
        <v>74</v>
      </c>
      <c r="BA254" t="s">
        <v>74</v>
      </c>
      <c r="BB254">
        <v>217</v>
      </c>
      <c r="BC254">
        <v>229</v>
      </c>
      <c r="BD254" t="s">
        <v>5370</v>
      </c>
      <c r="BE254" t="s">
        <v>5371</v>
      </c>
      <c r="BF254" t="str">
        <f>HYPERLINK("http://dx.doi.org/10.1017/S0954102021000018","http://dx.doi.org/10.1017/S0954102021000018")</f>
        <v>http://dx.doi.org/10.1017/S0954102021000018</v>
      </c>
      <c r="BG254" t="s">
        <v>74</v>
      </c>
      <c r="BH254" t="s">
        <v>74</v>
      </c>
      <c r="BI254">
        <v>13</v>
      </c>
      <c r="BJ254" t="s">
        <v>4219</v>
      </c>
      <c r="BK254" t="s">
        <v>101</v>
      </c>
      <c r="BL254" t="s">
        <v>4220</v>
      </c>
      <c r="BM254" t="s">
        <v>4221</v>
      </c>
      <c r="BN254" t="s">
        <v>74</v>
      </c>
      <c r="BO254" t="s">
        <v>74</v>
      </c>
      <c r="BP254" t="s">
        <v>74</v>
      </c>
      <c r="BQ254" t="s">
        <v>74</v>
      </c>
      <c r="BR254" t="s">
        <v>104</v>
      </c>
      <c r="BS254" t="s">
        <v>5372</v>
      </c>
      <c r="BT254" t="str">
        <f>HYPERLINK("https%3A%2F%2Fwww.webofscience.com%2Fwos%2Fwoscc%2Ffull-record%2FWOS:000648921000010","View Full Record in Web of Science")</f>
        <v>View Full Record in Web of Science</v>
      </c>
    </row>
    <row r="255" spans="1:72" x14ac:dyDescent="0.15">
      <c r="A255" t="s">
        <v>72</v>
      </c>
      <c r="B255" t="s">
        <v>5373</v>
      </c>
      <c r="C255" t="s">
        <v>74</v>
      </c>
      <c r="D255" t="s">
        <v>74</v>
      </c>
      <c r="E255" t="s">
        <v>74</v>
      </c>
      <c r="F255" t="s">
        <v>5374</v>
      </c>
      <c r="G255" t="s">
        <v>74</v>
      </c>
      <c r="H255" t="s">
        <v>74</v>
      </c>
      <c r="I255" t="s">
        <v>5375</v>
      </c>
      <c r="J255" t="s">
        <v>5376</v>
      </c>
      <c r="K255" t="s">
        <v>74</v>
      </c>
      <c r="L255" t="s">
        <v>74</v>
      </c>
      <c r="M255" t="s">
        <v>78</v>
      </c>
      <c r="N255" t="s">
        <v>1074</v>
      </c>
      <c r="O255" t="s">
        <v>74</v>
      </c>
      <c r="P255" t="s">
        <v>74</v>
      </c>
      <c r="Q255" t="s">
        <v>74</v>
      </c>
      <c r="R255" t="s">
        <v>74</v>
      </c>
      <c r="S255" t="s">
        <v>74</v>
      </c>
      <c r="T255" t="s">
        <v>5377</v>
      </c>
      <c r="U255" t="s">
        <v>5378</v>
      </c>
      <c r="V255" t="s">
        <v>5379</v>
      </c>
      <c r="W255" t="s">
        <v>5380</v>
      </c>
      <c r="X255" t="s">
        <v>5381</v>
      </c>
      <c r="Y255" t="s">
        <v>5382</v>
      </c>
      <c r="Z255" t="s">
        <v>724</v>
      </c>
      <c r="AA255" t="s">
        <v>5383</v>
      </c>
      <c r="AB255" t="s">
        <v>5384</v>
      </c>
      <c r="AC255" t="s">
        <v>727</v>
      </c>
      <c r="AD255" t="s">
        <v>459</v>
      </c>
      <c r="AE255" t="s">
        <v>5385</v>
      </c>
      <c r="AF255" t="s">
        <v>74</v>
      </c>
      <c r="AG255">
        <v>117</v>
      </c>
      <c r="AH255">
        <v>10</v>
      </c>
      <c r="AI255">
        <v>11</v>
      </c>
      <c r="AJ255">
        <v>2</v>
      </c>
      <c r="AK255">
        <v>21</v>
      </c>
      <c r="AL255" t="s">
        <v>413</v>
      </c>
      <c r="AM255" t="s">
        <v>167</v>
      </c>
      <c r="AN255" t="s">
        <v>414</v>
      </c>
      <c r="AO255" t="s">
        <v>5386</v>
      </c>
      <c r="AP255" t="s">
        <v>5387</v>
      </c>
      <c r="AQ255" t="s">
        <v>74</v>
      </c>
      <c r="AR255" t="s">
        <v>5388</v>
      </c>
      <c r="AS255" t="s">
        <v>5389</v>
      </c>
      <c r="AT255" t="s">
        <v>2859</v>
      </c>
      <c r="AU255">
        <v>2021</v>
      </c>
      <c r="AV255">
        <v>54</v>
      </c>
      <c r="AW255">
        <v>4</v>
      </c>
      <c r="AX255" t="s">
        <v>74</v>
      </c>
      <c r="AY255" t="s">
        <v>74</v>
      </c>
      <c r="AZ255" t="s">
        <v>74</v>
      </c>
      <c r="BA255" t="s">
        <v>74</v>
      </c>
      <c r="BB255">
        <v>528</v>
      </c>
      <c r="BC255">
        <v>540</v>
      </c>
      <c r="BD255" t="s">
        <v>74</v>
      </c>
      <c r="BE255" t="s">
        <v>5390</v>
      </c>
      <c r="BF255" t="str">
        <f>HYPERLINK("http://dx.doi.org/10.1134/S1064229321040025","http://dx.doi.org/10.1134/S1064229321040025")</f>
        <v>http://dx.doi.org/10.1134/S1064229321040025</v>
      </c>
      <c r="BG255" t="s">
        <v>74</v>
      </c>
      <c r="BH255" t="s">
        <v>74</v>
      </c>
      <c r="BI255">
        <v>13</v>
      </c>
      <c r="BJ255" t="s">
        <v>5391</v>
      </c>
      <c r="BK255" t="s">
        <v>101</v>
      </c>
      <c r="BL255" t="s">
        <v>5392</v>
      </c>
      <c r="BM255" t="s">
        <v>5393</v>
      </c>
      <c r="BN255" t="s">
        <v>74</v>
      </c>
      <c r="BO255" t="s">
        <v>74</v>
      </c>
      <c r="BP255" t="s">
        <v>74</v>
      </c>
      <c r="BQ255" t="s">
        <v>74</v>
      </c>
      <c r="BR255" t="s">
        <v>104</v>
      </c>
      <c r="BS255" t="s">
        <v>5394</v>
      </c>
      <c r="BT255" t="str">
        <f>HYPERLINK("https%3A%2F%2Fwww.webofscience.com%2Fwos%2Fwoscc%2Ffull-record%2FWOS:000645649400007","View Full Record in Web of Science")</f>
        <v>View Full Record in Web of Science</v>
      </c>
    </row>
    <row r="256" spans="1:72" x14ac:dyDescent="0.15">
      <c r="A256" t="s">
        <v>72</v>
      </c>
      <c r="B256" t="s">
        <v>5395</v>
      </c>
      <c r="C256" t="s">
        <v>74</v>
      </c>
      <c r="D256" t="s">
        <v>74</v>
      </c>
      <c r="E256" t="s">
        <v>74</v>
      </c>
      <c r="F256" t="s">
        <v>5396</v>
      </c>
      <c r="G256" t="s">
        <v>74</v>
      </c>
      <c r="H256" t="s">
        <v>74</v>
      </c>
      <c r="I256" t="s">
        <v>5397</v>
      </c>
      <c r="J256" t="s">
        <v>179</v>
      </c>
      <c r="K256" t="s">
        <v>74</v>
      </c>
      <c r="L256" t="s">
        <v>74</v>
      </c>
      <c r="M256" t="s">
        <v>78</v>
      </c>
      <c r="N256" t="s">
        <v>79</v>
      </c>
      <c r="O256" t="s">
        <v>74</v>
      </c>
      <c r="P256" t="s">
        <v>74</v>
      </c>
      <c r="Q256" t="s">
        <v>74</v>
      </c>
      <c r="R256" t="s">
        <v>74</v>
      </c>
      <c r="S256" t="s">
        <v>74</v>
      </c>
      <c r="T256" t="s">
        <v>5398</v>
      </c>
      <c r="U256" t="s">
        <v>5399</v>
      </c>
      <c r="V256" t="s">
        <v>5400</v>
      </c>
      <c r="W256" t="s">
        <v>5401</v>
      </c>
      <c r="X256" t="s">
        <v>5402</v>
      </c>
      <c r="Y256" t="s">
        <v>5403</v>
      </c>
      <c r="Z256" t="s">
        <v>5404</v>
      </c>
      <c r="AA256" t="s">
        <v>5405</v>
      </c>
      <c r="AB256" t="s">
        <v>5406</v>
      </c>
      <c r="AC256" t="s">
        <v>5407</v>
      </c>
      <c r="AD256" t="s">
        <v>5408</v>
      </c>
      <c r="AE256" t="s">
        <v>5409</v>
      </c>
      <c r="AF256" t="s">
        <v>74</v>
      </c>
      <c r="AG256">
        <v>89</v>
      </c>
      <c r="AH256">
        <v>4</v>
      </c>
      <c r="AI256">
        <v>5</v>
      </c>
      <c r="AJ256">
        <v>6</v>
      </c>
      <c r="AK256">
        <v>27</v>
      </c>
      <c r="AL256" t="s">
        <v>166</v>
      </c>
      <c r="AM256" t="s">
        <v>192</v>
      </c>
      <c r="AN256" t="s">
        <v>193</v>
      </c>
      <c r="AO256" t="s">
        <v>194</v>
      </c>
      <c r="AP256" t="s">
        <v>195</v>
      </c>
      <c r="AQ256" t="s">
        <v>74</v>
      </c>
      <c r="AR256" t="s">
        <v>179</v>
      </c>
      <c r="AS256" t="s">
        <v>196</v>
      </c>
      <c r="AT256" t="s">
        <v>2859</v>
      </c>
      <c r="AU256">
        <v>2021</v>
      </c>
      <c r="AV256">
        <v>165</v>
      </c>
      <c r="AW256" t="s">
        <v>5410</v>
      </c>
      <c r="AX256" t="s">
        <v>74</v>
      </c>
      <c r="AY256" t="s">
        <v>74</v>
      </c>
      <c r="AZ256" t="s">
        <v>74</v>
      </c>
      <c r="BA256" t="s">
        <v>74</v>
      </c>
      <c r="BB256" t="s">
        <v>74</v>
      </c>
      <c r="BC256" t="s">
        <v>74</v>
      </c>
      <c r="BD256">
        <v>66</v>
      </c>
      <c r="BE256" t="s">
        <v>5411</v>
      </c>
      <c r="BF256" t="str">
        <f>HYPERLINK("http://dx.doi.org/10.1007/s10584-021-03097-x","http://dx.doi.org/10.1007/s10584-021-03097-x")</f>
        <v>http://dx.doi.org/10.1007/s10584-021-03097-x</v>
      </c>
      <c r="BG256" t="s">
        <v>74</v>
      </c>
      <c r="BH256" t="s">
        <v>74</v>
      </c>
      <c r="BI256">
        <v>21</v>
      </c>
      <c r="BJ256" t="s">
        <v>199</v>
      </c>
      <c r="BK256" t="s">
        <v>101</v>
      </c>
      <c r="BL256" t="s">
        <v>200</v>
      </c>
      <c r="BM256" t="s">
        <v>5412</v>
      </c>
      <c r="BN256" t="s">
        <v>74</v>
      </c>
      <c r="BO256" t="s">
        <v>496</v>
      </c>
      <c r="BP256" t="s">
        <v>74</v>
      </c>
      <c r="BQ256" t="s">
        <v>74</v>
      </c>
      <c r="BR256" t="s">
        <v>104</v>
      </c>
      <c r="BS256" t="s">
        <v>5413</v>
      </c>
      <c r="BT256" t="str">
        <f>HYPERLINK("https%3A%2F%2Fwww.webofscience.com%2Fwos%2Fwoscc%2Ffull-record%2FWOS:000645063900001","View Full Record in Web of Science")</f>
        <v>View Full Record in Web of Science</v>
      </c>
    </row>
    <row r="257" spans="1:72" x14ac:dyDescent="0.15">
      <c r="A257" t="s">
        <v>72</v>
      </c>
      <c r="B257" t="s">
        <v>5414</v>
      </c>
      <c r="C257" t="s">
        <v>74</v>
      </c>
      <c r="D257" t="s">
        <v>74</v>
      </c>
      <c r="E257" t="s">
        <v>74</v>
      </c>
      <c r="F257" t="s">
        <v>5415</v>
      </c>
      <c r="G257" t="s">
        <v>74</v>
      </c>
      <c r="H257" t="s">
        <v>74</v>
      </c>
      <c r="I257" t="s">
        <v>5416</v>
      </c>
      <c r="J257" t="s">
        <v>5417</v>
      </c>
      <c r="K257" t="s">
        <v>74</v>
      </c>
      <c r="L257" t="s">
        <v>74</v>
      </c>
      <c r="M257" t="s">
        <v>78</v>
      </c>
      <c r="N257" t="s">
        <v>79</v>
      </c>
      <c r="O257" t="s">
        <v>74</v>
      </c>
      <c r="P257" t="s">
        <v>74</v>
      </c>
      <c r="Q257" t="s">
        <v>74</v>
      </c>
      <c r="R257" t="s">
        <v>74</v>
      </c>
      <c r="S257" t="s">
        <v>74</v>
      </c>
      <c r="T257" t="s">
        <v>5418</v>
      </c>
      <c r="U257" t="s">
        <v>5419</v>
      </c>
      <c r="V257" t="s">
        <v>5420</v>
      </c>
      <c r="W257" t="s">
        <v>5421</v>
      </c>
      <c r="X257" t="s">
        <v>5422</v>
      </c>
      <c r="Y257" t="s">
        <v>5423</v>
      </c>
      <c r="Z257" t="s">
        <v>5424</v>
      </c>
      <c r="AA257" t="s">
        <v>5425</v>
      </c>
      <c r="AB257" t="s">
        <v>5426</v>
      </c>
      <c r="AC257" t="s">
        <v>5427</v>
      </c>
      <c r="AD257" t="s">
        <v>5428</v>
      </c>
      <c r="AE257" t="s">
        <v>5429</v>
      </c>
      <c r="AF257" t="s">
        <v>74</v>
      </c>
      <c r="AG257">
        <v>68</v>
      </c>
      <c r="AH257">
        <v>7</v>
      </c>
      <c r="AI257">
        <v>7</v>
      </c>
      <c r="AJ257">
        <v>0</v>
      </c>
      <c r="AK257">
        <v>9</v>
      </c>
      <c r="AL257" t="s">
        <v>335</v>
      </c>
      <c r="AM257" t="s">
        <v>336</v>
      </c>
      <c r="AN257" t="s">
        <v>337</v>
      </c>
      <c r="AO257" t="s">
        <v>74</v>
      </c>
      <c r="AP257" t="s">
        <v>5430</v>
      </c>
      <c r="AQ257" t="s">
        <v>74</v>
      </c>
      <c r="AR257" t="s">
        <v>5431</v>
      </c>
      <c r="AS257" t="s">
        <v>5432</v>
      </c>
      <c r="AT257" t="s">
        <v>2859</v>
      </c>
      <c r="AU257">
        <v>2021</v>
      </c>
      <c r="AV257">
        <v>12</v>
      </c>
      <c r="AW257">
        <v>4</v>
      </c>
      <c r="AX257" t="s">
        <v>74</v>
      </c>
      <c r="AY257" t="s">
        <v>74</v>
      </c>
      <c r="AZ257" t="s">
        <v>74</v>
      </c>
      <c r="BA257" t="s">
        <v>74</v>
      </c>
      <c r="BB257" t="s">
        <v>74</v>
      </c>
      <c r="BC257" t="s">
        <v>74</v>
      </c>
      <c r="BD257">
        <v>454</v>
      </c>
      <c r="BE257" t="s">
        <v>5433</v>
      </c>
      <c r="BF257" t="str">
        <f>HYPERLINK("http://dx.doi.org/10.3390/atmos12040454","http://dx.doi.org/10.3390/atmos12040454")</f>
        <v>http://dx.doi.org/10.3390/atmos12040454</v>
      </c>
      <c r="BG257" t="s">
        <v>74</v>
      </c>
      <c r="BH257" t="s">
        <v>74</v>
      </c>
      <c r="BI257">
        <v>24</v>
      </c>
      <c r="BJ257" t="s">
        <v>199</v>
      </c>
      <c r="BK257" t="s">
        <v>101</v>
      </c>
      <c r="BL257" t="s">
        <v>200</v>
      </c>
      <c r="BM257" t="s">
        <v>5434</v>
      </c>
      <c r="BN257" t="s">
        <v>74</v>
      </c>
      <c r="BO257" t="s">
        <v>398</v>
      </c>
      <c r="BP257" t="s">
        <v>74</v>
      </c>
      <c r="BQ257" t="s">
        <v>74</v>
      </c>
      <c r="BR257" t="s">
        <v>104</v>
      </c>
      <c r="BS257" t="s">
        <v>5435</v>
      </c>
      <c r="BT257" t="str">
        <f>HYPERLINK("https%3A%2F%2Fwww.webofscience.com%2Fwos%2Fwoscc%2Ffull-record%2FWOS:000642744200001","View Full Record in Web of Science")</f>
        <v>View Full Record in Web of Science</v>
      </c>
    </row>
    <row r="258" spans="1:72" x14ac:dyDescent="0.15">
      <c r="A258" t="s">
        <v>72</v>
      </c>
      <c r="B258" t="s">
        <v>5436</v>
      </c>
      <c r="C258" t="s">
        <v>74</v>
      </c>
      <c r="D258" t="s">
        <v>74</v>
      </c>
      <c r="E258" t="s">
        <v>74</v>
      </c>
      <c r="F258" t="s">
        <v>5437</v>
      </c>
      <c r="G258" t="s">
        <v>74</v>
      </c>
      <c r="H258" t="s">
        <v>74</v>
      </c>
      <c r="I258" t="s">
        <v>5438</v>
      </c>
      <c r="J258" t="s">
        <v>1666</v>
      </c>
      <c r="K258" t="s">
        <v>74</v>
      </c>
      <c r="L258" t="s">
        <v>74</v>
      </c>
      <c r="M258" t="s">
        <v>78</v>
      </c>
      <c r="N258" t="s">
        <v>79</v>
      </c>
      <c r="O258" t="s">
        <v>74</v>
      </c>
      <c r="P258" t="s">
        <v>74</v>
      </c>
      <c r="Q258" t="s">
        <v>74</v>
      </c>
      <c r="R258" t="s">
        <v>74</v>
      </c>
      <c r="S258" t="s">
        <v>74</v>
      </c>
      <c r="T258" t="s">
        <v>5439</v>
      </c>
      <c r="U258" t="s">
        <v>5440</v>
      </c>
      <c r="V258" t="s">
        <v>5441</v>
      </c>
      <c r="W258" t="s">
        <v>5442</v>
      </c>
      <c r="X258" t="s">
        <v>5443</v>
      </c>
      <c r="Y258" t="s">
        <v>5444</v>
      </c>
      <c r="Z258" t="s">
        <v>5445</v>
      </c>
      <c r="AA258" t="s">
        <v>5446</v>
      </c>
      <c r="AB258" t="s">
        <v>5447</v>
      </c>
      <c r="AC258" t="s">
        <v>5448</v>
      </c>
      <c r="AD258" t="s">
        <v>5449</v>
      </c>
      <c r="AE258" t="s">
        <v>5450</v>
      </c>
      <c r="AF258" t="s">
        <v>74</v>
      </c>
      <c r="AG258">
        <v>126</v>
      </c>
      <c r="AH258">
        <v>2</v>
      </c>
      <c r="AI258">
        <v>2</v>
      </c>
      <c r="AJ258">
        <v>1</v>
      </c>
      <c r="AK258">
        <v>5</v>
      </c>
      <c r="AL258" t="s">
        <v>1058</v>
      </c>
      <c r="AM258" t="s">
        <v>891</v>
      </c>
      <c r="AN258" t="s">
        <v>1059</v>
      </c>
      <c r="AO258" t="s">
        <v>1679</v>
      </c>
      <c r="AP258" t="s">
        <v>1680</v>
      </c>
      <c r="AQ258" t="s">
        <v>74</v>
      </c>
      <c r="AR258" t="s">
        <v>1681</v>
      </c>
      <c r="AS258" t="s">
        <v>1682</v>
      </c>
      <c r="AT258" t="s">
        <v>4706</v>
      </c>
      <c r="AU258">
        <v>2021</v>
      </c>
      <c r="AV258">
        <v>259</v>
      </c>
      <c r="AW258" t="s">
        <v>74</v>
      </c>
      <c r="AX258" t="s">
        <v>74</v>
      </c>
      <c r="AY258" t="s">
        <v>74</v>
      </c>
      <c r="AZ258" t="s">
        <v>74</v>
      </c>
      <c r="BA258" t="s">
        <v>74</v>
      </c>
      <c r="BB258" t="s">
        <v>74</v>
      </c>
      <c r="BC258" t="s">
        <v>74</v>
      </c>
      <c r="BD258">
        <v>106899</v>
      </c>
      <c r="BE258" t="s">
        <v>5451</v>
      </c>
      <c r="BF258" t="str">
        <f>HYPERLINK("http://dx.doi.org/10.1016/j.quascirev.2021.106899","http://dx.doi.org/10.1016/j.quascirev.2021.106899")</f>
        <v>http://dx.doi.org/10.1016/j.quascirev.2021.106899</v>
      </c>
      <c r="BG258" t="s">
        <v>74</v>
      </c>
      <c r="BH258" t="s">
        <v>514</v>
      </c>
      <c r="BI258">
        <v>27</v>
      </c>
      <c r="BJ258" t="s">
        <v>1685</v>
      </c>
      <c r="BK258" t="s">
        <v>101</v>
      </c>
      <c r="BL258" t="s">
        <v>1686</v>
      </c>
      <c r="BM258" t="s">
        <v>5452</v>
      </c>
      <c r="BN258" t="s">
        <v>74</v>
      </c>
      <c r="BO258" t="s">
        <v>74</v>
      </c>
      <c r="BP258" t="s">
        <v>74</v>
      </c>
      <c r="BQ258" t="s">
        <v>74</v>
      </c>
      <c r="BR258" t="s">
        <v>104</v>
      </c>
      <c r="BS258" t="s">
        <v>5453</v>
      </c>
      <c r="BT258" t="str">
        <f>HYPERLINK("https%3A%2F%2Fwww.webofscience.com%2Fwos%2Fwoscc%2Ffull-record%2FWOS:000644423800002","View Full Record in Web of Science")</f>
        <v>View Full Record in Web of Science</v>
      </c>
    </row>
    <row r="259" spans="1:72" x14ac:dyDescent="0.15">
      <c r="A259" t="s">
        <v>72</v>
      </c>
      <c r="B259" t="s">
        <v>5454</v>
      </c>
      <c r="C259" t="s">
        <v>74</v>
      </c>
      <c r="D259" t="s">
        <v>74</v>
      </c>
      <c r="E259" t="s">
        <v>74</v>
      </c>
      <c r="F259" t="s">
        <v>5455</v>
      </c>
      <c r="G259" t="s">
        <v>74</v>
      </c>
      <c r="H259" t="s">
        <v>74</v>
      </c>
      <c r="I259" t="s">
        <v>5456</v>
      </c>
      <c r="J259" t="s">
        <v>5457</v>
      </c>
      <c r="K259" t="s">
        <v>74</v>
      </c>
      <c r="L259" t="s">
        <v>74</v>
      </c>
      <c r="M259" t="s">
        <v>78</v>
      </c>
      <c r="N259" t="s">
        <v>79</v>
      </c>
      <c r="O259" t="s">
        <v>74</v>
      </c>
      <c r="P259" t="s">
        <v>74</v>
      </c>
      <c r="Q259" t="s">
        <v>74</v>
      </c>
      <c r="R259" t="s">
        <v>74</v>
      </c>
      <c r="S259" t="s">
        <v>74</v>
      </c>
      <c r="T259" t="s">
        <v>5458</v>
      </c>
      <c r="U259" t="s">
        <v>5459</v>
      </c>
      <c r="V259" t="s">
        <v>5460</v>
      </c>
      <c r="W259" t="s">
        <v>5461</v>
      </c>
      <c r="X259" t="s">
        <v>5462</v>
      </c>
      <c r="Y259" t="s">
        <v>5463</v>
      </c>
      <c r="Z259" t="s">
        <v>5464</v>
      </c>
      <c r="AA259" t="s">
        <v>5465</v>
      </c>
      <c r="AB259" t="s">
        <v>5466</v>
      </c>
      <c r="AC259" t="s">
        <v>74</v>
      </c>
      <c r="AD259" t="s">
        <v>74</v>
      </c>
      <c r="AE259" t="s">
        <v>74</v>
      </c>
      <c r="AF259" t="s">
        <v>74</v>
      </c>
      <c r="AG259">
        <v>106</v>
      </c>
      <c r="AH259">
        <v>6</v>
      </c>
      <c r="AI259">
        <v>8</v>
      </c>
      <c r="AJ259">
        <v>3</v>
      </c>
      <c r="AK259">
        <v>30</v>
      </c>
      <c r="AL259" t="s">
        <v>576</v>
      </c>
      <c r="AM259" t="s">
        <v>577</v>
      </c>
      <c r="AN259" t="s">
        <v>578</v>
      </c>
      <c r="AO259" t="s">
        <v>5467</v>
      </c>
      <c r="AP259" t="s">
        <v>5468</v>
      </c>
      <c r="AQ259" t="s">
        <v>74</v>
      </c>
      <c r="AR259" t="s">
        <v>5469</v>
      </c>
      <c r="AS259" t="s">
        <v>5470</v>
      </c>
      <c r="AT259" t="s">
        <v>5471</v>
      </c>
      <c r="AU259">
        <v>2021</v>
      </c>
      <c r="AV259">
        <v>570</v>
      </c>
      <c r="AW259" t="s">
        <v>74</v>
      </c>
      <c r="AX259" t="s">
        <v>74</v>
      </c>
      <c r="AY259" t="s">
        <v>74</v>
      </c>
      <c r="AZ259" t="s">
        <v>74</v>
      </c>
      <c r="BA259" t="s">
        <v>74</v>
      </c>
      <c r="BB259" t="s">
        <v>74</v>
      </c>
      <c r="BC259" t="s">
        <v>74</v>
      </c>
      <c r="BD259">
        <v>120171</v>
      </c>
      <c r="BE259" t="s">
        <v>5472</v>
      </c>
      <c r="BF259" t="str">
        <f>HYPERLINK("http://dx.doi.org/10.1016/j.chemgeo.2021.120171","http://dx.doi.org/10.1016/j.chemgeo.2021.120171")</f>
        <v>http://dx.doi.org/10.1016/j.chemgeo.2021.120171</v>
      </c>
      <c r="BG259" t="s">
        <v>74</v>
      </c>
      <c r="BH259" t="s">
        <v>514</v>
      </c>
      <c r="BI259">
        <v>14</v>
      </c>
      <c r="BJ259" t="s">
        <v>1066</v>
      </c>
      <c r="BK259" t="s">
        <v>101</v>
      </c>
      <c r="BL259" t="s">
        <v>1066</v>
      </c>
      <c r="BM259" t="s">
        <v>5473</v>
      </c>
      <c r="BN259" t="s">
        <v>74</v>
      </c>
      <c r="BO259" t="s">
        <v>5474</v>
      </c>
      <c r="BP259" t="s">
        <v>74</v>
      </c>
      <c r="BQ259" t="s">
        <v>74</v>
      </c>
      <c r="BR259" t="s">
        <v>104</v>
      </c>
      <c r="BS259" t="s">
        <v>5475</v>
      </c>
      <c r="BT259" t="str">
        <f>HYPERLINK("https%3A%2F%2Fwww.webofscience.com%2Fwos%2Fwoscc%2Ffull-record%2FWOS:000640567900003","View Full Record in Web of Science")</f>
        <v>View Full Record in Web of Science</v>
      </c>
    </row>
    <row r="260" spans="1:72" x14ac:dyDescent="0.15">
      <c r="A260" t="s">
        <v>72</v>
      </c>
      <c r="B260" t="s">
        <v>5476</v>
      </c>
      <c r="C260" t="s">
        <v>74</v>
      </c>
      <c r="D260" t="s">
        <v>74</v>
      </c>
      <c r="E260" t="s">
        <v>74</v>
      </c>
      <c r="F260" t="s">
        <v>5477</v>
      </c>
      <c r="G260" t="s">
        <v>74</v>
      </c>
      <c r="H260" t="s">
        <v>74</v>
      </c>
      <c r="I260" t="s">
        <v>5478</v>
      </c>
      <c r="J260" t="s">
        <v>5479</v>
      </c>
      <c r="K260" t="s">
        <v>74</v>
      </c>
      <c r="L260" t="s">
        <v>74</v>
      </c>
      <c r="M260" t="s">
        <v>78</v>
      </c>
      <c r="N260" t="s">
        <v>79</v>
      </c>
      <c r="O260" t="s">
        <v>74</v>
      </c>
      <c r="P260" t="s">
        <v>74</v>
      </c>
      <c r="Q260" t="s">
        <v>74</v>
      </c>
      <c r="R260" t="s">
        <v>74</v>
      </c>
      <c r="S260" t="s">
        <v>74</v>
      </c>
      <c r="T260" t="s">
        <v>5480</v>
      </c>
      <c r="U260" t="s">
        <v>5481</v>
      </c>
      <c r="V260" t="s">
        <v>5482</v>
      </c>
      <c r="W260" t="s">
        <v>5483</v>
      </c>
      <c r="X260" t="s">
        <v>5484</v>
      </c>
      <c r="Y260" t="s">
        <v>5485</v>
      </c>
      <c r="Z260" t="s">
        <v>5486</v>
      </c>
      <c r="AA260" t="s">
        <v>74</v>
      </c>
      <c r="AB260" t="s">
        <v>74</v>
      </c>
      <c r="AC260" t="s">
        <v>5487</v>
      </c>
      <c r="AD260" t="s">
        <v>4449</v>
      </c>
      <c r="AE260" t="s">
        <v>5488</v>
      </c>
      <c r="AF260" t="s">
        <v>74</v>
      </c>
      <c r="AG260">
        <v>57</v>
      </c>
      <c r="AH260">
        <v>0</v>
      </c>
      <c r="AI260">
        <v>0</v>
      </c>
      <c r="AJ260">
        <v>0</v>
      </c>
      <c r="AK260">
        <v>6</v>
      </c>
      <c r="AL260" t="s">
        <v>5489</v>
      </c>
      <c r="AM260" t="s">
        <v>5490</v>
      </c>
      <c r="AN260" t="s">
        <v>5491</v>
      </c>
      <c r="AO260" t="s">
        <v>5492</v>
      </c>
      <c r="AP260" t="s">
        <v>5493</v>
      </c>
      <c r="AQ260" t="s">
        <v>74</v>
      </c>
      <c r="AR260" t="s">
        <v>5494</v>
      </c>
      <c r="AS260" t="s">
        <v>5495</v>
      </c>
      <c r="AT260" t="s">
        <v>2859</v>
      </c>
      <c r="AU260">
        <v>2021</v>
      </c>
      <c r="AV260">
        <v>49</v>
      </c>
      <c r="AW260">
        <v>1</v>
      </c>
      <c r="AX260" t="s">
        <v>74</v>
      </c>
      <c r="AY260" t="s">
        <v>74</v>
      </c>
      <c r="AZ260" t="s">
        <v>74</v>
      </c>
      <c r="BA260" t="s">
        <v>74</v>
      </c>
      <c r="BB260">
        <v>9</v>
      </c>
      <c r="BC260">
        <v>17</v>
      </c>
      <c r="BD260" t="s">
        <v>74</v>
      </c>
      <c r="BE260" t="s">
        <v>74</v>
      </c>
      <c r="BF260" t="s">
        <v>74</v>
      </c>
      <c r="BG260" t="s">
        <v>74</v>
      </c>
      <c r="BH260" t="s">
        <v>74</v>
      </c>
      <c r="BI260">
        <v>9</v>
      </c>
      <c r="BJ260" t="s">
        <v>5496</v>
      </c>
      <c r="BK260" t="s">
        <v>101</v>
      </c>
      <c r="BL260" t="s">
        <v>3849</v>
      </c>
      <c r="BM260" t="s">
        <v>5497</v>
      </c>
      <c r="BN260" t="s">
        <v>74</v>
      </c>
      <c r="BO260" t="s">
        <v>74</v>
      </c>
      <c r="BP260" t="s">
        <v>74</v>
      </c>
      <c r="BQ260" t="s">
        <v>74</v>
      </c>
      <c r="BR260" t="s">
        <v>104</v>
      </c>
      <c r="BS260" t="s">
        <v>5498</v>
      </c>
      <c r="BT260" t="str">
        <f>HYPERLINK("https%3A%2F%2Fwww.webofscience.com%2Fwos%2Fwoscc%2Ffull-record%2FWOS:000640797400002","View Full Record in Web of Science")</f>
        <v>View Full Record in Web of Science</v>
      </c>
    </row>
    <row r="261" spans="1:72" x14ac:dyDescent="0.15">
      <c r="A261" t="s">
        <v>72</v>
      </c>
      <c r="B261" t="s">
        <v>5499</v>
      </c>
      <c r="C261" t="s">
        <v>74</v>
      </c>
      <c r="D261" t="s">
        <v>74</v>
      </c>
      <c r="E261" t="s">
        <v>74</v>
      </c>
      <c r="F261" t="s">
        <v>5500</v>
      </c>
      <c r="G261" t="s">
        <v>74</v>
      </c>
      <c r="H261" t="s">
        <v>74</v>
      </c>
      <c r="I261" t="s">
        <v>5501</v>
      </c>
      <c r="J261" t="s">
        <v>5479</v>
      </c>
      <c r="K261" t="s">
        <v>74</v>
      </c>
      <c r="L261" t="s">
        <v>74</v>
      </c>
      <c r="M261" t="s">
        <v>78</v>
      </c>
      <c r="N261" t="s">
        <v>79</v>
      </c>
      <c r="O261" t="s">
        <v>74</v>
      </c>
      <c r="P261" t="s">
        <v>74</v>
      </c>
      <c r="Q261" t="s">
        <v>74</v>
      </c>
      <c r="R261" t="s">
        <v>74</v>
      </c>
      <c r="S261" t="s">
        <v>74</v>
      </c>
      <c r="T261" t="s">
        <v>5502</v>
      </c>
      <c r="U261" t="s">
        <v>5503</v>
      </c>
      <c r="V261" t="s">
        <v>5504</v>
      </c>
      <c r="W261" t="s">
        <v>5505</v>
      </c>
      <c r="X261" t="s">
        <v>5506</v>
      </c>
      <c r="Y261" t="s">
        <v>5507</v>
      </c>
      <c r="Z261" t="s">
        <v>5508</v>
      </c>
      <c r="AA261" t="s">
        <v>5509</v>
      </c>
      <c r="AB261" t="s">
        <v>5510</v>
      </c>
      <c r="AC261" t="s">
        <v>74</v>
      </c>
      <c r="AD261" t="s">
        <v>74</v>
      </c>
      <c r="AE261" t="s">
        <v>74</v>
      </c>
      <c r="AF261" t="s">
        <v>74</v>
      </c>
      <c r="AG261">
        <v>27</v>
      </c>
      <c r="AH261">
        <v>1</v>
      </c>
      <c r="AI261">
        <v>1</v>
      </c>
      <c r="AJ261">
        <v>2</v>
      </c>
      <c r="AK261">
        <v>12</v>
      </c>
      <c r="AL261" t="s">
        <v>5489</v>
      </c>
      <c r="AM261" t="s">
        <v>5490</v>
      </c>
      <c r="AN261" t="s">
        <v>5491</v>
      </c>
      <c r="AO261" t="s">
        <v>5492</v>
      </c>
      <c r="AP261" t="s">
        <v>5493</v>
      </c>
      <c r="AQ261" t="s">
        <v>74</v>
      </c>
      <c r="AR261" t="s">
        <v>5494</v>
      </c>
      <c r="AS261" t="s">
        <v>5495</v>
      </c>
      <c r="AT261" t="s">
        <v>2859</v>
      </c>
      <c r="AU261">
        <v>2021</v>
      </c>
      <c r="AV261">
        <v>49</v>
      </c>
      <c r="AW261">
        <v>1</v>
      </c>
      <c r="AX261" t="s">
        <v>74</v>
      </c>
      <c r="AY261" t="s">
        <v>74</v>
      </c>
      <c r="AZ261" t="s">
        <v>74</v>
      </c>
      <c r="BA261" t="s">
        <v>74</v>
      </c>
      <c r="BB261">
        <v>167</v>
      </c>
      <c r="BC261">
        <v>170</v>
      </c>
      <c r="BD261" t="s">
        <v>74</v>
      </c>
      <c r="BE261" t="s">
        <v>74</v>
      </c>
      <c r="BF261" t="s">
        <v>74</v>
      </c>
      <c r="BG261" t="s">
        <v>74</v>
      </c>
      <c r="BH261" t="s">
        <v>74</v>
      </c>
      <c r="BI261">
        <v>4</v>
      </c>
      <c r="BJ261" t="s">
        <v>5496</v>
      </c>
      <c r="BK261" t="s">
        <v>101</v>
      </c>
      <c r="BL261" t="s">
        <v>3849</v>
      </c>
      <c r="BM261" t="s">
        <v>5497</v>
      </c>
      <c r="BN261" t="s">
        <v>74</v>
      </c>
      <c r="BO261" t="s">
        <v>74</v>
      </c>
      <c r="BP261" t="s">
        <v>74</v>
      </c>
      <c r="BQ261" t="s">
        <v>74</v>
      </c>
      <c r="BR261" t="s">
        <v>104</v>
      </c>
      <c r="BS261" t="s">
        <v>5511</v>
      </c>
      <c r="BT261" t="str">
        <f>HYPERLINK("https%3A%2F%2Fwww.webofscience.com%2Fwos%2Fwoscc%2Ffull-record%2FWOS:000640797400021","View Full Record in Web of Science")</f>
        <v>View Full Record in Web of Science</v>
      </c>
    </row>
    <row r="262" spans="1:72" x14ac:dyDescent="0.15">
      <c r="A262" t="s">
        <v>72</v>
      </c>
      <c r="B262" t="s">
        <v>5512</v>
      </c>
      <c r="C262" t="s">
        <v>74</v>
      </c>
      <c r="D262" t="s">
        <v>74</v>
      </c>
      <c r="E262" t="s">
        <v>74</v>
      </c>
      <c r="F262" t="s">
        <v>5513</v>
      </c>
      <c r="G262" t="s">
        <v>74</v>
      </c>
      <c r="H262" t="s">
        <v>74</v>
      </c>
      <c r="I262" t="s">
        <v>5514</v>
      </c>
      <c r="J262" t="s">
        <v>425</v>
      </c>
      <c r="K262" t="s">
        <v>74</v>
      </c>
      <c r="L262" t="s">
        <v>74</v>
      </c>
      <c r="M262" t="s">
        <v>78</v>
      </c>
      <c r="N262" t="s">
        <v>79</v>
      </c>
      <c r="O262" t="s">
        <v>74</v>
      </c>
      <c r="P262" t="s">
        <v>74</v>
      </c>
      <c r="Q262" t="s">
        <v>74</v>
      </c>
      <c r="R262" t="s">
        <v>74</v>
      </c>
      <c r="S262" t="s">
        <v>74</v>
      </c>
      <c r="T262" t="s">
        <v>5515</v>
      </c>
      <c r="U262" t="s">
        <v>5516</v>
      </c>
      <c r="V262" t="s">
        <v>5517</v>
      </c>
      <c r="W262" t="s">
        <v>5518</v>
      </c>
      <c r="X262" t="s">
        <v>5519</v>
      </c>
      <c r="Y262" t="s">
        <v>5520</v>
      </c>
      <c r="Z262" t="s">
        <v>5521</v>
      </c>
      <c r="AA262" t="s">
        <v>74</v>
      </c>
      <c r="AB262" t="s">
        <v>5522</v>
      </c>
      <c r="AC262" t="s">
        <v>5523</v>
      </c>
      <c r="AD262" t="s">
        <v>5524</v>
      </c>
      <c r="AE262" t="s">
        <v>5525</v>
      </c>
      <c r="AF262" t="s">
        <v>74</v>
      </c>
      <c r="AG262">
        <v>28</v>
      </c>
      <c r="AH262">
        <v>8</v>
      </c>
      <c r="AI262">
        <v>8</v>
      </c>
      <c r="AJ262">
        <v>0</v>
      </c>
      <c r="AK262">
        <v>9</v>
      </c>
      <c r="AL262" t="s">
        <v>335</v>
      </c>
      <c r="AM262" t="s">
        <v>336</v>
      </c>
      <c r="AN262" t="s">
        <v>337</v>
      </c>
      <c r="AO262" t="s">
        <v>74</v>
      </c>
      <c r="AP262" t="s">
        <v>438</v>
      </c>
      <c r="AQ262" t="s">
        <v>74</v>
      </c>
      <c r="AR262" t="s">
        <v>439</v>
      </c>
      <c r="AS262" t="s">
        <v>440</v>
      </c>
      <c r="AT262" t="s">
        <v>2859</v>
      </c>
      <c r="AU262">
        <v>2021</v>
      </c>
      <c r="AV262">
        <v>13</v>
      </c>
      <c r="AW262">
        <v>8</v>
      </c>
      <c r="AX262" t="s">
        <v>74</v>
      </c>
      <c r="AY262" t="s">
        <v>74</v>
      </c>
      <c r="AZ262" t="s">
        <v>74</v>
      </c>
      <c r="BA262" t="s">
        <v>74</v>
      </c>
      <c r="BB262" t="s">
        <v>74</v>
      </c>
      <c r="BC262" t="s">
        <v>74</v>
      </c>
      <c r="BD262">
        <v>1414</v>
      </c>
      <c r="BE262" t="s">
        <v>5526</v>
      </c>
      <c r="BF262" t="str">
        <f>HYPERLINK("http://dx.doi.org/10.3390/rs13081414","http://dx.doi.org/10.3390/rs13081414")</f>
        <v>http://dx.doi.org/10.3390/rs13081414</v>
      </c>
      <c r="BG262" t="s">
        <v>74</v>
      </c>
      <c r="BH262" t="s">
        <v>74</v>
      </c>
      <c r="BI262">
        <v>13</v>
      </c>
      <c r="BJ262" t="s">
        <v>442</v>
      </c>
      <c r="BK262" t="s">
        <v>101</v>
      </c>
      <c r="BL262" t="s">
        <v>443</v>
      </c>
      <c r="BM262" t="s">
        <v>5527</v>
      </c>
      <c r="BN262" t="s">
        <v>74</v>
      </c>
      <c r="BO262" t="s">
        <v>317</v>
      </c>
      <c r="BP262" t="s">
        <v>74</v>
      </c>
      <c r="BQ262" t="s">
        <v>74</v>
      </c>
      <c r="BR262" t="s">
        <v>104</v>
      </c>
      <c r="BS262" t="s">
        <v>5528</v>
      </c>
      <c r="BT262" t="str">
        <f>HYPERLINK("https%3A%2F%2Fwww.webofscience.com%2Fwos%2Fwoscc%2Ffull-record%2FWOS:000644669300001","View Full Record in Web of Science")</f>
        <v>View Full Record in Web of Science</v>
      </c>
    </row>
    <row r="263" spans="1:72" x14ac:dyDescent="0.15">
      <c r="A263" t="s">
        <v>72</v>
      </c>
      <c r="B263" t="s">
        <v>5529</v>
      </c>
      <c r="C263" t="s">
        <v>74</v>
      </c>
      <c r="D263" t="s">
        <v>74</v>
      </c>
      <c r="E263" t="s">
        <v>74</v>
      </c>
      <c r="F263" t="s">
        <v>5530</v>
      </c>
      <c r="G263" t="s">
        <v>74</v>
      </c>
      <c r="H263" t="s">
        <v>74</v>
      </c>
      <c r="I263" t="s">
        <v>5531</v>
      </c>
      <c r="J263" t="s">
        <v>5532</v>
      </c>
      <c r="K263" t="s">
        <v>74</v>
      </c>
      <c r="L263" t="s">
        <v>74</v>
      </c>
      <c r="M263" t="s">
        <v>78</v>
      </c>
      <c r="N263" t="s">
        <v>79</v>
      </c>
      <c r="O263" t="s">
        <v>74</v>
      </c>
      <c r="P263" t="s">
        <v>74</v>
      </c>
      <c r="Q263" t="s">
        <v>74</v>
      </c>
      <c r="R263" t="s">
        <v>74</v>
      </c>
      <c r="S263" t="s">
        <v>74</v>
      </c>
      <c r="T263" t="s">
        <v>5533</v>
      </c>
      <c r="U263" t="s">
        <v>5534</v>
      </c>
      <c r="V263" t="s">
        <v>5535</v>
      </c>
      <c r="W263" t="s">
        <v>5536</v>
      </c>
      <c r="X263" t="s">
        <v>5537</v>
      </c>
      <c r="Y263" t="s">
        <v>5538</v>
      </c>
      <c r="Z263" t="s">
        <v>5539</v>
      </c>
      <c r="AA263" t="s">
        <v>5540</v>
      </c>
      <c r="AB263" t="s">
        <v>5541</v>
      </c>
      <c r="AC263" t="s">
        <v>5542</v>
      </c>
      <c r="AD263" t="s">
        <v>5543</v>
      </c>
      <c r="AE263" t="s">
        <v>5544</v>
      </c>
      <c r="AF263" t="s">
        <v>74</v>
      </c>
      <c r="AG263">
        <v>95</v>
      </c>
      <c r="AH263">
        <v>7</v>
      </c>
      <c r="AI263">
        <v>7</v>
      </c>
      <c r="AJ263">
        <v>4</v>
      </c>
      <c r="AK263">
        <v>13</v>
      </c>
      <c r="AL263" t="s">
        <v>335</v>
      </c>
      <c r="AM263" t="s">
        <v>336</v>
      </c>
      <c r="AN263" t="s">
        <v>337</v>
      </c>
      <c r="AO263" t="s">
        <v>5545</v>
      </c>
      <c r="AP263" t="s">
        <v>5546</v>
      </c>
      <c r="AQ263" t="s">
        <v>74</v>
      </c>
      <c r="AR263" t="s">
        <v>5547</v>
      </c>
      <c r="AS263" t="s">
        <v>5548</v>
      </c>
      <c r="AT263" t="s">
        <v>2859</v>
      </c>
      <c r="AU263">
        <v>2021</v>
      </c>
      <c r="AV263">
        <v>22</v>
      </c>
      <c r="AW263">
        <v>8</v>
      </c>
      <c r="AX263" t="s">
        <v>74</v>
      </c>
      <c r="AY263" t="s">
        <v>74</v>
      </c>
      <c r="AZ263" t="s">
        <v>74</v>
      </c>
      <c r="BA263" t="s">
        <v>74</v>
      </c>
      <c r="BB263" t="s">
        <v>74</v>
      </c>
      <c r="BC263" t="s">
        <v>74</v>
      </c>
      <c r="BD263">
        <v>4144</v>
      </c>
      <c r="BE263" t="s">
        <v>5549</v>
      </c>
      <c r="BF263" t="str">
        <f>HYPERLINK("http://dx.doi.org/10.3390/ijms22084144","http://dx.doi.org/10.3390/ijms22084144")</f>
        <v>http://dx.doi.org/10.3390/ijms22084144</v>
      </c>
      <c r="BG263" t="s">
        <v>74</v>
      </c>
      <c r="BH263" t="s">
        <v>74</v>
      </c>
      <c r="BI263">
        <v>24</v>
      </c>
      <c r="BJ263" t="s">
        <v>5550</v>
      </c>
      <c r="BK263" t="s">
        <v>101</v>
      </c>
      <c r="BL263" t="s">
        <v>5551</v>
      </c>
      <c r="BM263" t="s">
        <v>5552</v>
      </c>
      <c r="BN263">
        <v>33923711</v>
      </c>
      <c r="BO263" t="s">
        <v>298</v>
      </c>
      <c r="BP263" t="s">
        <v>74</v>
      </c>
      <c r="BQ263" t="s">
        <v>74</v>
      </c>
      <c r="BR263" t="s">
        <v>104</v>
      </c>
      <c r="BS263" t="s">
        <v>5553</v>
      </c>
      <c r="BT263" t="str">
        <f>HYPERLINK("https%3A%2F%2Fwww.webofscience.com%2Fwos%2Fwoscc%2Ffull-record%2FWOS:000644332600001","View Full Record in Web of Science")</f>
        <v>View Full Record in Web of Science</v>
      </c>
    </row>
    <row r="264" spans="1:72" x14ac:dyDescent="0.15">
      <c r="A264" t="s">
        <v>72</v>
      </c>
      <c r="B264" t="s">
        <v>5554</v>
      </c>
      <c r="C264" t="s">
        <v>74</v>
      </c>
      <c r="D264" t="s">
        <v>74</v>
      </c>
      <c r="E264" t="s">
        <v>74</v>
      </c>
      <c r="F264" t="s">
        <v>5555</v>
      </c>
      <c r="G264" t="s">
        <v>74</v>
      </c>
      <c r="H264" t="s">
        <v>74</v>
      </c>
      <c r="I264" t="s">
        <v>5556</v>
      </c>
      <c r="J264" t="s">
        <v>5557</v>
      </c>
      <c r="K264" t="s">
        <v>74</v>
      </c>
      <c r="L264" t="s">
        <v>74</v>
      </c>
      <c r="M264" t="s">
        <v>78</v>
      </c>
      <c r="N264" t="s">
        <v>1074</v>
      </c>
      <c r="O264" t="s">
        <v>74</v>
      </c>
      <c r="P264" t="s">
        <v>74</v>
      </c>
      <c r="Q264" t="s">
        <v>74</v>
      </c>
      <c r="R264" t="s">
        <v>74</v>
      </c>
      <c r="S264" t="s">
        <v>74</v>
      </c>
      <c r="T264" t="s">
        <v>5558</v>
      </c>
      <c r="U264" t="s">
        <v>5559</v>
      </c>
      <c r="V264" t="s">
        <v>5560</v>
      </c>
      <c r="W264" t="s">
        <v>5561</v>
      </c>
      <c r="X264" t="s">
        <v>5506</v>
      </c>
      <c r="Y264" t="s">
        <v>5562</v>
      </c>
      <c r="Z264" t="s">
        <v>5563</v>
      </c>
      <c r="AA264" t="s">
        <v>5564</v>
      </c>
      <c r="AB264" t="s">
        <v>5565</v>
      </c>
      <c r="AC264" t="s">
        <v>74</v>
      </c>
      <c r="AD264" t="s">
        <v>74</v>
      </c>
      <c r="AE264" t="s">
        <v>74</v>
      </c>
      <c r="AF264" t="s">
        <v>74</v>
      </c>
      <c r="AG264">
        <v>74</v>
      </c>
      <c r="AH264">
        <v>0</v>
      </c>
      <c r="AI264">
        <v>0</v>
      </c>
      <c r="AJ264">
        <v>2</v>
      </c>
      <c r="AK264">
        <v>9</v>
      </c>
      <c r="AL264" t="s">
        <v>335</v>
      </c>
      <c r="AM264" t="s">
        <v>336</v>
      </c>
      <c r="AN264" t="s">
        <v>337</v>
      </c>
      <c r="AO264" t="s">
        <v>74</v>
      </c>
      <c r="AP264" t="s">
        <v>5566</v>
      </c>
      <c r="AQ264" t="s">
        <v>74</v>
      </c>
      <c r="AR264" t="s">
        <v>5557</v>
      </c>
      <c r="AS264" t="s">
        <v>5567</v>
      </c>
      <c r="AT264" t="s">
        <v>2859</v>
      </c>
      <c r="AU264">
        <v>2021</v>
      </c>
      <c r="AV264">
        <v>9</v>
      </c>
      <c r="AW264">
        <v>4</v>
      </c>
      <c r="AX264" t="s">
        <v>74</v>
      </c>
      <c r="AY264" t="s">
        <v>74</v>
      </c>
      <c r="AZ264" t="s">
        <v>74</v>
      </c>
      <c r="BA264" t="s">
        <v>74</v>
      </c>
      <c r="BB264" t="s">
        <v>74</v>
      </c>
      <c r="BC264" t="s">
        <v>74</v>
      </c>
      <c r="BD264">
        <v>710</v>
      </c>
      <c r="BE264" t="s">
        <v>5568</v>
      </c>
      <c r="BF264" t="str">
        <f>HYPERLINK("http://dx.doi.org/10.3390/microorganisms9040710","http://dx.doi.org/10.3390/microorganisms9040710")</f>
        <v>http://dx.doi.org/10.3390/microorganisms9040710</v>
      </c>
      <c r="BG264" t="s">
        <v>74</v>
      </c>
      <c r="BH264" t="s">
        <v>74</v>
      </c>
      <c r="BI264">
        <v>12</v>
      </c>
      <c r="BJ264" t="s">
        <v>396</v>
      </c>
      <c r="BK264" t="s">
        <v>101</v>
      </c>
      <c r="BL264" t="s">
        <v>396</v>
      </c>
      <c r="BM264" t="s">
        <v>5569</v>
      </c>
      <c r="BN264">
        <v>33808191</v>
      </c>
      <c r="BO264" t="s">
        <v>5570</v>
      </c>
      <c r="BP264" t="s">
        <v>74</v>
      </c>
      <c r="BQ264" t="s">
        <v>74</v>
      </c>
      <c r="BR264" t="s">
        <v>104</v>
      </c>
      <c r="BS264" t="s">
        <v>5571</v>
      </c>
      <c r="BT264" t="str">
        <f>HYPERLINK("https%3A%2F%2Fwww.webofscience.com%2Fwos%2Fwoscc%2Ffull-record%2FWOS:000643318900001","View Full Record in Web of Science")</f>
        <v>View Full Record in Web of Science</v>
      </c>
    </row>
    <row r="265" spans="1:72" x14ac:dyDescent="0.15">
      <c r="A265" t="s">
        <v>72</v>
      </c>
      <c r="B265" t="s">
        <v>5572</v>
      </c>
      <c r="C265" t="s">
        <v>74</v>
      </c>
      <c r="D265" t="s">
        <v>74</v>
      </c>
      <c r="E265" t="s">
        <v>74</v>
      </c>
      <c r="F265" t="s">
        <v>5573</v>
      </c>
      <c r="G265" t="s">
        <v>74</v>
      </c>
      <c r="H265" t="s">
        <v>74</v>
      </c>
      <c r="I265" t="s">
        <v>5574</v>
      </c>
      <c r="J265" t="s">
        <v>5575</v>
      </c>
      <c r="K265" t="s">
        <v>74</v>
      </c>
      <c r="L265" t="s">
        <v>74</v>
      </c>
      <c r="M265" t="s">
        <v>78</v>
      </c>
      <c r="N265" t="s">
        <v>79</v>
      </c>
      <c r="O265" t="s">
        <v>74</v>
      </c>
      <c r="P265" t="s">
        <v>74</v>
      </c>
      <c r="Q265" t="s">
        <v>74</v>
      </c>
      <c r="R265" t="s">
        <v>74</v>
      </c>
      <c r="S265" t="s">
        <v>74</v>
      </c>
      <c r="T265" t="s">
        <v>5576</v>
      </c>
      <c r="U265" t="s">
        <v>5577</v>
      </c>
      <c r="V265" t="s">
        <v>5578</v>
      </c>
      <c r="W265" t="s">
        <v>5579</v>
      </c>
      <c r="X265" t="s">
        <v>5580</v>
      </c>
      <c r="Y265" t="s">
        <v>5581</v>
      </c>
      <c r="Z265" t="s">
        <v>5582</v>
      </c>
      <c r="AA265" t="s">
        <v>5583</v>
      </c>
      <c r="AB265" t="s">
        <v>5584</v>
      </c>
      <c r="AC265" t="s">
        <v>5585</v>
      </c>
      <c r="AD265" t="s">
        <v>5586</v>
      </c>
      <c r="AE265" t="s">
        <v>5587</v>
      </c>
      <c r="AF265" t="s">
        <v>74</v>
      </c>
      <c r="AG265">
        <v>82</v>
      </c>
      <c r="AH265">
        <v>3</v>
      </c>
      <c r="AI265">
        <v>3</v>
      </c>
      <c r="AJ265">
        <v>0</v>
      </c>
      <c r="AK265">
        <v>3</v>
      </c>
      <c r="AL265" t="s">
        <v>335</v>
      </c>
      <c r="AM265" t="s">
        <v>336</v>
      </c>
      <c r="AN265" t="s">
        <v>337</v>
      </c>
      <c r="AO265" t="s">
        <v>74</v>
      </c>
      <c r="AP265" t="s">
        <v>5588</v>
      </c>
      <c r="AQ265" t="s">
        <v>74</v>
      </c>
      <c r="AR265" t="s">
        <v>5589</v>
      </c>
      <c r="AS265" t="s">
        <v>5590</v>
      </c>
      <c r="AT265" t="s">
        <v>2859</v>
      </c>
      <c r="AU265">
        <v>2021</v>
      </c>
      <c r="AV265">
        <v>11</v>
      </c>
      <c r="AW265">
        <v>4</v>
      </c>
      <c r="AX265" t="s">
        <v>74</v>
      </c>
      <c r="AY265" t="s">
        <v>74</v>
      </c>
      <c r="AZ265" t="s">
        <v>74</v>
      </c>
      <c r="BA265" t="s">
        <v>74</v>
      </c>
      <c r="BB265" t="s">
        <v>74</v>
      </c>
      <c r="BC265" t="s">
        <v>74</v>
      </c>
      <c r="BD265">
        <v>374</v>
      </c>
      <c r="BE265" t="s">
        <v>5591</v>
      </c>
      <c r="BF265" t="str">
        <f>HYPERLINK("http://dx.doi.org/10.3390/min11040374","http://dx.doi.org/10.3390/min11040374")</f>
        <v>http://dx.doi.org/10.3390/min11040374</v>
      </c>
      <c r="BG265" t="s">
        <v>74</v>
      </c>
      <c r="BH265" t="s">
        <v>74</v>
      </c>
      <c r="BI265">
        <v>19</v>
      </c>
      <c r="BJ265" t="s">
        <v>5592</v>
      </c>
      <c r="BK265" t="s">
        <v>101</v>
      </c>
      <c r="BL265" t="s">
        <v>5592</v>
      </c>
      <c r="BM265" t="s">
        <v>5593</v>
      </c>
      <c r="BN265" t="s">
        <v>74</v>
      </c>
      <c r="BO265" t="s">
        <v>1779</v>
      </c>
      <c r="BP265" t="s">
        <v>74</v>
      </c>
      <c r="BQ265" t="s">
        <v>74</v>
      </c>
      <c r="BR265" t="s">
        <v>104</v>
      </c>
      <c r="BS265" t="s">
        <v>5594</v>
      </c>
      <c r="BT265" t="str">
        <f>HYPERLINK("https%3A%2F%2Fwww.webofscience.com%2Fwos%2Fwoscc%2Ffull-record%2FWOS:000643329300001","View Full Record in Web of Science")</f>
        <v>View Full Record in Web of Science</v>
      </c>
    </row>
    <row r="266" spans="1:72" x14ac:dyDescent="0.15">
      <c r="A266" t="s">
        <v>72</v>
      </c>
      <c r="B266" t="s">
        <v>5595</v>
      </c>
      <c r="C266" t="s">
        <v>74</v>
      </c>
      <c r="D266" t="s">
        <v>74</v>
      </c>
      <c r="E266" t="s">
        <v>74</v>
      </c>
      <c r="F266" t="s">
        <v>5596</v>
      </c>
      <c r="G266" t="s">
        <v>74</v>
      </c>
      <c r="H266" t="s">
        <v>74</v>
      </c>
      <c r="I266" t="s">
        <v>5597</v>
      </c>
      <c r="J266" t="s">
        <v>5598</v>
      </c>
      <c r="K266" t="s">
        <v>74</v>
      </c>
      <c r="L266" t="s">
        <v>74</v>
      </c>
      <c r="M266" t="s">
        <v>78</v>
      </c>
      <c r="N266" t="s">
        <v>5599</v>
      </c>
      <c r="O266" t="s">
        <v>74</v>
      </c>
      <c r="P266" t="s">
        <v>74</v>
      </c>
      <c r="Q266" t="s">
        <v>74</v>
      </c>
      <c r="R266" t="s">
        <v>74</v>
      </c>
      <c r="S266" t="s">
        <v>74</v>
      </c>
      <c r="T266" t="s">
        <v>74</v>
      </c>
      <c r="U266" t="s">
        <v>74</v>
      </c>
      <c r="V266" t="s">
        <v>74</v>
      </c>
      <c r="W266" t="s">
        <v>5600</v>
      </c>
      <c r="X266" t="s">
        <v>5601</v>
      </c>
      <c r="Y266" t="s">
        <v>5602</v>
      </c>
      <c r="Z266" t="s">
        <v>5603</v>
      </c>
      <c r="AA266" t="s">
        <v>5604</v>
      </c>
      <c r="AB266" t="s">
        <v>5605</v>
      </c>
      <c r="AC266" t="s">
        <v>74</v>
      </c>
      <c r="AD266" t="s">
        <v>74</v>
      </c>
      <c r="AE266" t="s">
        <v>74</v>
      </c>
      <c r="AF266" t="s">
        <v>74</v>
      </c>
      <c r="AG266">
        <v>7</v>
      </c>
      <c r="AH266">
        <v>0</v>
      </c>
      <c r="AI266">
        <v>0</v>
      </c>
      <c r="AJ266">
        <v>0</v>
      </c>
      <c r="AK266">
        <v>0</v>
      </c>
      <c r="AL266" t="s">
        <v>5606</v>
      </c>
      <c r="AM266" t="s">
        <v>862</v>
      </c>
      <c r="AN266" t="s">
        <v>5607</v>
      </c>
      <c r="AO266" t="s">
        <v>5608</v>
      </c>
      <c r="AP266" t="s">
        <v>74</v>
      </c>
      <c r="AQ266" t="s">
        <v>74</v>
      </c>
      <c r="AR266" t="s">
        <v>5598</v>
      </c>
      <c r="AS266" t="s">
        <v>5609</v>
      </c>
      <c r="AT266" t="s">
        <v>2859</v>
      </c>
      <c r="AU266">
        <v>2021</v>
      </c>
      <c r="AV266">
        <v>51</v>
      </c>
      <c r="AW266">
        <v>1</v>
      </c>
      <c r="AX266" t="s">
        <v>74</v>
      </c>
      <c r="AY266" t="s">
        <v>74</v>
      </c>
      <c r="AZ266" t="s">
        <v>74</v>
      </c>
      <c r="BA266" t="s">
        <v>74</v>
      </c>
      <c r="BB266">
        <v>33</v>
      </c>
      <c r="BC266">
        <v>34</v>
      </c>
      <c r="BD266" t="s">
        <v>74</v>
      </c>
      <c r="BE266" t="s">
        <v>74</v>
      </c>
      <c r="BF266" t="s">
        <v>74</v>
      </c>
      <c r="BG266" t="s">
        <v>74</v>
      </c>
      <c r="BH266" t="s">
        <v>74</v>
      </c>
      <c r="BI266">
        <v>2</v>
      </c>
      <c r="BJ266" t="s">
        <v>2508</v>
      </c>
      <c r="BK266" t="s">
        <v>101</v>
      </c>
      <c r="BL266" t="s">
        <v>2508</v>
      </c>
      <c r="BM266" t="s">
        <v>5610</v>
      </c>
      <c r="BN266" t="s">
        <v>74</v>
      </c>
      <c r="BO266" t="s">
        <v>74</v>
      </c>
      <c r="BP266" t="s">
        <v>74</v>
      </c>
      <c r="BQ266" t="s">
        <v>74</v>
      </c>
      <c r="BR266" t="s">
        <v>104</v>
      </c>
      <c r="BS266" t="s">
        <v>5611</v>
      </c>
      <c r="BT266" t="str">
        <f>HYPERLINK("https%3A%2F%2Fwww.webofscience.com%2Fwos%2Fwoscc%2Ffull-record%2FWOS:000646653400002","View Full Record in Web of Science")</f>
        <v>View Full Record in Web of Science</v>
      </c>
    </row>
    <row r="267" spans="1:72" x14ac:dyDescent="0.15">
      <c r="A267" t="s">
        <v>72</v>
      </c>
      <c r="B267" t="s">
        <v>5612</v>
      </c>
      <c r="C267" t="s">
        <v>74</v>
      </c>
      <c r="D267" t="s">
        <v>74</v>
      </c>
      <c r="E267" t="s">
        <v>74</v>
      </c>
      <c r="F267" t="s">
        <v>5613</v>
      </c>
      <c r="G267" t="s">
        <v>74</v>
      </c>
      <c r="H267" t="s">
        <v>74</v>
      </c>
      <c r="I267" t="s">
        <v>5614</v>
      </c>
      <c r="J267" t="s">
        <v>5615</v>
      </c>
      <c r="K267" t="s">
        <v>74</v>
      </c>
      <c r="L267" t="s">
        <v>74</v>
      </c>
      <c r="M267" t="s">
        <v>78</v>
      </c>
      <c r="N267" t="s">
        <v>79</v>
      </c>
      <c r="O267" t="s">
        <v>74</v>
      </c>
      <c r="P267" t="s">
        <v>74</v>
      </c>
      <c r="Q267" t="s">
        <v>74</v>
      </c>
      <c r="R267" t="s">
        <v>74</v>
      </c>
      <c r="S267" t="s">
        <v>74</v>
      </c>
      <c r="T267" t="s">
        <v>5616</v>
      </c>
      <c r="U267" t="s">
        <v>5617</v>
      </c>
      <c r="V267" t="s">
        <v>5618</v>
      </c>
      <c r="W267" t="s">
        <v>5619</v>
      </c>
      <c r="X267" t="s">
        <v>5620</v>
      </c>
      <c r="Y267" t="s">
        <v>5621</v>
      </c>
      <c r="Z267" t="s">
        <v>5622</v>
      </c>
      <c r="AA267" t="s">
        <v>5623</v>
      </c>
      <c r="AB267" t="s">
        <v>5624</v>
      </c>
      <c r="AC267" t="s">
        <v>5625</v>
      </c>
      <c r="AD267" t="s">
        <v>5626</v>
      </c>
      <c r="AE267" t="s">
        <v>5627</v>
      </c>
      <c r="AF267" t="s">
        <v>74</v>
      </c>
      <c r="AG267">
        <v>94</v>
      </c>
      <c r="AH267">
        <v>4</v>
      </c>
      <c r="AI267">
        <v>4</v>
      </c>
      <c r="AJ267">
        <v>2</v>
      </c>
      <c r="AK267">
        <v>7</v>
      </c>
      <c r="AL267" t="s">
        <v>335</v>
      </c>
      <c r="AM267" t="s">
        <v>336</v>
      </c>
      <c r="AN267" t="s">
        <v>337</v>
      </c>
      <c r="AO267" t="s">
        <v>74</v>
      </c>
      <c r="AP267" t="s">
        <v>5628</v>
      </c>
      <c r="AQ267" t="s">
        <v>74</v>
      </c>
      <c r="AR267" t="s">
        <v>5629</v>
      </c>
      <c r="AS267" t="s">
        <v>5630</v>
      </c>
      <c r="AT267" t="s">
        <v>2859</v>
      </c>
      <c r="AU267">
        <v>2021</v>
      </c>
      <c r="AV267">
        <v>9</v>
      </c>
      <c r="AW267">
        <v>4</v>
      </c>
      <c r="AX267" t="s">
        <v>74</v>
      </c>
      <c r="AY267" t="s">
        <v>74</v>
      </c>
      <c r="AZ267" t="s">
        <v>74</v>
      </c>
      <c r="BA267" t="s">
        <v>74</v>
      </c>
      <c r="BB267" t="s">
        <v>74</v>
      </c>
      <c r="BC267" t="s">
        <v>74</v>
      </c>
      <c r="BD267">
        <v>359</v>
      </c>
      <c r="BE267" t="s">
        <v>5631</v>
      </c>
      <c r="BF267" t="str">
        <f>HYPERLINK("http://dx.doi.org/10.3390/jmse9040359","http://dx.doi.org/10.3390/jmse9040359")</f>
        <v>http://dx.doi.org/10.3390/jmse9040359</v>
      </c>
      <c r="BG267" t="s">
        <v>74</v>
      </c>
      <c r="BH267" t="s">
        <v>74</v>
      </c>
      <c r="BI267">
        <v>30</v>
      </c>
      <c r="BJ267" t="s">
        <v>5632</v>
      </c>
      <c r="BK267" t="s">
        <v>101</v>
      </c>
      <c r="BL267" t="s">
        <v>5633</v>
      </c>
      <c r="BM267" t="s">
        <v>5634</v>
      </c>
      <c r="BN267" t="s">
        <v>74</v>
      </c>
      <c r="BO267" t="s">
        <v>558</v>
      </c>
      <c r="BP267" t="s">
        <v>74</v>
      </c>
      <c r="BQ267" t="s">
        <v>74</v>
      </c>
      <c r="BR267" t="s">
        <v>104</v>
      </c>
      <c r="BS267" t="s">
        <v>5635</v>
      </c>
      <c r="BT267" t="str">
        <f>HYPERLINK("https%3A%2F%2Fwww.webofscience.com%2Fwos%2Fwoscc%2Ffull-record%2FWOS:000643121700001","View Full Record in Web of Science")</f>
        <v>View Full Record in Web of Science</v>
      </c>
    </row>
    <row r="268" spans="1:72" x14ac:dyDescent="0.15">
      <c r="A268" t="s">
        <v>72</v>
      </c>
      <c r="B268" t="s">
        <v>5636</v>
      </c>
      <c r="C268" t="s">
        <v>74</v>
      </c>
      <c r="D268" t="s">
        <v>74</v>
      </c>
      <c r="E268" t="s">
        <v>74</v>
      </c>
      <c r="F268" t="s">
        <v>5637</v>
      </c>
      <c r="G268" t="s">
        <v>74</v>
      </c>
      <c r="H268" t="s">
        <v>74</v>
      </c>
      <c r="I268" t="s">
        <v>5638</v>
      </c>
      <c r="J268" t="s">
        <v>1692</v>
      </c>
      <c r="K268" t="s">
        <v>74</v>
      </c>
      <c r="L268" t="s">
        <v>74</v>
      </c>
      <c r="M268" t="s">
        <v>78</v>
      </c>
      <c r="N268" t="s">
        <v>79</v>
      </c>
      <c r="O268" t="s">
        <v>74</v>
      </c>
      <c r="P268" t="s">
        <v>74</v>
      </c>
      <c r="Q268" t="s">
        <v>74</v>
      </c>
      <c r="R268" t="s">
        <v>74</v>
      </c>
      <c r="S268" t="s">
        <v>74</v>
      </c>
      <c r="T268" t="s">
        <v>74</v>
      </c>
      <c r="U268" t="s">
        <v>74</v>
      </c>
      <c r="V268" t="s">
        <v>5639</v>
      </c>
      <c r="W268" t="s">
        <v>5640</v>
      </c>
      <c r="X268" t="s">
        <v>5641</v>
      </c>
      <c r="Y268" t="s">
        <v>5642</v>
      </c>
      <c r="Z268" t="s">
        <v>5643</v>
      </c>
      <c r="AA268" t="s">
        <v>5644</v>
      </c>
      <c r="AB268" t="s">
        <v>5645</v>
      </c>
      <c r="AC268" t="s">
        <v>5646</v>
      </c>
      <c r="AD268" t="s">
        <v>5647</v>
      </c>
      <c r="AE268" t="s">
        <v>5648</v>
      </c>
      <c r="AF268" t="s">
        <v>74</v>
      </c>
      <c r="AG268">
        <v>86</v>
      </c>
      <c r="AH268">
        <v>44</v>
      </c>
      <c r="AI268">
        <v>49</v>
      </c>
      <c r="AJ268">
        <v>2</v>
      </c>
      <c r="AK268">
        <v>11</v>
      </c>
      <c r="AL268" t="s">
        <v>3620</v>
      </c>
      <c r="AM268" t="s">
        <v>862</v>
      </c>
      <c r="AN268" t="s">
        <v>863</v>
      </c>
      <c r="AO268" t="s">
        <v>1704</v>
      </c>
      <c r="AP268" t="s">
        <v>74</v>
      </c>
      <c r="AQ268" t="s">
        <v>74</v>
      </c>
      <c r="AR268" t="s">
        <v>1705</v>
      </c>
      <c r="AS268" t="s">
        <v>1706</v>
      </c>
      <c r="AT268" t="s">
        <v>5649</v>
      </c>
      <c r="AU268">
        <v>2021</v>
      </c>
      <c r="AV268">
        <v>12</v>
      </c>
      <c r="AW268">
        <v>1</v>
      </c>
      <c r="AX268" t="s">
        <v>74</v>
      </c>
      <c r="AY268" t="s">
        <v>74</v>
      </c>
      <c r="AZ268" t="s">
        <v>74</v>
      </c>
      <c r="BA268" t="s">
        <v>74</v>
      </c>
      <c r="BB268" t="s">
        <v>74</v>
      </c>
      <c r="BC268" t="s">
        <v>74</v>
      </c>
      <c r="BD268">
        <v>2015</v>
      </c>
      <c r="BE268" t="s">
        <v>5650</v>
      </c>
      <c r="BF268" t="str">
        <f>HYPERLINK("http://dx.doi.org/10.1038/s41467-021-21990-y","http://dx.doi.org/10.1038/s41467-021-21990-y")</f>
        <v>http://dx.doi.org/10.1038/s41467-021-21990-y</v>
      </c>
      <c r="BG268" t="s">
        <v>74</v>
      </c>
      <c r="BH268" t="s">
        <v>74</v>
      </c>
      <c r="BI268">
        <v>11</v>
      </c>
      <c r="BJ268" t="s">
        <v>555</v>
      </c>
      <c r="BK268" t="s">
        <v>101</v>
      </c>
      <c r="BL268" t="s">
        <v>556</v>
      </c>
      <c r="BM268" t="s">
        <v>5651</v>
      </c>
      <c r="BN268">
        <v>33795667</v>
      </c>
      <c r="BO268" t="s">
        <v>1170</v>
      </c>
      <c r="BP268" t="s">
        <v>74</v>
      </c>
      <c r="BQ268" t="s">
        <v>74</v>
      </c>
      <c r="BR268" t="s">
        <v>104</v>
      </c>
      <c r="BS268" t="s">
        <v>5652</v>
      </c>
      <c r="BT268" t="str">
        <f>HYPERLINK("https%3A%2F%2Fwww.webofscience.com%2Fwos%2Fwoscc%2Ffull-record%2FWOS:000636772600002","View Full Record in Web of Science")</f>
        <v>View Full Record in Web of Science</v>
      </c>
    </row>
    <row r="269" spans="1:72" x14ac:dyDescent="0.15">
      <c r="A269" t="s">
        <v>72</v>
      </c>
      <c r="B269" t="s">
        <v>5653</v>
      </c>
      <c r="C269" t="s">
        <v>74</v>
      </c>
      <c r="D269" t="s">
        <v>74</v>
      </c>
      <c r="E269" t="s">
        <v>74</v>
      </c>
      <c r="F269" t="s">
        <v>5654</v>
      </c>
      <c r="G269" t="s">
        <v>74</v>
      </c>
      <c r="H269" t="s">
        <v>74</v>
      </c>
      <c r="I269" t="s">
        <v>5655</v>
      </c>
      <c r="J269" t="s">
        <v>5557</v>
      </c>
      <c r="K269" t="s">
        <v>74</v>
      </c>
      <c r="L269" t="s">
        <v>74</v>
      </c>
      <c r="M269" t="s">
        <v>78</v>
      </c>
      <c r="N269" t="s">
        <v>79</v>
      </c>
      <c r="O269" t="s">
        <v>74</v>
      </c>
      <c r="P269" t="s">
        <v>74</v>
      </c>
      <c r="Q269" t="s">
        <v>74</v>
      </c>
      <c r="R269" t="s">
        <v>74</v>
      </c>
      <c r="S269" t="s">
        <v>74</v>
      </c>
      <c r="T269" t="s">
        <v>5656</v>
      </c>
      <c r="U269" t="s">
        <v>5657</v>
      </c>
      <c r="V269" t="s">
        <v>5658</v>
      </c>
      <c r="W269" t="s">
        <v>5659</v>
      </c>
      <c r="X269" t="s">
        <v>5660</v>
      </c>
      <c r="Y269" t="s">
        <v>5661</v>
      </c>
      <c r="Z269" t="s">
        <v>5662</v>
      </c>
      <c r="AA269" t="s">
        <v>5663</v>
      </c>
      <c r="AB269" t="s">
        <v>5664</v>
      </c>
      <c r="AC269" t="s">
        <v>5665</v>
      </c>
      <c r="AD269" t="s">
        <v>5666</v>
      </c>
      <c r="AE269" t="s">
        <v>5667</v>
      </c>
      <c r="AF269" t="s">
        <v>74</v>
      </c>
      <c r="AG269">
        <v>78</v>
      </c>
      <c r="AH269">
        <v>8</v>
      </c>
      <c r="AI269">
        <v>8</v>
      </c>
      <c r="AJ269">
        <v>1</v>
      </c>
      <c r="AK269">
        <v>18</v>
      </c>
      <c r="AL269" t="s">
        <v>335</v>
      </c>
      <c r="AM269" t="s">
        <v>336</v>
      </c>
      <c r="AN269" t="s">
        <v>337</v>
      </c>
      <c r="AO269" t="s">
        <v>74</v>
      </c>
      <c r="AP269" t="s">
        <v>5566</v>
      </c>
      <c r="AQ269" t="s">
        <v>74</v>
      </c>
      <c r="AR269" t="s">
        <v>5557</v>
      </c>
      <c r="AS269" t="s">
        <v>5567</v>
      </c>
      <c r="AT269" t="s">
        <v>2859</v>
      </c>
      <c r="AU269">
        <v>2021</v>
      </c>
      <c r="AV269">
        <v>9</v>
      </c>
      <c r="AW269">
        <v>4</v>
      </c>
      <c r="AX269" t="s">
        <v>74</v>
      </c>
      <c r="AY269" t="s">
        <v>74</v>
      </c>
      <c r="AZ269" t="s">
        <v>74</v>
      </c>
      <c r="BA269" t="s">
        <v>74</v>
      </c>
      <c r="BB269" t="s">
        <v>74</v>
      </c>
      <c r="BC269" t="s">
        <v>74</v>
      </c>
      <c r="BD269">
        <v>818</v>
      </c>
      <c r="BE269" t="s">
        <v>5668</v>
      </c>
      <c r="BF269" t="str">
        <f>HYPERLINK("http://dx.doi.org/10.3390/microorganisms9040818","http://dx.doi.org/10.3390/microorganisms9040818")</f>
        <v>http://dx.doi.org/10.3390/microorganisms9040818</v>
      </c>
      <c r="BG269" t="s">
        <v>74</v>
      </c>
      <c r="BH269" t="s">
        <v>74</v>
      </c>
      <c r="BI269">
        <v>21</v>
      </c>
      <c r="BJ269" t="s">
        <v>396</v>
      </c>
      <c r="BK269" t="s">
        <v>101</v>
      </c>
      <c r="BL269" t="s">
        <v>396</v>
      </c>
      <c r="BM269" t="s">
        <v>5669</v>
      </c>
      <c r="BN269">
        <v>33924436</v>
      </c>
      <c r="BO269" t="s">
        <v>298</v>
      </c>
      <c r="BP269" t="s">
        <v>74</v>
      </c>
      <c r="BQ269" t="s">
        <v>74</v>
      </c>
      <c r="BR269" t="s">
        <v>104</v>
      </c>
      <c r="BS269" t="s">
        <v>5670</v>
      </c>
      <c r="BT269" t="str">
        <f>HYPERLINK("https%3A%2F%2Fwww.webofscience.com%2Fwos%2Fwoscc%2Ffull-record%2FWOS:000643310500001","View Full Record in Web of Science")</f>
        <v>View Full Record in Web of Science</v>
      </c>
    </row>
    <row r="270" spans="1:72" x14ac:dyDescent="0.15">
      <c r="A270" t="s">
        <v>72</v>
      </c>
      <c r="B270" t="s">
        <v>5671</v>
      </c>
      <c r="C270" t="s">
        <v>74</v>
      </c>
      <c r="D270" t="s">
        <v>74</v>
      </c>
      <c r="E270" t="s">
        <v>74</v>
      </c>
      <c r="F270" t="s">
        <v>5672</v>
      </c>
      <c r="G270" t="s">
        <v>74</v>
      </c>
      <c r="H270" t="s">
        <v>74</v>
      </c>
      <c r="I270" t="s">
        <v>5673</v>
      </c>
      <c r="J270" t="s">
        <v>5557</v>
      </c>
      <c r="K270" t="s">
        <v>74</v>
      </c>
      <c r="L270" t="s">
        <v>74</v>
      </c>
      <c r="M270" t="s">
        <v>78</v>
      </c>
      <c r="N270" t="s">
        <v>79</v>
      </c>
      <c r="O270" t="s">
        <v>74</v>
      </c>
      <c r="P270" t="s">
        <v>74</v>
      </c>
      <c r="Q270" t="s">
        <v>74</v>
      </c>
      <c r="R270" t="s">
        <v>74</v>
      </c>
      <c r="S270" t="s">
        <v>74</v>
      </c>
      <c r="T270" t="s">
        <v>5674</v>
      </c>
      <c r="U270" t="s">
        <v>5675</v>
      </c>
      <c r="V270" t="s">
        <v>5676</v>
      </c>
      <c r="W270" t="s">
        <v>5677</v>
      </c>
      <c r="X270" t="s">
        <v>5678</v>
      </c>
      <c r="Y270" t="s">
        <v>5679</v>
      </c>
      <c r="Z270" t="s">
        <v>5680</v>
      </c>
      <c r="AA270" t="s">
        <v>5681</v>
      </c>
      <c r="AB270" t="s">
        <v>5682</v>
      </c>
      <c r="AC270" t="s">
        <v>5683</v>
      </c>
      <c r="AD270" t="s">
        <v>5684</v>
      </c>
      <c r="AE270" t="s">
        <v>5685</v>
      </c>
      <c r="AF270" t="s">
        <v>74</v>
      </c>
      <c r="AG270">
        <v>78</v>
      </c>
      <c r="AH270">
        <v>9</v>
      </c>
      <c r="AI270">
        <v>10</v>
      </c>
      <c r="AJ270">
        <v>2</v>
      </c>
      <c r="AK270">
        <v>15</v>
      </c>
      <c r="AL270" t="s">
        <v>335</v>
      </c>
      <c r="AM270" t="s">
        <v>336</v>
      </c>
      <c r="AN270" t="s">
        <v>337</v>
      </c>
      <c r="AO270" t="s">
        <v>74</v>
      </c>
      <c r="AP270" t="s">
        <v>5566</v>
      </c>
      <c r="AQ270" t="s">
        <v>74</v>
      </c>
      <c r="AR270" t="s">
        <v>5557</v>
      </c>
      <c r="AS270" t="s">
        <v>5567</v>
      </c>
      <c r="AT270" t="s">
        <v>2859</v>
      </c>
      <c r="AU270">
        <v>2021</v>
      </c>
      <c r="AV270">
        <v>9</v>
      </c>
      <c r="AW270">
        <v>4</v>
      </c>
      <c r="AX270" t="s">
        <v>74</v>
      </c>
      <c r="AY270" t="s">
        <v>74</v>
      </c>
      <c r="AZ270" t="s">
        <v>74</v>
      </c>
      <c r="BA270" t="s">
        <v>74</v>
      </c>
      <c r="BB270" t="s">
        <v>74</v>
      </c>
      <c r="BC270" t="s">
        <v>74</v>
      </c>
      <c r="BD270">
        <v>811</v>
      </c>
      <c r="BE270" t="s">
        <v>5686</v>
      </c>
      <c r="BF270" t="str">
        <f>HYPERLINK("http://dx.doi.org/10.3390/microorganisms9040811","http://dx.doi.org/10.3390/microorganisms9040811")</f>
        <v>http://dx.doi.org/10.3390/microorganisms9040811</v>
      </c>
      <c r="BG270" t="s">
        <v>74</v>
      </c>
      <c r="BH270" t="s">
        <v>74</v>
      </c>
      <c r="BI270">
        <v>19</v>
      </c>
      <c r="BJ270" t="s">
        <v>396</v>
      </c>
      <c r="BK270" t="s">
        <v>101</v>
      </c>
      <c r="BL270" t="s">
        <v>396</v>
      </c>
      <c r="BM270" t="s">
        <v>5687</v>
      </c>
      <c r="BN270">
        <v>33921507</v>
      </c>
      <c r="BO270" t="s">
        <v>558</v>
      </c>
      <c r="BP270" t="s">
        <v>74</v>
      </c>
      <c r="BQ270" t="s">
        <v>74</v>
      </c>
      <c r="BR270" t="s">
        <v>104</v>
      </c>
      <c r="BS270" t="s">
        <v>5688</v>
      </c>
      <c r="BT270" t="str">
        <f>HYPERLINK("https%3A%2F%2Fwww.webofscience.com%2Fwos%2Fwoscc%2Ffull-record%2FWOS:000643304300001","View Full Record in Web of Science")</f>
        <v>View Full Record in Web of Science</v>
      </c>
    </row>
    <row r="271" spans="1:72" x14ac:dyDescent="0.15">
      <c r="A271" t="s">
        <v>72</v>
      </c>
      <c r="B271" t="s">
        <v>5689</v>
      </c>
      <c r="C271" t="s">
        <v>74</v>
      </c>
      <c r="D271" t="s">
        <v>74</v>
      </c>
      <c r="E271" t="s">
        <v>74</v>
      </c>
      <c r="F271" t="s">
        <v>5690</v>
      </c>
      <c r="G271" t="s">
        <v>74</v>
      </c>
      <c r="H271" t="s">
        <v>74</v>
      </c>
      <c r="I271" t="s">
        <v>5691</v>
      </c>
      <c r="J271" t="s">
        <v>5532</v>
      </c>
      <c r="K271" t="s">
        <v>74</v>
      </c>
      <c r="L271" t="s">
        <v>74</v>
      </c>
      <c r="M271" t="s">
        <v>78</v>
      </c>
      <c r="N271" t="s">
        <v>1074</v>
      </c>
      <c r="O271" t="s">
        <v>74</v>
      </c>
      <c r="P271" t="s">
        <v>74</v>
      </c>
      <c r="Q271" t="s">
        <v>74</v>
      </c>
      <c r="R271" t="s">
        <v>74</v>
      </c>
      <c r="S271" t="s">
        <v>74</v>
      </c>
      <c r="T271" t="s">
        <v>5692</v>
      </c>
      <c r="U271" t="s">
        <v>5693</v>
      </c>
      <c r="V271" t="s">
        <v>5694</v>
      </c>
      <c r="W271" t="s">
        <v>5695</v>
      </c>
      <c r="X271" t="s">
        <v>5696</v>
      </c>
      <c r="Y271" t="s">
        <v>5697</v>
      </c>
      <c r="Z271" t="s">
        <v>5698</v>
      </c>
      <c r="AA271" t="s">
        <v>5699</v>
      </c>
      <c r="AB271" t="s">
        <v>5700</v>
      </c>
      <c r="AC271" t="s">
        <v>5701</v>
      </c>
      <c r="AD271" t="s">
        <v>5702</v>
      </c>
      <c r="AE271" t="s">
        <v>5703</v>
      </c>
      <c r="AF271" t="s">
        <v>74</v>
      </c>
      <c r="AG271">
        <v>135</v>
      </c>
      <c r="AH271">
        <v>13</v>
      </c>
      <c r="AI271">
        <v>13</v>
      </c>
      <c r="AJ271">
        <v>1</v>
      </c>
      <c r="AK271">
        <v>13</v>
      </c>
      <c r="AL271" t="s">
        <v>335</v>
      </c>
      <c r="AM271" t="s">
        <v>336</v>
      </c>
      <c r="AN271" t="s">
        <v>337</v>
      </c>
      <c r="AO271" t="s">
        <v>74</v>
      </c>
      <c r="AP271" t="s">
        <v>5546</v>
      </c>
      <c r="AQ271" t="s">
        <v>74</v>
      </c>
      <c r="AR271" t="s">
        <v>5547</v>
      </c>
      <c r="AS271" t="s">
        <v>5548</v>
      </c>
      <c r="AT271" t="s">
        <v>2859</v>
      </c>
      <c r="AU271">
        <v>2021</v>
      </c>
      <c r="AV271">
        <v>22</v>
      </c>
      <c r="AW271">
        <v>8</v>
      </c>
      <c r="AX271" t="s">
        <v>74</v>
      </c>
      <c r="AY271" t="s">
        <v>74</v>
      </c>
      <c r="AZ271" t="s">
        <v>74</v>
      </c>
      <c r="BA271" t="s">
        <v>74</v>
      </c>
      <c r="BB271" t="s">
        <v>74</v>
      </c>
      <c r="BC271" t="s">
        <v>74</v>
      </c>
      <c r="BD271">
        <v>4138</v>
      </c>
      <c r="BE271" t="s">
        <v>5704</v>
      </c>
      <c r="BF271" t="str">
        <f>HYPERLINK("http://dx.doi.org/10.3390/ijms22084138","http://dx.doi.org/10.3390/ijms22084138")</f>
        <v>http://dx.doi.org/10.3390/ijms22084138</v>
      </c>
      <c r="BG271" t="s">
        <v>74</v>
      </c>
      <c r="BH271" t="s">
        <v>74</v>
      </c>
      <c r="BI271">
        <v>17</v>
      </c>
      <c r="BJ271" t="s">
        <v>5550</v>
      </c>
      <c r="BK271" t="s">
        <v>101</v>
      </c>
      <c r="BL271" t="s">
        <v>5551</v>
      </c>
      <c r="BM271" t="s">
        <v>5705</v>
      </c>
      <c r="BN271">
        <v>33923641</v>
      </c>
      <c r="BO271" t="s">
        <v>298</v>
      </c>
      <c r="BP271" t="s">
        <v>74</v>
      </c>
      <c r="BQ271" t="s">
        <v>74</v>
      </c>
      <c r="BR271" t="s">
        <v>104</v>
      </c>
      <c r="BS271" t="s">
        <v>5706</v>
      </c>
      <c r="BT271" t="str">
        <f>HYPERLINK("https%3A%2F%2Fwww.webofscience.com%2Fwos%2Fwoscc%2Ffull-record%2FWOS:000644336000001","View Full Record in Web of Science")</f>
        <v>View Full Record in Web of Science</v>
      </c>
    </row>
    <row r="272" spans="1:72" x14ac:dyDescent="0.15">
      <c r="A272" t="s">
        <v>72</v>
      </c>
      <c r="B272" t="s">
        <v>5707</v>
      </c>
      <c r="C272" t="s">
        <v>74</v>
      </c>
      <c r="D272" t="s">
        <v>74</v>
      </c>
      <c r="E272" t="s">
        <v>74</v>
      </c>
      <c r="F272" t="s">
        <v>5708</v>
      </c>
      <c r="G272" t="s">
        <v>74</v>
      </c>
      <c r="H272" t="s">
        <v>74</v>
      </c>
      <c r="I272" t="s">
        <v>5709</v>
      </c>
      <c r="J272" t="s">
        <v>4013</v>
      </c>
      <c r="K272" t="s">
        <v>74</v>
      </c>
      <c r="L272" t="s">
        <v>74</v>
      </c>
      <c r="M272" t="s">
        <v>78</v>
      </c>
      <c r="N272" t="s">
        <v>79</v>
      </c>
      <c r="O272" t="s">
        <v>74</v>
      </c>
      <c r="P272" t="s">
        <v>74</v>
      </c>
      <c r="Q272" t="s">
        <v>74</v>
      </c>
      <c r="R272" t="s">
        <v>74</v>
      </c>
      <c r="S272" t="s">
        <v>74</v>
      </c>
      <c r="T272" t="s">
        <v>5710</v>
      </c>
      <c r="U272" t="s">
        <v>5711</v>
      </c>
      <c r="V272" t="s">
        <v>5712</v>
      </c>
      <c r="W272" t="s">
        <v>5713</v>
      </c>
      <c r="X272" t="s">
        <v>5714</v>
      </c>
      <c r="Y272" t="s">
        <v>5715</v>
      </c>
      <c r="Z272" t="s">
        <v>5716</v>
      </c>
      <c r="AA272" t="s">
        <v>74</v>
      </c>
      <c r="AB272" t="s">
        <v>5717</v>
      </c>
      <c r="AC272" t="s">
        <v>5718</v>
      </c>
      <c r="AD272" t="s">
        <v>5719</v>
      </c>
      <c r="AE272" t="s">
        <v>5720</v>
      </c>
      <c r="AF272" t="s">
        <v>74</v>
      </c>
      <c r="AG272">
        <v>142</v>
      </c>
      <c r="AH272">
        <v>2</v>
      </c>
      <c r="AI272">
        <v>2</v>
      </c>
      <c r="AJ272">
        <v>0</v>
      </c>
      <c r="AK272">
        <v>8</v>
      </c>
      <c r="AL272" t="s">
        <v>1058</v>
      </c>
      <c r="AM272" t="s">
        <v>891</v>
      </c>
      <c r="AN272" t="s">
        <v>1059</v>
      </c>
      <c r="AO272" t="s">
        <v>4026</v>
      </c>
      <c r="AP272" t="s">
        <v>4027</v>
      </c>
      <c r="AQ272" t="s">
        <v>74</v>
      </c>
      <c r="AR272" t="s">
        <v>4028</v>
      </c>
      <c r="AS272" t="s">
        <v>4029</v>
      </c>
      <c r="AT272" t="s">
        <v>2859</v>
      </c>
      <c r="AU272">
        <v>2021</v>
      </c>
      <c r="AV272">
        <v>107</v>
      </c>
      <c r="AW272" t="s">
        <v>74</v>
      </c>
      <c r="AX272" t="s">
        <v>74</v>
      </c>
      <c r="AY272" t="s">
        <v>74</v>
      </c>
      <c r="AZ272" t="s">
        <v>74</v>
      </c>
      <c r="BA272" t="s">
        <v>74</v>
      </c>
      <c r="BB272" t="s">
        <v>74</v>
      </c>
      <c r="BC272" t="s">
        <v>74</v>
      </c>
      <c r="BD272">
        <v>103111</v>
      </c>
      <c r="BE272" t="s">
        <v>5721</v>
      </c>
      <c r="BF272" t="str">
        <f>HYPERLINK("http://dx.doi.org/10.1016/j.jsames.2020.103111","http://dx.doi.org/10.1016/j.jsames.2020.103111")</f>
        <v>http://dx.doi.org/10.1016/j.jsames.2020.103111</v>
      </c>
      <c r="BG272" t="s">
        <v>74</v>
      </c>
      <c r="BH272" t="s">
        <v>74</v>
      </c>
      <c r="BI272">
        <v>11</v>
      </c>
      <c r="BJ272" t="s">
        <v>100</v>
      </c>
      <c r="BK272" t="s">
        <v>101</v>
      </c>
      <c r="BL272" t="s">
        <v>102</v>
      </c>
      <c r="BM272" t="s">
        <v>5722</v>
      </c>
      <c r="BN272" t="s">
        <v>74</v>
      </c>
      <c r="BO272" t="s">
        <v>74</v>
      </c>
      <c r="BP272" t="s">
        <v>74</v>
      </c>
      <c r="BQ272" t="s">
        <v>74</v>
      </c>
      <c r="BR272" t="s">
        <v>104</v>
      </c>
      <c r="BS272" t="s">
        <v>5723</v>
      </c>
      <c r="BT272" t="str">
        <f>HYPERLINK("https%3A%2F%2Fwww.webofscience.com%2Fwos%2Fwoscc%2Ffull-record%2FWOS:000638199900003","View Full Record in Web of Science")</f>
        <v>View Full Record in Web of Science</v>
      </c>
    </row>
    <row r="273" spans="1:72" x14ac:dyDescent="0.15">
      <c r="A273" t="s">
        <v>72</v>
      </c>
      <c r="B273" t="s">
        <v>5724</v>
      </c>
      <c r="C273" t="s">
        <v>74</v>
      </c>
      <c r="D273" t="s">
        <v>74</v>
      </c>
      <c r="E273" t="s">
        <v>74</v>
      </c>
      <c r="F273" t="s">
        <v>5725</v>
      </c>
      <c r="G273" t="s">
        <v>74</v>
      </c>
      <c r="H273" t="s">
        <v>74</v>
      </c>
      <c r="I273" t="s">
        <v>5726</v>
      </c>
      <c r="J273" t="s">
        <v>5727</v>
      </c>
      <c r="K273" t="s">
        <v>74</v>
      </c>
      <c r="L273" t="s">
        <v>74</v>
      </c>
      <c r="M273" t="s">
        <v>78</v>
      </c>
      <c r="N273" t="s">
        <v>79</v>
      </c>
      <c r="O273" t="s">
        <v>74</v>
      </c>
      <c r="P273" t="s">
        <v>74</v>
      </c>
      <c r="Q273" t="s">
        <v>74</v>
      </c>
      <c r="R273" t="s">
        <v>74</v>
      </c>
      <c r="S273" t="s">
        <v>74</v>
      </c>
      <c r="T273" t="s">
        <v>5728</v>
      </c>
      <c r="U273" t="s">
        <v>5729</v>
      </c>
      <c r="V273" t="s">
        <v>5730</v>
      </c>
      <c r="W273" t="s">
        <v>5731</v>
      </c>
      <c r="X273" t="s">
        <v>5732</v>
      </c>
      <c r="Y273" t="s">
        <v>5733</v>
      </c>
      <c r="Z273" t="s">
        <v>5734</v>
      </c>
      <c r="AA273" t="s">
        <v>5735</v>
      </c>
      <c r="AB273" t="s">
        <v>5736</v>
      </c>
      <c r="AC273" t="s">
        <v>5737</v>
      </c>
      <c r="AD273" t="s">
        <v>5738</v>
      </c>
      <c r="AE273" t="s">
        <v>5739</v>
      </c>
      <c r="AF273" t="s">
        <v>74</v>
      </c>
      <c r="AG273">
        <v>168</v>
      </c>
      <c r="AH273">
        <v>6</v>
      </c>
      <c r="AI273">
        <v>7</v>
      </c>
      <c r="AJ273">
        <v>3</v>
      </c>
      <c r="AK273">
        <v>18</v>
      </c>
      <c r="AL273" t="s">
        <v>335</v>
      </c>
      <c r="AM273" t="s">
        <v>336</v>
      </c>
      <c r="AN273" t="s">
        <v>337</v>
      </c>
      <c r="AO273" t="s">
        <v>74</v>
      </c>
      <c r="AP273" t="s">
        <v>5740</v>
      </c>
      <c r="AQ273" t="s">
        <v>74</v>
      </c>
      <c r="AR273" t="s">
        <v>5727</v>
      </c>
      <c r="AS273" t="s">
        <v>5741</v>
      </c>
      <c r="AT273" t="s">
        <v>2859</v>
      </c>
      <c r="AU273">
        <v>2021</v>
      </c>
      <c r="AV273">
        <v>26</v>
      </c>
      <c r="AW273">
        <v>7</v>
      </c>
      <c r="AX273" t="s">
        <v>74</v>
      </c>
      <c r="AY273" t="s">
        <v>74</v>
      </c>
      <c r="AZ273" t="s">
        <v>74</v>
      </c>
      <c r="BA273" t="s">
        <v>74</v>
      </c>
      <c r="BB273" t="s">
        <v>74</v>
      </c>
      <c r="BC273" t="s">
        <v>74</v>
      </c>
      <c r="BD273">
        <v>1997</v>
      </c>
      <c r="BE273" t="s">
        <v>5742</v>
      </c>
      <c r="BF273" t="str">
        <f>HYPERLINK("http://dx.doi.org/10.3390/molecules26071997","http://dx.doi.org/10.3390/molecules26071997")</f>
        <v>http://dx.doi.org/10.3390/molecules26071997</v>
      </c>
      <c r="BG273" t="s">
        <v>74</v>
      </c>
      <c r="BH273" t="s">
        <v>74</v>
      </c>
      <c r="BI273">
        <v>35</v>
      </c>
      <c r="BJ273" t="s">
        <v>5550</v>
      </c>
      <c r="BK273" t="s">
        <v>101</v>
      </c>
      <c r="BL273" t="s">
        <v>5551</v>
      </c>
      <c r="BM273" t="s">
        <v>5743</v>
      </c>
      <c r="BN273">
        <v>33916238</v>
      </c>
      <c r="BO273" t="s">
        <v>298</v>
      </c>
      <c r="BP273" t="s">
        <v>74</v>
      </c>
      <c r="BQ273" t="s">
        <v>74</v>
      </c>
      <c r="BR273" t="s">
        <v>104</v>
      </c>
      <c r="BS273" t="s">
        <v>5744</v>
      </c>
      <c r="BT273" t="str">
        <f>HYPERLINK("https%3A%2F%2Fwww.webofscience.com%2Fwos%2Fwoscc%2Ffull-record%2FWOS:000638739900001","View Full Record in Web of Science")</f>
        <v>View Full Record in Web of Science</v>
      </c>
    </row>
    <row r="274" spans="1:72" x14ac:dyDescent="0.15">
      <c r="A274" t="s">
        <v>72</v>
      </c>
      <c r="B274" t="s">
        <v>5745</v>
      </c>
      <c r="C274" t="s">
        <v>74</v>
      </c>
      <c r="D274" t="s">
        <v>74</v>
      </c>
      <c r="E274" t="s">
        <v>74</v>
      </c>
      <c r="F274" t="s">
        <v>5746</v>
      </c>
      <c r="G274" t="s">
        <v>74</v>
      </c>
      <c r="H274" t="s">
        <v>74</v>
      </c>
      <c r="I274" t="s">
        <v>5747</v>
      </c>
      <c r="J274" t="s">
        <v>425</v>
      </c>
      <c r="K274" t="s">
        <v>74</v>
      </c>
      <c r="L274" t="s">
        <v>74</v>
      </c>
      <c r="M274" t="s">
        <v>78</v>
      </c>
      <c r="N274" t="s">
        <v>79</v>
      </c>
      <c r="O274" t="s">
        <v>74</v>
      </c>
      <c r="P274" t="s">
        <v>74</v>
      </c>
      <c r="Q274" t="s">
        <v>74</v>
      </c>
      <c r="R274" t="s">
        <v>74</v>
      </c>
      <c r="S274" t="s">
        <v>74</v>
      </c>
      <c r="T274" t="s">
        <v>5748</v>
      </c>
      <c r="U274" t="s">
        <v>5749</v>
      </c>
      <c r="V274" t="s">
        <v>5750</v>
      </c>
      <c r="W274" t="s">
        <v>5751</v>
      </c>
      <c r="X274" t="s">
        <v>5752</v>
      </c>
      <c r="Y274" t="s">
        <v>5753</v>
      </c>
      <c r="Z274" t="s">
        <v>5754</v>
      </c>
      <c r="AA274" t="s">
        <v>5755</v>
      </c>
      <c r="AB274" t="s">
        <v>5756</v>
      </c>
      <c r="AC274" t="s">
        <v>5757</v>
      </c>
      <c r="AD274" t="s">
        <v>5758</v>
      </c>
      <c r="AE274" t="s">
        <v>5759</v>
      </c>
      <c r="AF274" t="s">
        <v>74</v>
      </c>
      <c r="AG274">
        <v>54</v>
      </c>
      <c r="AH274">
        <v>8</v>
      </c>
      <c r="AI274">
        <v>9</v>
      </c>
      <c r="AJ274">
        <v>2</v>
      </c>
      <c r="AK274">
        <v>23</v>
      </c>
      <c r="AL274" t="s">
        <v>335</v>
      </c>
      <c r="AM274" t="s">
        <v>336</v>
      </c>
      <c r="AN274" t="s">
        <v>337</v>
      </c>
      <c r="AO274" t="s">
        <v>74</v>
      </c>
      <c r="AP274" t="s">
        <v>438</v>
      </c>
      <c r="AQ274" t="s">
        <v>74</v>
      </c>
      <c r="AR274" t="s">
        <v>439</v>
      </c>
      <c r="AS274" t="s">
        <v>440</v>
      </c>
      <c r="AT274" t="s">
        <v>2859</v>
      </c>
      <c r="AU274">
        <v>2021</v>
      </c>
      <c r="AV274">
        <v>13</v>
      </c>
      <c r="AW274">
        <v>7</v>
      </c>
      <c r="AX274" t="s">
        <v>74</v>
      </c>
      <c r="AY274" t="s">
        <v>74</v>
      </c>
      <c r="AZ274" t="s">
        <v>74</v>
      </c>
      <c r="BA274" t="s">
        <v>74</v>
      </c>
      <c r="BB274" t="s">
        <v>74</v>
      </c>
      <c r="BC274" t="s">
        <v>74</v>
      </c>
      <c r="BD274">
        <v>1366</v>
      </c>
      <c r="BE274" t="s">
        <v>5760</v>
      </c>
      <c r="BF274" t="str">
        <f>HYPERLINK("http://dx.doi.org/10.3390/rs13071366","http://dx.doi.org/10.3390/rs13071366")</f>
        <v>http://dx.doi.org/10.3390/rs13071366</v>
      </c>
      <c r="BG274" t="s">
        <v>74</v>
      </c>
      <c r="BH274" t="s">
        <v>74</v>
      </c>
      <c r="BI274">
        <v>20</v>
      </c>
      <c r="BJ274" t="s">
        <v>442</v>
      </c>
      <c r="BK274" t="s">
        <v>101</v>
      </c>
      <c r="BL274" t="s">
        <v>443</v>
      </c>
      <c r="BM274" t="s">
        <v>5761</v>
      </c>
      <c r="BN274" t="s">
        <v>74</v>
      </c>
      <c r="BO274" t="s">
        <v>558</v>
      </c>
      <c r="BP274" t="s">
        <v>74</v>
      </c>
      <c r="BQ274" t="s">
        <v>74</v>
      </c>
      <c r="BR274" t="s">
        <v>104</v>
      </c>
      <c r="BS274" t="s">
        <v>5762</v>
      </c>
      <c r="BT274" t="str">
        <f>HYPERLINK("https%3A%2F%2Fwww.webofscience.com%2Fwos%2Fwoscc%2Ffull-record%2FWOS:000638796400001","View Full Record in Web of Science")</f>
        <v>View Full Record in Web of Science</v>
      </c>
    </row>
    <row r="275" spans="1:72" x14ac:dyDescent="0.15">
      <c r="A275" t="s">
        <v>72</v>
      </c>
      <c r="B275" t="s">
        <v>5763</v>
      </c>
      <c r="C275" t="s">
        <v>74</v>
      </c>
      <c r="D275" t="s">
        <v>74</v>
      </c>
      <c r="E275" t="s">
        <v>74</v>
      </c>
      <c r="F275" t="s">
        <v>5764</v>
      </c>
      <c r="G275" t="s">
        <v>74</v>
      </c>
      <c r="H275" t="s">
        <v>74</v>
      </c>
      <c r="I275" t="s">
        <v>5765</v>
      </c>
      <c r="J275" t="s">
        <v>425</v>
      </c>
      <c r="K275" t="s">
        <v>74</v>
      </c>
      <c r="L275" t="s">
        <v>74</v>
      </c>
      <c r="M275" t="s">
        <v>78</v>
      </c>
      <c r="N275" t="s">
        <v>79</v>
      </c>
      <c r="O275" t="s">
        <v>74</v>
      </c>
      <c r="P275" t="s">
        <v>74</v>
      </c>
      <c r="Q275" t="s">
        <v>74</v>
      </c>
      <c r="R275" t="s">
        <v>74</v>
      </c>
      <c r="S275" t="s">
        <v>74</v>
      </c>
      <c r="T275" t="s">
        <v>5766</v>
      </c>
      <c r="U275" t="s">
        <v>74</v>
      </c>
      <c r="V275" t="s">
        <v>5767</v>
      </c>
      <c r="W275" t="s">
        <v>5768</v>
      </c>
      <c r="X275" t="s">
        <v>5769</v>
      </c>
      <c r="Y275" t="s">
        <v>5770</v>
      </c>
      <c r="Z275" t="s">
        <v>5771</v>
      </c>
      <c r="AA275" t="s">
        <v>5772</v>
      </c>
      <c r="AB275" t="s">
        <v>5773</v>
      </c>
      <c r="AC275" t="s">
        <v>5774</v>
      </c>
      <c r="AD275" t="s">
        <v>5775</v>
      </c>
      <c r="AE275" t="s">
        <v>5776</v>
      </c>
      <c r="AF275" t="s">
        <v>74</v>
      </c>
      <c r="AG275">
        <v>61</v>
      </c>
      <c r="AH275">
        <v>16</v>
      </c>
      <c r="AI275">
        <v>17</v>
      </c>
      <c r="AJ275">
        <v>1</v>
      </c>
      <c r="AK275">
        <v>7</v>
      </c>
      <c r="AL275" t="s">
        <v>335</v>
      </c>
      <c r="AM275" t="s">
        <v>336</v>
      </c>
      <c r="AN275" t="s">
        <v>337</v>
      </c>
      <c r="AO275" t="s">
        <v>74</v>
      </c>
      <c r="AP275" t="s">
        <v>438</v>
      </c>
      <c r="AQ275" t="s">
        <v>74</v>
      </c>
      <c r="AR275" t="s">
        <v>439</v>
      </c>
      <c r="AS275" t="s">
        <v>440</v>
      </c>
      <c r="AT275" t="s">
        <v>2859</v>
      </c>
      <c r="AU275">
        <v>2021</v>
      </c>
      <c r="AV275">
        <v>13</v>
      </c>
      <c r="AW275">
        <v>7</v>
      </c>
      <c r="AX275" t="s">
        <v>74</v>
      </c>
      <c r="AY275" t="s">
        <v>74</v>
      </c>
      <c r="AZ275" t="s">
        <v>74</v>
      </c>
      <c r="BA275" t="s">
        <v>74</v>
      </c>
      <c r="BB275" t="s">
        <v>74</v>
      </c>
      <c r="BC275" t="s">
        <v>74</v>
      </c>
      <c r="BD275">
        <v>1335</v>
      </c>
      <c r="BE275" t="s">
        <v>5777</v>
      </c>
      <c r="BF275" t="str">
        <f>HYPERLINK("http://dx.doi.org/10.3390/rs13071335","http://dx.doi.org/10.3390/rs13071335")</f>
        <v>http://dx.doi.org/10.3390/rs13071335</v>
      </c>
      <c r="BG275" t="s">
        <v>74</v>
      </c>
      <c r="BH275" t="s">
        <v>74</v>
      </c>
      <c r="BI275">
        <v>23</v>
      </c>
      <c r="BJ275" t="s">
        <v>442</v>
      </c>
      <c r="BK275" t="s">
        <v>101</v>
      </c>
      <c r="BL275" t="s">
        <v>443</v>
      </c>
      <c r="BM275" t="s">
        <v>5778</v>
      </c>
      <c r="BN275" t="s">
        <v>74</v>
      </c>
      <c r="BO275" t="s">
        <v>558</v>
      </c>
      <c r="BP275" t="s">
        <v>74</v>
      </c>
      <c r="BQ275" t="s">
        <v>74</v>
      </c>
      <c r="BR275" t="s">
        <v>104</v>
      </c>
      <c r="BS275" t="s">
        <v>5779</v>
      </c>
      <c r="BT275" t="str">
        <f>HYPERLINK("https%3A%2F%2Fwww.webofscience.com%2Fwos%2Fwoscc%2Ffull-record%2FWOS:000638791400001","View Full Record in Web of Science")</f>
        <v>View Full Record in Web of Science</v>
      </c>
    </row>
    <row r="276" spans="1:72" x14ac:dyDescent="0.15">
      <c r="A276" t="s">
        <v>72</v>
      </c>
      <c r="B276" t="s">
        <v>5780</v>
      </c>
      <c r="C276" t="s">
        <v>74</v>
      </c>
      <c r="D276" t="s">
        <v>74</v>
      </c>
      <c r="E276" t="s">
        <v>74</v>
      </c>
      <c r="F276" t="s">
        <v>5781</v>
      </c>
      <c r="G276" t="s">
        <v>74</v>
      </c>
      <c r="H276" t="s">
        <v>74</v>
      </c>
      <c r="I276" t="s">
        <v>5782</v>
      </c>
      <c r="J276" t="s">
        <v>4271</v>
      </c>
      <c r="K276" t="s">
        <v>74</v>
      </c>
      <c r="L276" t="s">
        <v>74</v>
      </c>
      <c r="M276" t="s">
        <v>78</v>
      </c>
      <c r="N276" t="s">
        <v>79</v>
      </c>
      <c r="O276" t="s">
        <v>74</v>
      </c>
      <c r="P276" t="s">
        <v>74</v>
      </c>
      <c r="Q276" t="s">
        <v>74</v>
      </c>
      <c r="R276" t="s">
        <v>74</v>
      </c>
      <c r="S276" t="s">
        <v>74</v>
      </c>
      <c r="T276" t="s">
        <v>74</v>
      </c>
      <c r="U276" t="s">
        <v>74</v>
      </c>
      <c r="V276" t="s">
        <v>5783</v>
      </c>
      <c r="W276" t="s">
        <v>5784</v>
      </c>
      <c r="X276" t="s">
        <v>5785</v>
      </c>
      <c r="Y276" t="s">
        <v>5786</v>
      </c>
      <c r="Z276" t="s">
        <v>5787</v>
      </c>
      <c r="AA276" t="s">
        <v>5788</v>
      </c>
      <c r="AB276" t="s">
        <v>5789</v>
      </c>
      <c r="AC276" t="s">
        <v>74</v>
      </c>
      <c r="AD276" t="s">
        <v>74</v>
      </c>
      <c r="AE276" t="s">
        <v>74</v>
      </c>
      <c r="AF276" t="s">
        <v>74</v>
      </c>
      <c r="AG276">
        <v>43</v>
      </c>
      <c r="AH276">
        <v>20</v>
      </c>
      <c r="AI276">
        <v>21</v>
      </c>
      <c r="AJ276">
        <v>2</v>
      </c>
      <c r="AK276">
        <v>11</v>
      </c>
      <c r="AL276" t="s">
        <v>4283</v>
      </c>
      <c r="AM276" t="s">
        <v>390</v>
      </c>
      <c r="AN276" t="s">
        <v>4284</v>
      </c>
      <c r="AO276" t="s">
        <v>4285</v>
      </c>
      <c r="AP276" t="s">
        <v>74</v>
      </c>
      <c r="AQ276" t="s">
        <v>74</v>
      </c>
      <c r="AR276" t="s">
        <v>4286</v>
      </c>
      <c r="AS276" t="s">
        <v>4287</v>
      </c>
      <c r="AT276" t="s">
        <v>2859</v>
      </c>
      <c r="AU276">
        <v>2021</v>
      </c>
      <c r="AV276">
        <v>7</v>
      </c>
      <c r="AW276">
        <v>15</v>
      </c>
      <c r="AX276" t="s">
        <v>74</v>
      </c>
      <c r="AY276" t="s">
        <v>74</v>
      </c>
      <c r="AZ276" t="s">
        <v>74</v>
      </c>
      <c r="BA276" t="s">
        <v>74</v>
      </c>
      <c r="BB276" t="s">
        <v>74</v>
      </c>
      <c r="BC276" t="s">
        <v>74</v>
      </c>
      <c r="BD276" t="s">
        <v>5790</v>
      </c>
      <c r="BE276" t="s">
        <v>5791</v>
      </c>
      <c r="BF276" t="str">
        <f>HYPERLINK("http://dx.doi.org/10.1126/sciadv.abf1674","http://dx.doi.org/10.1126/sciadv.abf1674")</f>
        <v>http://dx.doi.org/10.1126/sciadv.abf1674</v>
      </c>
      <c r="BG276" t="s">
        <v>74</v>
      </c>
      <c r="BH276" t="s">
        <v>74</v>
      </c>
      <c r="BI276">
        <v>11</v>
      </c>
      <c r="BJ276" t="s">
        <v>555</v>
      </c>
      <c r="BK276" t="s">
        <v>101</v>
      </c>
      <c r="BL276" t="s">
        <v>556</v>
      </c>
      <c r="BM276" t="s">
        <v>5792</v>
      </c>
      <c r="BN276">
        <v>33837083</v>
      </c>
      <c r="BO276" t="s">
        <v>398</v>
      </c>
      <c r="BP276" t="s">
        <v>74</v>
      </c>
      <c r="BQ276" t="s">
        <v>74</v>
      </c>
      <c r="BR276" t="s">
        <v>104</v>
      </c>
      <c r="BS276" t="s">
        <v>5793</v>
      </c>
      <c r="BT276" t="str">
        <f>HYPERLINK("https%3A%2F%2Fwww.webofscience.com%2Fwos%2Fwoscc%2Ffull-record%2FWOS:000642446300014","View Full Record in Web of Science")</f>
        <v>View Full Record in Web of Science</v>
      </c>
    </row>
    <row r="277" spans="1:72" x14ac:dyDescent="0.15">
      <c r="A277" t="s">
        <v>72</v>
      </c>
      <c r="B277" t="s">
        <v>5794</v>
      </c>
      <c r="C277" t="s">
        <v>74</v>
      </c>
      <c r="D277" t="s">
        <v>74</v>
      </c>
      <c r="E277" t="s">
        <v>74</v>
      </c>
      <c r="F277" t="s">
        <v>5795</v>
      </c>
      <c r="G277" t="s">
        <v>74</v>
      </c>
      <c r="H277" t="s">
        <v>74</v>
      </c>
      <c r="I277" t="s">
        <v>5796</v>
      </c>
      <c r="J277" t="s">
        <v>4271</v>
      </c>
      <c r="K277" t="s">
        <v>74</v>
      </c>
      <c r="L277" t="s">
        <v>74</v>
      </c>
      <c r="M277" t="s">
        <v>78</v>
      </c>
      <c r="N277" t="s">
        <v>79</v>
      </c>
      <c r="O277" t="s">
        <v>74</v>
      </c>
      <c r="P277" t="s">
        <v>74</v>
      </c>
      <c r="Q277" t="s">
        <v>74</v>
      </c>
      <c r="R277" t="s">
        <v>74</v>
      </c>
      <c r="S277" t="s">
        <v>74</v>
      </c>
      <c r="T277" t="s">
        <v>74</v>
      </c>
      <c r="U277" t="s">
        <v>5797</v>
      </c>
      <c r="V277" t="s">
        <v>5798</v>
      </c>
      <c r="W277" t="s">
        <v>5799</v>
      </c>
      <c r="X277" t="s">
        <v>5800</v>
      </c>
      <c r="Y277" t="s">
        <v>5801</v>
      </c>
      <c r="Z277" t="s">
        <v>5802</v>
      </c>
      <c r="AA277" t="s">
        <v>5803</v>
      </c>
      <c r="AB277" t="s">
        <v>5804</v>
      </c>
      <c r="AC277" t="s">
        <v>5805</v>
      </c>
      <c r="AD277" t="s">
        <v>5806</v>
      </c>
      <c r="AE277" t="s">
        <v>5807</v>
      </c>
      <c r="AF277" t="s">
        <v>74</v>
      </c>
      <c r="AG277">
        <v>39</v>
      </c>
      <c r="AH277">
        <v>35</v>
      </c>
      <c r="AI277">
        <v>39</v>
      </c>
      <c r="AJ277">
        <v>0</v>
      </c>
      <c r="AK277">
        <v>9</v>
      </c>
      <c r="AL277" t="s">
        <v>4283</v>
      </c>
      <c r="AM277" t="s">
        <v>390</v>
      </c>
      <c r="AN277" t="s">
        <v>4284</v>
      </c>
      <c r="AO277" t="s">
        <v>4285</v>
      </c>
      <c r="AP277" t="s">
        <v>74</v>
      </c>
      <c r="AQ277" t="s">
        <v>74</v>
      </c>
      <c r="AR277" t="s">
        <v>4286</v>
      </c>
      <c r="AS277" t="s">
        <v>4287</v>
      </c>
      <c r="AT277" t="s">
        <v>2859</v>
      </c>
      <c r="AU277">
        <v>2021</v>
      </c>
      <c r="AV277">
        <v>7</v>
      </c>
      <c r="AW277">
        <v>15</v>
      </c>
      <c r="AX277" t="s">
        <v>74</v>
      </c>
      <c r="AY277" t="s">
        <v>74</v>
      </c>
      <c r="AZ277" t="s">
        <v>74</v>
      </c>
      <c r="BA277" t="s">
        <v>74</v>
      </c>
      <c r="BB277" t="s">
        <v>74</v>
      </c>
      <c r="BC277" t="s">
        <v>74</v>
      </c>
      <c r="BD277" t="s">
        <v>5808</v>
      </c>
      <c r="BE277" t="s">
        <v>5809</v>
      </c>
      <c r="BF277" t="str">
        <f>HYPERLINK("http://dx.doi.org/10.1126/sciadv.abd7254","http://dx.doi.org/10.1126/sciadv.abd7254")</f>
        <v>http://dx.doi.org/10.1126/sciadv.abd7254</v>
      </c>
      <c r="BG277" t="s">
        <v>74</v>
      </c>
      <c r="BH277" t="s">
        <v>74</v>
      </c>
      <c r="BI277">
        <v>9</v>
      </c>
      <c r="BJ277" t="s">
        <v>555</v>
      </c>
      <c r="BK277" t="s">
        <v>101</v>
      </c>
      <c r="BL277" t="s">
        <v>556</v>
      </c>
      <c r="BM277" t="s">
        <v>5792</v>
      </c>
      <c r="BN277">
        <v>33837074</v>
      </c>
      <c r="BO277" t="s">
        <v>1872</v>
      </c>
      <c r="BP277" t="s">
        <v>74</v>
      </c>
      <c r="BQ277" t="s">
        <v>74</v>
      </c>
      <c r="BR277" t="s">
        <v>104</v>
      </c>
      <c r="BS277" t="s">
        <v>5810</v>
      </c>
      <c r="BT277" t="str">
        <f>HYPERLINK("https%3A%2F%2Fwww.webofscience.com%2Fwos%2Fwoscc%2Ffull-record%2FWOS:000642446300004","View Full Record in Web of Science")</f>
        <v>View Full Record in Web of Science</v>
      </c>
    </row>
    <row r="278" spans="1:72" x14ac:dyDescent="0.15">
      <c r="A278" t="s">
        <v>72</v>
      </c>
      <c r="B278" t="s">
        <v>5811</v>
      </c>
      <c r="C278" t="s">
        <v>74</v>
      </c>
      <c r="D278" t="s">
        <v>74</v>
      </c>
      <c r="E278" t="s">
        <v>74</v>
      </c>
      <c r="F278" t="s">
        <v>5812</v>
      </c>
      <c r="G278" t="s">
        <v>74</v>
      </c>
      <c r="H278" t="s">
        <v>74</v>
      </c>
      <c r="I278" t="s">
        <v>5813</v>
      </c>
      <c r="J278" t="s">
        <v>2687</v>
      </c>
      <c r="K278" t="s">
        <v>74</v>
      </c>
      <c r="L278" t="s">
        <v>74</v>
      </c>
      <c r="M278" t="s">
        <v>78</v>
      </c>
      <c r="N278" t="s">
        <v>79</v>
      </c>
      <c r="O278" t="s">
        <v>74</v>
      </c>
      <c r="P278" t="s">
        <v>74</v>
      </c>
      <c r="Q278" t="s">
        <v>74</v>
      </c>
      <c r="R278" t="s">
        <v>74</v>
      </c>
      <c r="S278" t="s">
        <v>74</v>
      </c>
      <c r="T278" t="s">
        <v>5814</v>
      </c>
      <c r="U278" t="s">
        <v>5815</v>
      </c>
      <c r="V278" t="s">
        <v>5816</v>
      </c>
      <c r="W278" t="s">
        <v>5817</v>
      </c>
      <c r="X278" t="s">
        <v>5818</v>
      </c>
      <c r="Y278" t="s">
        <v>5819</v>
      </c>
      <c r="Z278" t="s">
        <v>5820</v>
      </c>
      <c r="AA278" t="s">
        <v>74</v>
      </c>
      <c r="AB278" t="s">
        <v>5821</v>
      </c>
      <c r="AC278" t="s">
        <v>5822</v>
      </c>
      <c r="AD278" t="s">
        <v>5823</v>
      </c>
      <c r="AE278" t="s">
        <v>5824</v>
      </c>
      <c r="AF278" t="s">
        <v>74</v>
      </c>
      <c r="AG278">
        <v>81</v>
      </c>
      <c r="AH278">
        <v>6</v>
      </c>
      <c r="AI278">
        <v>6</v>
      </c>
      <c r="AJ278">
        <v>5</v>
      </c>
      <c r="AK278">
        <v>24</v>
      </c>
      <c r="AL278" t="s">
        <v>603</v>
      </c>
      <c r="AM278" t="s">
        <v>604</v>
      </c>
      <c r="AN278" t="s">
        <v>605</v>
      </c>
      <c r="AO278" t="s">
        <v>74</v>
      </c>
      <c r="AP278" t="s">
        <v>2699</v>
      </c>
      <c r="AQ278" t="s">
        <v>74</v>
      </c>
      <c r="AR278" t="s">
        <v>2700</v>
      </c>
      <c r="AS278" t="s">
        <v>2701</v>
      </c>
      <c r="AT278" t="s">
        <v>5649</v>
      </c>
      <c r="AU278">
        <v>2021</v>
      </c>
      <c r="AV278">
        <v>8</v>
      </c>
      <c r="AW278" t="s">
        <v>74</v>
      </c>
      <c r="AX278" t="s">
        <v>74</v>
      </c>
      <c r="AY278" t="s">
        <v>74</v>
      </c>
      <c r="AZ278" t="s">
        <v>74</v>
      </c>
      <c r="BA278" t="s">
        <v>74</v>
      </c>
      <c r="BB278" t="s">
        <v>74</v>
      </c>
      <c r="BC278" t="s">
        <v>74</v>
      </c>
      <c r="BD278">
        <v>628892</v>
      </c>
      <c r="BE278" t="s">
        <v>5825</v>
      </c>
      <c r="BF278" t="str">
        <f>HYPERLINK("http://dx.doi.org/10.3389/fmars.2021.628892","http://dx.doi.org/10.3389/fmars.2021.628892")</f>
        <v>http://dx.doi.org/10.3389/fmars.2021.628892</v>
      </c>
      <c r="BG278" t="s">
        <v>74</v>
      </c>
      <c r="BH278" t="s">
        <v>74</v>
      </c>
      <c r="BI278">
        <v>15</v>
      </c>
      <c r="BJ278" t="s">
        <v>1646</v>
      </c>
      <c r="BK278" t="s">
        <v>101</v>
      </c>
      <c r="BL278" t="s">
        <v>710</v>
      </c>
      <c r="BM278" t="s">
        <v>5826</v>
      </c>
      <c r="BN278" t="s">
        <v>74</v>
      </c>
      <c r="BO278" t="s">
        <v>317</v>
      </c>
      <c r="BP278" t="s">
        <v>74</v>
      </c>
      <c r="BQ278" t="s">
        <v>74</v>
      </c>
      <c r="BR278" t="s">
        <v>104</v>
      </c>
      <c r="BS278" t="s">
        <v>5827</v>
      </c>
      <c r="BT278" t="str">
        <f>HYPERLINK("https%3A%2F%2Fwww.webofscience.com%2Fwos%2Fwoscc%2Ffull-record%2FWOS:000637058000001","View Full Record in Web of Science")</f>
        <v>View Full Record in Web of Science</v>
      </c>
    </row>
    <row r="279" spans="1:72" x14ac:dyDescent="0.15">
      <c r="A279" t="s">
        <v>72</v>
      </c>
      <c r="B279" t="s">
        <v>5828</v>
      </c>
      <c r="C279" t="s">
        <v>74</v>
      </c>
      <c r="D279" t="s">
        <v>74</v>
      </c>
      <c r="E279" t="s">
        <v>74</v>
      </c>
      <c r="F279" t="s">
        <v>5829</v>
      </c>
      <c r="G279" t="s">
        <v>74</v>
      </c>
      <c r="H279" t="s">
        <v>74</v>
      </c>
      <c r="I279" t="s">
        <v>5830</v>
      </c>
      <c r="J279" t="s">
        <v>425</v>
      </c>
      <c r="K279" t="s">
        <v>74</v>
      </c>
      <c r="L279" t="s">
        <v>74</v>
      </c>
      <c r="M279" t="s">
        <v>78</v>
      </c>
      <c r="N279" t="s">
        <v>79</v>
      </c>
      <c r="O279" t="s">
        <v>74</v>
      </c>
      <c r="P279" t="s">
        <v>74</v>
      </c>
      <c r="Q279" t="s">
        <v>74</v>
      </c>
      <c r="R279" t="s">
        <v>74</v>
      </c>
      <c r="S279" t="s">
        <v>74</v>
      </c>
      <c r="T279" t="s">
        <v>5831</v>
      </c>
      <c r="U279" t="s">
        <v>5832</v>
      </c>
      <c r="V279" t="s">
        <v>5833</v>
      </c>
      <c r="W279" t="s">
        <v>5834</v>
      </c>
      <c r="X279" t="s">
        <v>74</v>
      </c>
      <c r="Y279" t="s">
        <v>5835</v>
      </c>
      <c r="Z279" t="s">
        <v>5836</v>
      </c>
      <c r="AA279" t="s">
        <v>5837</v>
      </c>
      <c r="AB279" t="s">
        <v>5838</v>
      </c>
      <c r="AC279" t="s">
        <v>5839</v>
      </c>
      <c r="AD279" t="s">
        <v>5840</v>
      </c>
      <c r="AE279" t="s">
        <v>5841</v>
      </c>
      <c r="AF279" t="s">
        <v>74</v>
      </c>
      <c r="AG279">
        <v>56</v>
      </c>
      <c r="AH279">
        <v>6</v>
      </c>
      <c r="AI279">
        <v>6</v>
      </c>
      <c r="AJ279">
        <v>0</v>
      </c>
      <c r="AK279">
        <v>2</v>
      </c>
      <c r="AL279" t="s">
        <v>335</v>
      </c>
      <c r="AM279" t="s">
        <v>336</v>
      </c>
      <c r="AN279" t="s">
        <v>337</v>
      </c>
      <c r="AO279" t="s">
        <v>74</v>
      </c>
      <c r="AP279" t="s">
        <v>438</v>
      </c>
      <c r="AQ279" t="s">
        <v>74</v>
      </c>
      <c r="AR279" t="s">
        <v>439</v>
      </c>
      <c r="AS279" t="s">
        <v>440</v>
      </c>
      <c r="AT279" t="s">
        <v>2859</v>
      </c>
      <c r="AU279">
        <v>2021</v>
      </c>
      <c r="AV279">
        <v>13</v>
      </c>
      <c r="AW279">
        <v>8</v>
      </c>
      <c r="AX279" t="s">
        <v>74</v>
      </c>
      <c r="AY279" t="s">
        <v>74</v>
      </c>
      <c r="AZ279" t="s">
        <v>74</v>
      </c>
      <c r="BA279" t="s">
        <v>74</v>
      </c>
      <c r="BB279" t="s">
        <v>74</v>
      </c>
      <c r="BC279" t="s">
        <v>74</v>
      </c>
      <c r="BD279">
        <v>1412</v>
      </c>
      <c r="BE279" t="s">
        <v>5842</v>
      </c>
      <c r="BF279" t="str">
        <f>HYPERLINK("http://dx.doi.org/10.3390/rs13081412","http://dx.doi.org/10.3390/rs13081412")</f>
        <v>http://dx.doi.org/10.3390/rs13081412</v>
      </c>
      <c r="BG279" t="s">
        <v>74</v>
      </c>
      <c r="BH279" t="s">
        <v>74</v>
      </c>
      <c r="BI279">
        <v>18</v>
      </c>
      <c r="BJ279" t="s">
        <v>442</v>
      </c>
      <c r="BK279" t="s">
        <v>101</v>
      </c>
      <c r="BL279" t="s">
        <v>443</v>
      </c>
      <c r="BM279" t="s">
        <v>5843</v>
      </c>
      <c r="BN279" t="s">
        <v>74</v>
      </c>
      <c r="BO279" t="s">
        <v>298</v>
      </c>
      <c r="BP279" t="s">
        <v>74</v>
      </c>
      <c r="BQ279" t="s">
        <v>74</v>
      </c>
      <c r="BR279" t="s">
        <v>104</v>
      </c>
      <c r="BS279" t="s">
        <v>5844</v>
      </c>
      <c r="BT279" t="str">
        <f>HYPERLINK("https%3A%2F%2Fwww.webofscience.com%2Fwos%2Fwoscc%2Ffull-record%2FWOS:000644666200001","View Full Record in Web of Science")</f>
        <v>View Full Record in Web of Science</v>
      </c>
    </row>
    <row r="280" spans="1:72" x14ac:dyDescent="0.15">
      <c r="A280" t="s">
        <v>72</v>
      </c>
      <c r="B280" t="s">
        <v>5845</v>
      </c>
      <c r="C280" t="s">
        <v>74</v>
      </c>
      <c r="D280" t="s">
        <v>74</v>
      </c>
      <c r="E280" t="s">
        <v>74</v>
      </c>
      <c r="F280" t="s">
        <v>5846</v>
      </c>
      <c r="G280" t="s">
        <v>74</v>
      </c>
      <c r="H280" t="s">
        <v>74</v>
      </c>
      <c r="I280" t="s">
        <v>5847</v>
      </c>
      <c r="J280" t="s">
        <v>425</v>
      </c>
      <c r="K280" t="s">
        <v>74</v>
      </c>
      <c r="L280" t="s">
        <v>74</v>
      </c>
      <c r="M280" t="s">
        <v>78</v>
      </c>
      <c r="N280" t="s">
        <v>79</v>
      </c>
      <c r="O280" t="s">
        <v>74</v>
      </c>
      <c r="P280" t="s">
        <v>74</v>
      </c>
      <c r="Q280" t="s">
        <v>74</v>
      </c>
      <c r="R280" t="s">
        <v>74</v>
      </c>
      <c r="S280" t="s">
        <v>74</v>
      </c>
      <c r="T280" t="s">
        <v>5848</v>
      </c>
      <c r="U280" t="s">
        <v>74</v>
      </c>
      <c r="V280" t="s">
        <v>5849</v>
      </c>
      <c r="W280" t="s">
        <v>5850</v>
      </c>
      <c r="X280" t="s">
        <v>5851</v>
      </c>
      <c r="Y280" t="s">
        <v>5852</v>
      </c>
      <c r="Z280" t="s">
        <v>5853</v>
      </c>
      <c r="AA280" t="s">
        <v>5854</v>
      </c>
      <c r="AB280" t="s">
        <v>5855</v>
      </c>
      <c r="AC280" t="s">
        <v>5856</v>
      </c>
      <c r="AD280" t="s">
        <v>5857</v>
      </c>
      <c r="AE280" t="s">
        <v>5858</v>
      </c>
      <c r="AF280" t="s">
        <v>74</v>
      </c>
      <c r="AG280">
        <v>42</v>
      </c>
      <c r="AH280">
        <v>3</v>
      </c>
      <c r="AI280">
        <v>3</v>
      </c>
      <c r="AJ280">
        <v>3</v>
      </c>
      <c r="AK280">
        <v>5</v>
      </c>
      <c r="AL280" t="s">
        <v>335</v>
      </c>
      <c r="AM280" t="s">
        <v>336</v>
      </c>
      <c r="AN280" t="s">
        <v>337</v>
      </c>
      <c r="AO280" t="s">
        <v>74</v>
      </c>
      <c r="AP280" t="s">
        <v>438</v>
      </c>
      <c r="AQ280" t="s">
        <v>74</v>
      </c>
      <c r="AR280" t="s">
        <v>439</v>
      </c>
      <c r="AS280" t="s">
        <v>440</v>
      </c>
      <c r="AT280" t="s">
        <v>2859</v>
      </c>
      <c r="AU280">
        <v>2021</v>
      </c>
      <c r="AV280">
        <v>13</v>
      </c>
      <c r="AW280">
        <v>8</v>
      </c>
      <c r="AX280" t="s">
        <v>74</v>
      </c>
      <c r="AY280" t="s">
        <v>74</v>
      </c>
      <c r="AZ280" t="s">
        <v>74</v>
      </c>
      <c r="BA280" t="s">
        <v>74</v>
      </c>
      <c r="BB280" t="s">
        <v>74</v>
      </c>
      <c r="BC280" t="s">
        <v>74</v>
      </c>
      <c r="BD280">
        <v>1421</v>
      </c>
      <c r="BE280" t="s">
        <v>5859</v>
      </c>
      <c r="BF280" t="str">
        <f>HYPERLINK("http://dx.doi.org/10.3390/rs13081421","http://dx.doi.org/10.3390/rs13081421")</f>
        <v>http://dx.doi.org/10.3390/rs13081421</v>
      </c>
      <c r="BG280" t="s">
        <v>74</v>
      </c>
      <c r="BH280" t="s">
        <v>74</v>
      </c>
      <c r="BI280">
        <v>19</v>
      </c>
      <c r="BJ280" t="s">
        <v>442</v>
      </c>
      <c r="BK280" t="s">
        <v>101</v>
      </c>
      <c r="BL280" t="s">
        <v>443</v>
      </c>
      <c r="BM280" t="s">
        <v>5860</v>
      </c>
      <c r="BN280" t="s">
        <v>74</v>
      </c>
      <c r="BO280" t="s">
        <v>2089</v>
      </c>
      <c r="BP280" t="s">
        <v>74</v>
      </c>
      <c r="BQ280" t="s">
        <v>74</v>
      </c>
      <c r="BR280" t="s">
        <v>104</v>
      </c>
      <c r="BS280" t="s">
        <v>5861</v>
      </c>
      <c r="BT280" t="str">
        <f>HYPERLINK("https%3A%2F%2Fwww.webofscience.com%2Fwos%2Fwoscc%2Ffull-record%2FWOS:000644670500001","View Full Record in Web of Science")</f>
        <v>View Full Record in Web of Science</v>
      </c>
    </row>
    <row r="281" spans="1:72" x14ac:dyDescent="0.15">
      <c r="A281" t="s">
        <v>72</v>
      </c>
      <c r="B281" t="s">
        <v>5862</v>
      </c>
      <c r="C281" t="s">
        <v>74</v>
      </c>
      <c r="D281" t="s">
        <v>74</v>
      </c>
      <c r="E281" t="s">
        <v>74</v>
      </c>
      <c r="F281" t="s">
        <v>5863</v>
      </c>
      <c r="G281" t="s">
        <v>74</v>
      </c>
      <c r="H281" t="s">
        <v>74</v>
      </c>
      <c r="I281" t="s">
        <v>5864</v>
      </c>
      <c r="J281" t="s">
        <v>5865</v>
      </c>
      <c r="K281" t="s">
        <v>74</v>
      </c>
      <c r="L281" t="s">
        <v>74</v>
      </c>
      <c r="M281" t="s">
        <v>78</v>
      </c>
      <c r="N281" t="s">
        <v>79</v>
      </c>
      <c r="O281" t="s">
        <v>74</v>
      </c>
      <c r="P281" t="s">
        <v>74</v>
      </c>
      <c r="Q281" t="s">
        <v>74</v>
      </c>
      <c r="R281" t="s">
        <v>74</v>
      </c>
      <c r="S281" t="s">
        <v>74</v>
      </c>
      <c r="T281" t="s">
        <v>5866</v>
      </c>
      <c r="U281" t="s">
        <v>5867</v>
      </c>
      <c r="V281" t="s">
        <v>5868</v>
      </c>
      <c r="W281" t="s">
        <v>5869</v>
      </c>
      <c r="X281" t="s">
        <v>5870</v>
      </c>
      <c r="Y281" t="s">
        <v>5871</v>
      </c>
      <c r="Z281" t="s">
        <v>5872</v>
      </c>
      <c r="AA281" t="s">
        <v>5873</v>
      </c>
      <c r="AB281" t="s">
        <v>5874</v>
      </c>
      <c r="AC281" t="s">
        <v>5875</v>
      </c>
      <c r="AD281" t="s">
        <v>5876</v>
      </c>
      <c r="AE281" t="s">
        <v>5877</v>
      </c>
      <c r="AF281" t="s">
        <v>74</v>
      </c>
      <c r="AG281">
        <v>75</v>
      </c>
      <c r="AH281">
        <v>7</v>
      </c>
      <c r="AI281">
        <v>8</v>
      </c>
      <c r="AJ281">
        <v>3</v>
      </c>
      <c r="AK281">
        <v>9</v>
      </c>
      <c r="AL281" t="s">
        <v>1160</v>
      </c>
      <c r="AM281" t="s">
        <v>891</v>
      </c>
      <c r="AN281" t="s">
        <v>1161</v>
      </c>
      <c r="AO281" t="s">
        <v>5878</v>
      </c>
      <c r="AP281" t="s">
        <v>5879</v>
      </c>
      <c r="AQ281" t="s">
        <v>74</v>
      </c>
      <c r="AR281" t="s">
        <v>5880</v>
      </c>
      <c r="AS281" t="s">
        <v>5881</v>
      </c>
      <c r="AT281" t="s">
        <v>2859</v>
      </c>
      <c r="AU281">
        <v>2021</v>
      </c>
      <c r="AV281">
        <v>191</v>
      </c>
      <c r="AW281">
        <v>4</v>
      </c>
      <c r="AX281" t="s">
        <v>74</v>
      </c>
      <c r="AY281" t="s">
        <v>74</v>
      </c>
      <c r="AZ281" t="s">
        <v>74</v>
      </c>
      <c r="BA281" t="s">
        <v>74</v>
      </c>
      <c r="BB281">
        <v>1160</v>
      </c>
      <c r="BC281">
        <v>1180</v>
      </c>
      <c r="BD281" t="s">
        <v>74</v>
      </c>
      <c r="BE281" t="s">
        <v>5882</v>
      </c>
      <c r="BF281" t="str">
        <f>HYPERLINK("http://dx.doi.org/10.1093/zoolinnean/zlaa075","http://dx.doi.org/10.1093/zoolinnean/zlaa075")</f>
        <v>http://dx.doi.org/10.1093/zoolinnean/zlaa075</v>
      </c>
      <c r="BG281" t="s">
        <v>74</v>
      </c>
      <c r="BH281" t="s">
        <v>74</v>
      </c>
      <c r="BI281">
        <v>21</v>
      </c>
      <c r="BJ281" t="s">
        <v>1229</v>
      </c>
      <c r="BK281" t="s">
        <v>101</v>
      </c>
      <c r="BL281" t="s">
        <v>1229</v>
      </c>
      <c r="BM281" t="s">
        <v>5883</v>
      </c>
      <c r="BN281" t="s">
        <v>74</v>
      </c>
      <c r="BO281" t="s">
        <v>74</v>
      </c>
      <c r="BP281" t="s">
        <v>74</v>
      </c>
      <c r="BQ281" t="s">
        <v>74</v>
      </c>
      <c r="BR281" t="s">
        <v>104</v>
      </c>
      <c r="BS281" t="s">
        <v>5884</v>
      </c>
      <c r="BT281" t="str">
        <f>HYPERLINK("https%3A%2F%2Fwww.webofscience.com%2Fwos%2Fwoscc%2Ffull-record%2FWOS:000637330900010","View Full Record in Web of Science")</f>
        <v>View Full Record in Web of Science</v>
      </c>
    </row>
    <row r="282" spans="1:72" x14ac:dyDescent="0.15">
      <c r="A282" t="s">
        <v>72</v>
      </c>
      <c r="B282" t="s">
        <v>5885</v>
      </c>
      <c r="C282" t="s">
        <v>74</v>
      </c>
      <c r="D282" t="s">
        <v>74</v>
      </c>
      <c r="E282" t="s">
        <v>74</v>
      </c>
      <c r="F282" t="s">
        <v>5886</v>
      </c>
      <c r="G282" t="s">
        <v>74</v>
      </c>
      <c r="H282" t="s">
        <v>74</v>
      </c>
      <c r="I282" t="s">
        <v>5887</v>
      </c>
      <c r="J282" t="s">
        <v>5888</v>
      </c>
      <c r="K282" t="s">
        <v>74</v>
      </c>
      <c r="L282" t="s">
        <v>74</v>
      </c>
      <c r="M282" t="s">
        <v>78</v>
      </c>
      <c r="N282" t="s">
        <v>79</v>
      </c>
      <c r="O282" t="s">
        <v>74</v>
      </c>
      <c r="P282" t="s">
        <v>74</v>
      </c>
      <c r="Q282" t="s">
        <v>74</v>
      </c>
      <c r="R282" t="s">
        <v>74</v>
      </c>
      <c r="S282" t="s">
        <v>74</v>
      </c>
      <c r="T282" t="s">
        <v>5889</v>
      </c>
      <c r="U282" t="s">
        <v>74</v>
      </c>
      <c r="V282" t="s">
        <v>5890</v>
      </c>
      <c r="W282" t="s">
        <v>5891</v>
      </c>
      <c r="X282" t="s">
        <v>5892</v>
      </c>
      <c r="Y282" t="s">
        <v>5893</v>
      </c>
      <c r="Z282" t="s">
        <v>5894</v>
      </c>
      <c r="AA282" t="s">
        <v>5895</v>
      </c>
      <c r="AB282" t="s">
        <v>5896</v>
      </c>
      <c r="AC282" t="s">
        <v>5897</v>
      </c>
      <c r="AD282" t="s">
        <v>5897</v>
      </c>
      <c r="AE282" t="s">
        <v>5898</v>
      </c>
      <c r="AF282" t="s">
        <v>74</v>
      </c>
      <c r="AG282">
        <v>51</v>
      </c>
      <c r="AH282">
        <v>25</v>
      </c>
      <c r="AI282">
        <v>26</v>
      </c>
      <c r="AJ282">
        <v>1</v>
      </c>
      <c r="AK282">
        <v>13</v>
      </c>
      <c r="AL282" t="s">
        <v>335</v>
      </c>
      <c r="AM282" t="s">
        <v>336</v>
      </c>
      <c r="AN282" t="s">
        <v>337</v>
      </c>
      <c r="AO282" t="s">
        <v>74</v>
      </c>
      <c r="AP282" t="s">
        <v>5899</v>
      </c>
      <c r="AQ282" t="s">
        <v>74</v>
      </c>
      <c r="AR282" t="s">
        <v>5888</v>
      </c>
      <c r="AS282" t="s">
        <v>5900</v>
      </c>
      <c r="AT282" t="s">
        <v>2859</v>
      </c>
      <c r="AU282">
        <v>2021</v>
      </c>
      <c r="AV282">
        <v>14</v>
      </c>
      <c r="AW282">
        <v>7</v>
      </c>
      <c r="AX282" t="s">
        <v>74</v>
      </c>
      <c r="AY282" t="s">
        <v>74</v>
      </c>
      <c r="AZ282" t="s">
        <v>74</v>
      </c>
      <c r="BA282" t="s">
        <v>74</v>
      </c>
      <c r="BB282" t="s">
        <v>74</v>
      </c>
      <c r="BC282" t="s">
        <v>74</v>
      </c>
      <c r="BD282">
        <v>1803</v>
      </c>
      <c r="BE282" t="s">
        <v>5901</v>
      </c>
      <c r="BF282" t="str">
        <f>HYPERLINK("http://dx.doi.org/10.3390/en14071803","http://dx.doi.org/10.3390/en14071803")</f>
        <v>http://dx.doi.org/10.3390/en14071803</v>
      </c>
      <c r="BG282" t="s">
        <v>74</v>
      </c>
      <c r="BH282" t="s">
        <v>74</v>
      </c>
      <c r="BI282">
        <v>25</v>
      </c>
      <c r="BJ282" t="s">
        <v>5902</v>
      </c>
      <c r="BK282" t="s">
        <v>101</v>
      </c>
      <c r="BL282" t="s">
        <v>5902</v>
      </c>
      <c r="BM282" t="s">
        <v>5903</v>
      </c>
      <c r="BN282" t="s">
        <v>74</v>
      </c>
      <c r="BO282" t="s">
        <v>317</v>
      </c>
      <c r="BP282" t="s">
        <v>74</v>
      </c>
      <c r="BQ282" t="s">
        <v>74</v>
      </c>
      <c r="BR282" t="s">
        <v>104</v>
      </c>
      <c r="BS282" t="s">
        <v>5904</v>
      </c>
      <c r="BT282" t="str">
        <f>HYPERLINK("https%3A%2F%2Fwww.webofscience.com%2Fwos%2Fwoscc%2Ffull-record%2FWOS:000638411700001","View Full Record in Web of Science")</f>
        <v>View Full Record in Web of Science</v>
      </c>
    </row>
    <row r="283" spans="1:72" x14ac:dyDescent="0.15">
      <c r="A283" t="s">
        <v>72</v>
      </c>
      <c r="B283" t="s">
        <v>5905</v>
      </c>
      <c r="C283" t="s">
        <v>74</v>
      </c>
      <c r="D283" t="s">
        <v>74</v>
      </c>
      <c r="E283" t="s">
        <v>74</v>
      </c>
      <c r="F283" t="s">
        <v>5906</v>
      </c>
      <c r="G283" t="s">
        <v>74</v>
      </c>
      <c r="H283" t="s">
        <v>74</v>
      </c>
      <c r="I283" t="s">
        <v>5907</v>
      </c>
      <c r="J283" t="s">
        <v>5908</v>
      </c>
      <c r="K283" t="s">
        <v>74</v>
      </c>
      <c r="L283" t="s">
        <v>74</v>
      </c>
      <c r="M283" t="s">
        <v>78</v>
      </c>
      <c r="N283" t="s">
        <v>79</v>
      </c>
      <c r="O283" t="s">
        <v>74</v>
      </c>
      <c r="P283" t="s">
        <v>74</v>
      </c>
      <c r="Q283" t="s">
        <v>74</v>
      </c>
      <c r="R283" t="s">
        <v>74</v>
      </c>
      <c r="S283" t="s">
        <v>74</v>
      </c>
      <c r="T283" t="s">
        <v>5909</v>
      </c>
      <c r="U283" t="s">
        <v>74</v>
      </c>
      <c r="V283" t="s">
        <v>5910</v>
      </c>
      <c r="W283" t="s">
        <v>5911</v>
      </c>
      <c r="X283" t="s">
        <v>5506</v>
      </c>
      <c r="Y283" t="s">
        <v>5912</v>
      </c>
      <c r="Z283" t="s">
        <v>5913</v>
      </c>
      <c r="AA283" t="s">
        <v>74</v>
      </c>
      <c r="AB283" t="s">
        <v>5914</v>
      </c>
      <c r="AC283" t="s">
        <v>5915</v>
      </c>
      <c r="AD283" t="s">
        <v>5916</v>
      </c>
      <c r="AE283" t="s">
        <v>5917</v>
      </c>
      <c r="AF283" t="s">
        <v>74</v>
      </c>
      <c r="AG283">
        <v>44</v>
      </c>
      <c r="AH283">
        <v>4</v>
      </c>
      <c r="AI283">
        <v>4</v>
      </c>
      <c r="AJ283">
        <v>0</v>
      </c>
      <c r="AK283">
        <v>6</v>
      </c>
      <c r="AL283" t="s">
        <v>166</v>
      </c>
      <c r="AM283" t="s">
        <v>192</v>
      </c>
      <c r="AN283" t="s">
        <v>193</v>
      </c>
      <c r="AO283" t="s">
        <v>5918</v>
      </c>
      <c r="AP283" t="s">
        <v>5919</v>
      </c>
      <c r="AQ283" t="s">
        <v>74</v>
      </c>
      <c r="AR283" t="s">
        <v>5920</v>
      </c>
      <c r="AS283" t="s">
        <v>5921</v>
      </c>
      <c r="AT283" t="s">
        <v>1035</v>
      </c>
      <c r="AU283">
        <v>2021</v>
      </c>
      <c r="AV283">
        <v>23</v>
      </c>
      <c r="AW283">
        <v>7</v>
      </c>
      <c r="AX283" t="s">
        <v>74</v>
      </c>
      <c r="AY283" t="s">
        <v>74</v>
      </c>
      <c r="AZ283" t="s">
        <v>74</v>
      </c>
      <c r="BA283" t="s">
        <v>74</v>
      </c>
      <c r="BB283">
        <v>2261</v>
      </c>
      <c r="BC283">
        <v>2270</v>
      </c>
      <c r="BD283" t="s">
        <v>74</v>
      </c>
      <c r="BE283" t="s">
        <v>5922</v>
      </c>
      <c r="BF283" t="str">
        <f>HYPERLINK("http://dx.doi.org/10.1007/s10530-021-02504-9","http://dx.doi.org/10.1007/s10530-021-02504-9")</f>
        <v>http://dx.doi.org/10.1007/s10530-021-02504-9</v>
      </c>
      <c r="BG283" t="s">
        <v>74</v>
      </c>
      <c r="BH283" t="s">
        <v>514</v>
      </c>
      <c r="BI283">
        <v>10</v>
      </c>
      <c r="BJ283" t="s">
        <v>1438</v>
      </c>
      <c r="BK283" t="s">
        <v>101</v>
      </c>
      <c r="BL283" t="s">
        <v>1439</v>
      </c>
      <c r="BM283" t="s">
        <v>5923</v>
      </c>
      <c r="BN283" t="s">
        <v>74</v>
      </c>
      <c r="BO283" t="s">
        <v>496</v>
      </c>
      <c r="BP283" t="s">
        <v>74</v>
      </c>
      <c r="BQ283" t="s">
        <v>74</v>
      </c>
      <c r="BR283" t="s">
        <v>104</v>
      </c>
      <c r="BS283" t="s">
        <v>5924</v>
      </c>
      <c r="BT283" t="str">
        <f>HYPERLINK("https%3A%2F%2Fwww.webofscience.com%2Fwos%2Fwoscc%2Ffull-record%2FWOS:000635876300002","View Full Record in Web of Science")</f>
        <v>View Full Record in Web of Science</v>
      </c>
    </row>
    <row r="284" spans="1:72" x14ac:dyDescent="0.15">
      <c r="A284" t="s">
        <v>72</v>
      </c>
      <c r="B284" t="s">
        <v>5925</v>
      </c>
      <c r="C284" t="s">
        <v>74</v>
      </c>
      <c r="D284" t="s">
        <v>74</v>
      </c>
      <c r="E284" t="s">
        <v>74</v>
      </c>
      <c r="F284" t="s">
        <v>5926</v>
      </c>
      <c r="G284" t="s">
        <v>74</v>
      </c>
      <c r="H284" t="s">
        <v>74</v>
      </c>
      <c r="I284" t="s">
        <v>5927</v>
      </c>
      <c r="J284" t="s">
        <v>5928</v>
      </c>
      <c r="K284" t="s">
        <v>74</v>
      </c>
      <c r="L284" t="s">
        <v>74</v>
      </c>
      <c r="M284" t="s">
        <v>78</v>
      </c>
      <c r="N284" t="s">
        <v>79</v>
      </c>
      <c r="O284" t="s">
        <v>74</v>
      </c>
      <c r="P284" t="s">
        <v>74</v>
      </c>
      <c r="Q284" t="s">
        <v>74</v>
      </c>
      <c r="R284" t="s">
        <v>74</v>
      </c>
      <c r="S284" t="s">
        <v>74</v>
      </c>
      <c r="T284" t="s">
        <v>5929</v>
      </c>
      <c r="U284" t="s">
        <v>5930</v>
      </c>
      <c r="V284" t="s">
        <v>5931</v>
      </c>
      <c r="W284" t="s">
        <v>5932</v>
      </c>
      <c r="X284" t="s">
        <v>5933</v>
      </c>
      <c r="Y284" t="s">
        <v>5934</v>
      </c>
      <c r="Z284" t="s">
        <v>5935</v>
      </c>
      <c r="AA284" t="s">
        <v>74</v>
      </c>
      <c r="AB284" t="s">
        <v>5936</v>
      </c>
      <c r="AC284" t="s">
        <v>5937</v>
      </c>
      <c r="AD284" t="s">
        <v>5938</v>
      </c>
      <c r="AE284" t="s">
        <v>5939</v>
      </c>
      <c r="AF284" t="s">
        <v>74</v>
      </c>
      <c r="AG284">
        <v>225</v>
      </c>
      <c r="AH284">
        <v>39</v>
      </c>
      <c r="AI284">
        <v>40</v>
      </c>
      <c r="AJ284">
        <v>3</v>
      </c>
      <c r="AK284">
        <v>19</v>
      </c>
      <c r="AL284" t="s">
        <v>576</v>
      </c>
      <c r="AM284" t="s">
        <v>577</v>
      </c>
      <c r="AN284" t="s">
        <v>578</v>
      </c>
      <c r="AO284" t="s">
        <v>5940</v>
      </c>
      <c r="AP284" t="s">
        <v>5941</v>
      </c>
      <c r="AQ284" t="s">
        <v>74</v>
      </c>
      <c r="AR284" t="s">
        <v>5942</v>
      </c>
      <c r="AS284" t="s">
        <v>5943</v>
      </c>
      <c r="AT284" t="s">
        <v>2859</v>
      </c>
      <c r="AU284">
        <v>2021</v>
      </c>
      <c r="AV284">
        <v>215</v>
      </c>
      <c r="AW284" t="s">
        <v>74</v>
      </c>
      <c r="AX284" t="s">
        <v>74</v>
      </c>
      <c r="AY284" t="s">
        <v>74</v>
      </c>
      <c r="AZ284" t="s">
        <v>74</v>
      </c>
      <c r="BA284" t="s">
        <v>74</v>
      </c>
      <c r="BB284" t="s">
        <v>74</v>
      </c>
      <c r="BC284" t="s">
        <v>74</v>
      </c>
      <c r="BD284">
        <v>103551</v>
      </c>
      <c r="BE284" t="s">
        <v>5944</v>
      </c>
      <c r="BF284" t="str">
        <f>HYPERLINK("http://dx.doi.org/10.1016/j.earscirev.2021.103551","http://dx.doi.org/10.1016/j.earscirev.2021.103551")</f>
        <v>http://dx.doi.org/10.1016/j.earscirev.2021.103551</v>
      </c>
      <c r="BG284" t="s">
        <v>74</v>
      </c>
      <c r="BH284" t="s">
        <v>74</v>
      </c>
      <c r="BI284">
        <v>25</v>
      </c>
      <c r="BJ284" t="s">
        <v>100</v>
      </c>
      <c r="BK284" t="s">
        <v>101</v>
      </c>
      <c r="BL284" t="s">
        <v>102</v>
      </c>
      <c r="BM284" t="s">
        <v>5945</v>
      </c>
      <c r="BN284" t="s">
        <v>74</v>
      </c>
      <c r="BO284" t="s">
        <v>2344</v>
      </c>
      <c r="BP284" t="s">
        <v>74</v>
      </c>
      <c r="BQ284" t="s">
        <v>74</v>
      </c>
      <c r="BR284" t="s">
        <v>104</v>
      </c>
      <c r="BS284" t="s">
        <v>5946</v>
      </c>
      <c r="BT284" t="str">
        <f>HYPERLINK("https%3A%2F%2Fwww.webofscience.com%2Fwos%2Fwoscc%2Ffull-record%2FWOS:000634962500001","View Full Record in Web of Science")</f>
        <v>View Full Record in Web of Science</v>
      </c>
    </row>
    <row r="285" spans="1:72" x14ac:dyDescent="0.15">
      <c r="A285" t="s">
        <v>72</v>
      </c>
      <c r="B285" t="s">
        <v>5947</v>
      </c>
      <c r="C285" t="s">
        <v>74</v>
      </c>
      <c r="D285" t="s">
        <v>74</v>
      </c>
      <c r="E285" t="s">
        <v>74</v>
      </c>
      <c r="F285" t="s">
        <v>5948</v>
      </c>
      <c r="G285" t="s">
        <v>74</v>
      </c>
      <c r="H285" t="s">
        <v>74</v>
      </c>
      <c r="I285" t="s">
        <v>5949</v>
      </c>
      <c r="J285" t="s">
        <v>5950</v>
      </c>
      <c r="K285" t="s">
        <v>74</v>
      </c>
      <c r="L285" t="s">
        <v>74</v>
      </c>
      <c r="M285" t="s">
        <v>78</v>
      </c>
      <c r="N285" t="s">
        <v>1799</v>
      </c>
      <c r="O285" t="s">
        <v>74</v>
      </c>
      <c r="P285" t="s">
        <v>74</v>
      </c>
      <c r="Q285" t="s">
        <v>74</v>
      </c>
      <c r="R285" t="s">
        <v>74</v>
      </c>
      <c r="S285" t="s">
        <v>74</v>
      </c>
      <c r="T285" t="s">
        <v>74</v>
      </c>
      <c r="U285" t="s">
        <v>74</v>
      </c>
      <c r="V285" t="s">
        <v>74</v>
      </c>
      <c r="W285" t="s">
        <v>5951</v>
      </c>
      <c r="X285" t="s">
        <v>5952</v>
      </c>
      <c r="Y285" t="s">
        <v>5953</v>
      </c>
      <c r="Z285" t="s">
        <v>74</v>
      </c>
      <c r="AA285" t="s">
        <v>5954</v>
      </c>
      <c r="AB285" t="s">
        <v>74</v>
      </c>
      <c r="AC285" t="s">
        <v>74</v>
      </c>
      <c r="AD285" t="s">
        <v>74</v>
      </c>
      <c r="AE285" t="s">
        <v>74</v>
      </c>
      <c r="AF285" t="s">
        <v>74</v>
      </c>
      <c r="AG285">
        <v>0</v>
      </c>
      <c r="AH285">
        <v>0</v>
      </c>
      <c r="AI285">
        <v>0</v>
      </c>
      <c r="AJ285">
        <v>0</v>
      </c>
      <c r="AK285">
        <v>0</v>
      </c>
      <c r="AL285" t="s">
        <v>795</v>
      </c>
      <c r="AM285" t="s">
        <v>796</v>
      </c>
      <c r="AN285" t="s">
        <v>797</v>
      </c>
      <c r="AO285" t="s">
        <v>5955</v>
      </c>
      <c r="AP285" t="s">
        <v>5956</v>
      </c>
      <c r="AQ285" t="s">
        <v>74</v>
      </c>
      <c r="AR285" t="s">
        <v>5957</v>
      </c>
      <c r="AS285" t="s">
        <v>5958</v>
      </c>
      <c r="AT285" t="s">
        <v>2859</v>
      </c>
      <c r="AU285">
        <v>2021</v>
      </c>
      <c r="AV285">
        <v>19</v>
      </c>
      <c r="AW285">
        <v>3</v>
      </c>
      <c r="AX285" t="s">
        <v>74</v>
      </c>
      <c r="AY285" t="s">
        <v>74</v>
      </c>
      <c r="AZ285" t="s">
        <v>74</v>
      </c>
      <c r="BA285" t="s">
        <v>74</v>
      </c>
      <c r="BB285">
        <v>183</v>
      </c>
      <c r="BC285">
        <v>183</v>
      </c>
      <c r="BD285" t="s">
        <v>74</v>
      </c>
      <c r="BE285" t="s">
        <v>5959</v>
      </c>
      <c r="BF285" t="str">
        <f>HYPERLINK("http://dx.doi.org/10.1002/fee.2331","http://dx.doi.org/10.1002/fee.2331")</f>
        <v>http://dx.doi.org/10.1002/fee.2331</v>
      </c>
      <c r="BG285" t="s">
        <v>74</v>
      </c>
      <c r="BH285" t="s">
        <v>74</v>
      </c>
      <c r="BI285">
        <v>1</v>
      </c>
      <c r="BJ285" t="s">
        <v>633</v>
      </c>
      <c r="BK285" t="s">
        <v>101</v>
      </c>
      <c r="BL285" t="s">
        <v>225</v>
      </c>
      <c r="BM285" t="s">
        <v>5960</v>
      </c>
      <c r="BN285" t="s">
        <v>74</v>
      </c>
      <c r="BO285" t="s">
        <v>74</v>
      </c>
      <c r="BP285" t="s">
        <v>74</v>
      </c>
      <c r="BQ285" t="s">
        <v>74</v>
      </c>
      <c r="BR285" t="s">
        <v>104</v>
      </c>
      <c r="BS285" t="s">
        <v>5961</v>
      </c>
      <c r="BT285" t="str">
        <f>HYPERLINK("https%3A%2F%2Fwww.webofscience.com%2Fwos%2Fwoscc%2Ffull-record%2FWOS:000635713500018","View Full Record in Web of Science")</f>
        <v>View Full Record in Web of Science</v>
      </c>
    </row>
    <row r="286" spans="1:72" x14ac:dyDescent="0.15">
      <c r="A286" t="s">
        <v>72</v>
      </c>
      <c r="B286" t="s">
        <v>5962</v>
      </c>
      <c r="C286" t="s">
        <v>74</v>
      </c>
      <c r="D286" t="s">
        <v>74</v>
      </c>
      <c r="E286" t="s">
        <v>74</v>
      </c>
      <c r="F286" t="s">
        <v>5963</v>
      </c>
      <c r="G286" t="s">
        <v>74</v>
      </c>
      <c r="H286" t="s">
        <v>74</v>
      </c>
      <c r="I286" t="s">
        <v>5964</v>
      </c>
      <c r="J286" t="s">
        <v>5965</v>
      </c>
      <c r="K286" t="s">
        <v>74</v>
      </c>
      <c r="L286" t="s">
        <v>74</v>
      </c>
      <c r="M286" t="s">
        <v>78</v>
      </c>
      <c r="N286" t="s">
        <v>79</v>
      </c>
      <c r="O286" t="s">
        <v>74</v>
      </c>
      <c r="P286" t="s">
        <v>74</v>
      </c>
      <c r="Q286" t="s">
        <v>74</v>
      </c>
      <c r="R286" t="s">
        <v>74</v>
      </c>
      <c r="S286" t="s">
        <v>74</v>
      </c>
      <c r="T286" t="s">
        <v>5966</v>
      </c>
      <c r="U286" t="s">
        <v>74</v>
      </c>
      <c r="V286" t="s">
        <v>5967</v>
      </c>
      <c r="W286" t="s">
        <v>5968</v>
      </c>
      <c r="X286" t="s">
        <v>5969</v>
      </c>
      <c r="Y286" t="s">
        <v>5970</v>
      </c>
      <c r="Z286" t="s">
        <v>5971</v>
      </c>
      <c r="AA286" t="s">
        <v>74</v>
      </c>
      <c r="AB286" t="s">
        <v>5972</v>
      </c>
      <c r="AC286" t="s">
        <v>5973</v>
      </c>
      <c r="AD286" t="s">
        <v>3979</v>
      </c>
      <c r="AE286" t="s">
        <v>5974</v>
      </c>
      <c r="AF286" t="s">
        <v>74</v>
      </c>
      <c r="AG286">
        <v>42</v>
      </c>
      <c r="AH286">
        <v>4</v>
      </c>
      <c r="AI286">
        <v>4</v>
      </c>
      <c r="AJ286">
        <v>1</v>
      </c>
      <c r="AK286">
        <v>6</v>
      </c>
      <c r="AL286" t="s">
        <v>625</v>
      </c>
      <c r="AM286" t="s">
        <v>1482</v>
      </c>
      <c r="AN286" t="s">
        <v>4351</v>
      </c>
      <c r="AO286" t="s">
        <v>5975</v>
      </c>
      <c r="AP286" t="s">
        <v>5976</v>
      </c>
      <c r="AQ286" t="s">
        <v>74</v>
      </c>
      <c r="AR286" t="s">
        <v>5977</v>
      </c>
      <c r="AS286" t="s">
        <v>5978</v>
      </c>
      <c r="AT286" t="s">
        <v>2859</v>
      </c>
      <c r="AU286">
        <v>2021</v>
      </c>
      <c r="AV286">
        <v>70</v>
      </c>
      <c r="AW286">
        <v>2</v>
      </c>
      <c r="AX286" t="s">
        <v>74</v>
      </c>
      <c r="AY286" t="s">
        <v>74</v>
      </c>
      <c r="AZ286" t="s">
        <v>74</v>
      </c>
      <c r="BA286" t="s">
        <v>74</v>
      </c>
      <c r="BB286">
        <v>491</v>
      </c>
      <c r="BC286">
        <v>503</v>
      </c>
      <c r="BD286" t="s">
        <v>5979</v>
      </c>
      <c r="BE286" t="s">
        <v>5980</v>
      </c>
      <c r="BF286" t="str">
        <f>HYPERLINK("http://dx.doi.org/10.1017/S0020589321000051","http://dx.doi.org/10.1017/S0020589321000051")</f>
        <v>http://dx.doi.org/10.1017/S0020589321000051</v>
      </c>
      <c r="BG286" t="s">
        <v>74</v>
      </c>
      <c r="BH286" t="s">
        <v>74</v>
      </c>
      <c r="BI286">
        <v>13</v>
      </c>
      <c r="BJ286" t="s">
        <v>5981</v>
      </c>
      <c r="BK286" t="s">
        <v>3246</v>
      </c>
      <c r="BL286" t="s">
        <v>5982</v>
      </c>
      <c r="BM286" t="s">
        <v>5983</v>
      </c>
      <c r="BN286" t="s">
        <v>74</v>
      </c>
      <c r="BO286" t="s">
        <v>712</v>
      </c>
      <c r="BP286" t="s">
        <v>74</v>
      </c>
      <c r="BQ286" t="s">
        <v>74</v>
      </c>
      <c r="BR286" t="s">
        <v>104</v>
      </c>
      <c r="BS286" t="s">
        <v>5984</v>
      </c>
      <c r="BT286" t="str">
        <f>HYPERLINK("https%3A%2F%2Fwww.webofscience.com%2Fwos%2Fwoscc%2Ffull-record%2FWOS:000632885300007","View Full Record in Web of Science")</f>
        <v>View Full Record in Web of Science</v>
      </c>
    </row>
    <row r="287" spans="1:72" x14ac:dyDescent="0.15">
      <c r="A287" t="s">
        <v>72</v>
      </c>
      <c r="B287" t="s">
        <v>5985</v>
      </c>
      <c r="C287" t="s">
        <v>74</v>
      </c>
      <c r="D287" t="s">
        <v>74</v>
      </c>
      <c r="E287" t="s">
        <v>74</v>
      </c>
      <c r="F287" t="s">
        <v>5986</v>
      </c>
      <c r="G287" t="s">
        <v>74</v>
      </c>
      <c r="H287" t="s">
        <v>74</v>
      </c>
      <c r="I287" t="s">
        <v>5987</v>
      </c>
      <c r="J287" t="s">
        <v>5988</v>
      </c>
      <c r="K287" t="s">
        <v>74</v>
      </c>
      <c r="L287" t="s">
        <v>74</v>
      </c>
      <c r="M287" t="s">
        <v>78</v>
      </c>
      <c r="N287" t="s">
        <v>79</v>
      </c>
      <c r="O287" t="s">
        <v>74</v>
      </c>
      <c r="P287" t="s">
        <v>74</v>
      </c>
      <c r="Q287" t="s">
        <v>74</v>
      </c>
      <c r="R287" t="s">
        <v>74</v>
      </c>
      <c r="S287" t="s">
        <v>74</v>
      </c>
      <c r="T287" t="s">
        <v>5989</v>
      </c>
      <c r="U287" t="s">
        <v>74</v>
      </c>
      <c r="V287" t="s">
        <v>5990</v>
      </c>
      <c r="W287" t="s">
        <v>5991</v>
      </c>
      <c r="X287" t="s">
        <v>5992</v>
      </c>
      <c r="Y287" t="s">
        <v>5993</v>
      </c>
      <c r="Z287" t="s">
        <v>5994</v>
      </c>
      <c r="AA287" t="s">
        <v>5995</v>
      </c>
      <c r="AB287" t="s">
        <v>5996</v>
      </c>
      <c r="AC287" t="s">
        <v>5997</v>
      </c>
      <c r="AD287" t="s">
        <v>5998</v>
      </c>
      <c r="AE287" t="s">
        <v>5999</v>
      </c>
      <c r="AF287" t="s">
        <v>74</v>
      </c>
      <c r="AG287">
        <v>89</v>
      </c>
      <c r="AH287">
        <v>2</v>
      </c>
      <c r="AI287">
        <v>3</v>
      </c>
      <c r="AJ287">
        <v>0</v>
      </c>
      <c r="AK287">
        <v>4</v>
      </c>
      <c r="AL287" t="s">
        <v>166</v>
      </c>
      <c r="AM287" t="s">
        <v>167</v>
      </c>
      <c r="AN287" t="s">
        <v>168</v>
      </c>
      <c r="AO287" t="s">
        <v>6000</v>
      </c>
      <c r="AP287" t="s">
        <v>6001</v>
      </c>
      <c r="AQ287" t="s">
        <v>74</v>
      </c>
      <c r="AR287" t="s">
        <v>6002</v>
      </c>
      <c r="AS287" t="s">
        <v>6003</v>
      </c>
      <c r="AT287" t="s">
        <v>2859</v>
      </c>
      <c r="AU287">
        <v>2021</v>
      </c>
      <c r="AV287">
        <v>176</v>
      </c>
      <c r="AW287">
        <v>4</v>
      </c>
      <c r="AX287" t="s">
        <v>74</v>
      </c>
      <c r="AY287" t="s">
        <v>74</v>
      </c>
      <c r="AZ287" t="s">
        <v>74</v>
      </c>
      <c r="BA287" t="s">
        <v>74</v>
      </c>
      <c r="BB287" t="s">
        <v>74</v>
      </c>
      <c r="BC287" t="s">
        <v>74</v>
      </c>
      <c r="BD287">
        <v>28</v>
      </c>
      <c r="BE287" t="s">
        <v>6004</v>
      </c>
      <c r="BF287" t="str">
        <f>HYPERLINK("http://dx.doi.org/10.1007/s00410-021-01777-6","http://dx.doi.org/10.1007/s00410-021-01777-6")</f>
        <v>http://dx.doi.org/10.1007/s00410-021-01777-6</v>
      </c>
      <c r="BG287" t="s">
        <v>74</v>
      </c>
      <c r="BH287" t="s">
        <v>74</v>
      </c>
      <c r="BI287">
        <v>21</v>
      </c>
      <c r="BJ287" t="s">
        <v>4732</v>
      </c>
      <c r="BK287" t="s">
        <v>101</v>
      </c>
      <c r="BL287" t="s">
        <v>4732</v>
      </c>
      <c r="BM287" t="s">
        <v>6005</v>
      </c>
      <c r="BN287" t="s">
        <v>74</v>
      </c>
      <c r="BO287" t="s">
        <v>1492</v>
      </c>
      <c r="BP287" t="s">
        <v>74</v>
      </c>
      <c r="BQ287" t="s">
        <v>74</v>
      </c>
      <c r="BR287" t="s">
        <v>104</v>
      </c>
      <c r="BS287" t="s">
        <v>6006</v>
      </c>
      <c r="BT287" t="str">
        <f>HYPERLINK("https%3A%2F%2Fwww.webofscience.com%2Fwos%2Fwoscc%2Ffull-record%2FWOS:000635135400001","View Full Record in Web of Science")</f>
        <v>View Full Record in Web of Science</v>
      </c>
    </row>
    <row r="288" spans="1:72" x14ac:dyDescent="0.15">
      <c r="A288" t="s">
        <v>72</v>
      </c>
      <c r="B288" t="s">
        <v>6007</v>
      </c>
      <c r="C288" t="s">
        <v>74</v>
      </c>
      <c r="D288" t="s">
        <v>74</v>
      </c>
      <c r="E288" t="s">
        <v>74</v>
      </c>
      <c r="F288" t="s">
        <v>6008</v>
      </c>
      <c r="G288" t="s">
        <v>74</v>
      </c>
      <c r="H288" t="s">
        <v>74</v>
      </c>
      <c r="I288" t="s">
        <v>6009</v>
      </c>
      <c r="J288" t="s">
        <v>6010</v>
      </c>
      <c r="K288" t="s">
        <v>74</v>
      </c>
      <c r="L288" t="s">
        <v>74</v>
      </c>
      <c r="M288" t="s">
        <v>78</v>
      </c>
      <c r="N288" t="s">
        <v>3616</v>
      </c>
      <c r="O288" t="s">
        <v>74</v>
      </c>
      <c r="P288" t="s">
        <v>74</v>
      </c>
      <c r="Q288" t="s">
        <v>74</v>
      </c>
      <c r="R288" t="s">
        <v>74</v>
      </c>
      <c r="S288" t="s">
        <v>74</v>
      </c>
      <c r="T288" t="s">
        <v>74</v>
      </c>
      <c r="U288" t="s">
        <v>74</v>
      </c>
      <c r="V288" t="s">
        <v>74</v>
      </c>
      <c r="W288" t="s">
        <v>6011</v>
      </c>
      <c r="X288" t="s">
        <v>6012</v>
      </c>
      <c r="Y288" t="s">
        <v>6013</v>
      </c>
      <c r="Z288" t="s">
        <v>6014</v>
      </c>
      <c r="AA288" t="s">
        <v>6015</v>
      </c>
      <c r="AB288" t="s">
        <v>6016</v>
      </c>
      <c r="AC288" t="s">
        <v>74</v>
      </c>
      <c r="AD288" t="s">
        <v>74</v>
      </c>
      <c r="AE288" t="s">
        <v>74</v>
      </c>
      <c r="AF288" t="s">
        <v>74</v>
      </c>
      <c r="AG288">
        <v>1</v>
      </c>
      <c r="AH288">
        <v>0</v>
      </c>
      <c r="AI288">
        <v>0</v>
      </c>
      <c r="AJ288">
        <v>0</v>
      </c>
      <c r="AK288">
        <v>10</v>
      </c>
      <c r="AL288" t="s">
        <v>389</v>
      </c>
      <c r="AM288" t="s">
        <v>390</v>
      </c>
      <c r="AN288" t="s">
        <v>391</v>
      </c>
      <c r="AO288" t="s">
        <v>6017</v>
      </c>
      <c r="AP288" t="s">
        <v>6018</v>
      </c>
      <c r="AQ288" t="s">
        <v>74</v>
      </c>
      <c r="AR288" t="s">
        <v>6019</v>
      </c>
      <c r="AS288" t="s">
        <v>6020</v>
      </c>
      <c r="AT288" t="s">
        <v>2859</v>
      </c>
      <c r="AU288">
        <v>2021</v>
      </c>
      <c r="AV288">
        <v>87</v>
      </c>
      <c r="AW288">
        <v>7</v>
      </c>
      <c r="AX288" t="s">
        <v>74</v>
      </c>
      <c r="AY288" t="s">
        <v>74</v>
      </c>
      <c r="AZ288" t="s">
        <v>74</v>
      </c>
      <c r="BA288" t="s">
        <v>74</v>
      </c>
      <c r="BB288" t="s">
        <v>74</v>
      </c>
      <c r="BC288" t="s">
        <v>74</v>
      </c>
      <c r="BD288" t="s">
        <v>6021</v>
      </c>
      <c r="BE288" t="s">
        <v>6022</v>
      </c>
      <c r="BF288" t="str">
        <f>HYPERLINK("http://dx.doi.org/10.1128/AEM.00128-21","http://dx.doi.org/10.1128/AEM.00128-21")</f>
        <v>http://dx.doi.org/10.1128/AEM.00128-21</v>
      </c>
      <c r="BG288" t="s">
        <v>74</v>
      </c>
      <c r="BH288" t="s">
        <v>74</v>
      </c>
      <c r="BI288">
        <v>1</v>
      </c>
      <c r="BJ288" t="s">
        <v>6023</v>
      </c>
      <c r="BK288" t="s">
        <v>101</v>
      </c>
      <c r="BL288" t="s">
        <v>6023</v>
      </c>
      <c r="BM288" t="s">
        <v>6024</v>
      </c>
      <c r="BN288">
        <v>33707232</v>
      </c>
      <c r="BO288" t="s">
        <v>398</v>
      </c>
      <c r="BP288" t="s">
        <v>74</v>
      </c>
      <c r="BQ288" t="s">
        <v>74</v>
      </c>
      <c r="BR288" t="s">
        <v>104</v>
      </c>
      <c r="BS288" t="s">
        <v>6025</v>
      </c>
      <c r="BT288" t="str">
        <f>HYPERLINK("https%3A%2F%2Fwww.webofscience.com%2Fwos%2Fwoscc%2Ffull-record%2FWOS:000629008400001","View Full Record in Web of Science")</f>
        <v>View Full Record in Web of Science</v>
      </c>
    </row>
    <row r="289" spans="1:72" x14ac:dyDescent="0.15">
      <c r="A289" t="s">
        <v>72</v>
      </c>
      <c r="B289" t="s">
        <v>6026</v>
      </c>
      <c r="C289" t="s">
        <v>74</v>
      </c>
      <c r="D289" t="s">
        <v>74</v>
      </c>
      <c r="E289" t="s">
        <v>74</v>
      </c>
      <c r="F289" t="s">
        <v>6027</v>
      </c>
      <c r="G289" t="s">
        <v>74</v>
      </c>
      <c r="H289" t="s">
        <v>74</v>
      </c>
      <c r="I289" t="s">
        <v>6028</v>
      </c>
      <c r="J289" t="s">
        <v>6029</v>
      </c>
      <c r="K289" t="s">
        <v>74</v>
      </c>
      <c r="L289" t="s">
        <v>74</v>
      </c>
      <c r="M289" t="s">
        <v>78</v>
      </c>
      <c r="N289" t="s">
        <v>79</v>
      </c>
      <c r="O289" t="s">
        <v>74</v>
      </c>
      <c r="P289" t="s">
        <v>74</v>
      </c>
      <c r="Q289" t="s">
        <v>74</v>
      </c>
      <c r="R289" t="s">
        <v>74</v>
      </c>
      <c r="S289" t="s">
        <v>74</v>
      </c>
      <c r="T289" t="s">
        <v>6030</v>
      </c>
      <c r="U289" t="s">
        <v>74</v>
      </c>
      <c r="V289" t="s">
        <v>6031</v>
      </c>
      <c r="W289" t="s">
        <v>6032</v>
      </c>
      <c r="X289" t="s">
        <v>6033</v>
      </c>
      <c r="Y289" t="s">
        <v>6034</v>
      </c>
      <c r="Z289" t="s">
        <v>6035</v>
      </c>
      <c r="AA289" t="s">
        <v>6036</v>
      </c>
      <c r="AB289" t="s">
        <v>6037</v>
      </c>
      <c r="AC289" t="s">
        <v>6038</v>
      </c>
      <c r="AD289" t="s">
        <v>6038</v>
      </c>
      <c r="AE289" t="s">
        <v>6039</v>
      </c>
      <c r="AF289" t="s">
        <v>74</v>
      </c>
      <c r="AG289">
        <v>69</v>
      </c>
      <c r="AH289">
        <v>15</v>
      </c>
      <c r="AI289">
        <v>15</v>
      </c>
      <c r="AJ289">
        <v>0</v>
      </c>
      <c r="AK289">
        <v>4</v>
      </c>
      <c r="AL289" t="s">
        <v>625</v>
      </c>
      <c r="AM289" t="s">
        <v>1482</v>
      </c>
      <c r="AN289" t="s">
        <v>4351</v>
      </c>
      <c r="AO289" t="s">
        <v>6040</v>
      </c>
      <c r="AP289" t="s">
        <v>6041</v>
      </c>
      <c r="AQ289" t="s">
        <v>74</v>
      </c>
      <c r="AR289" t="s">
        <v>6042</v>
      </c>
      <c r="AS289" t="s">
        <v>6043</v>
      </c>
      <c r="AT289" t="s">
        <v>2859</v>
      </c>
      <c r="AU289">
        <v>2021</v>
      </c>
      <c r="AV289">
        <v>67</v>
      </c>
      <c r="AW289">
        <v>262</v>
      </c>
      <c r="AX289" t="s">
        <v>74</v>
      </c>
      <c r="AY289" t="s">
        <v>74</v>
      </c>
      <c r="AZ289" t="s">
        <v>74</v>
      </c>
      <c r="BA289" t="s">
        <v>74</v>
      </c>
      <c r="BB289">
        <v>229</v>
      </c>
      <c r="BC289">
        <v>242</v>
      </c>
      <c r="BD289" t="s">
        <v>6044</v>
      </c>
      <c r="BE289" t="s">
        <v>6045</v>
      </c>
      <c r="BF289" t="str">
        <f>HYPERLINK("http://dx.doi.org/10.1017/jog.2020.95","http://dx.doi.org/10.1017/jog.2020.95")</f>
        <v>http://dx.doi.org/10.1017/jog.2020.95</v>
      </c>
      <c r="BG289" t="s">
        <v>74</v>
      </c>
      <c r="BH289" t="s">
        <v>74</v>
      </c>
      <c r="BI289">
        <v>14</v>
      </c>
      <c r="BJ289" t="s">
        <v>1685</v>
      </c>
      <c r="BK289" t="s">
        <v>101</v>
      </c>
      <c r="BL289" t="s">
        <v>1686</v>
      </c>
      <c r="BM289" t="s">
        <v>6046</v>
      </c>
      <c r="BN289" t="s">
        <v>74</v>
      </c>
      <c r="BO289" t="s">
        <v>6047</v>
      </c>
      <c r="BP289" t="s">
        <v>74</v>
      </c>
      <c r="BQ289" t="s">
        <v>74</v>
      </c>
      <c r="BR289" t="s">
        <v>104</v>
      </c>
      <c r="BS289" t="s">
        <v>6048</v>
      </c>
      <c r="BT289" t="str">
        <f>HYPERLINK("https%3A%2F%2Fwww.webofscience.com%2Fwos%2Fwoscc%2Ffull-record%2FWOS:000629692500004","View Full Record in Web of Science")</f>
        <v>View Full Record in Web of Science</v>
      </c>
    </row>
    <row r="290" spans="1:72" x14ac:dyDescent="0.15">
      <c r="A290" t="s">
        <v>72</v>
      </c>
      <c r="B290" t="s">
        <v>6049</v>
      </c>
      <c r="C290" t="s">
        <v>74</v>
      </c>
      <c r="D290" t="s">
        <v>74</v>
      </c>
      <c r="E290" t="s">
        <v>74</v>
      </c>
      <c r="F290" t="s">
        <v>6050</v>
      </c>
      <c r="G290" t="s">
        <v>74</v>
      </c>
      <c r="H290" t="s">
        <v>74</v>
      </c>
      <c r="I290" t="s">
        <v>6051</v>
      </c>
      <c r="J290" t="s">
        <v>6029</v>
      </c>
      <c r="K290" t="s">
        <v>74</v>
      </c>
      <c r="L290" t="s">
        <v>74</v>
      </c>
      <c r="M290" t="s">
        <v>78</v>
      </c>
      <c r="N290" t="s">
        <v>79</v>
      </c>
      <c r="O290" t="s">
        <v>74</v>
      </c>
      <c r="P290" t="s">
        <v>74</v>
      </c>
      <c r="Q290" t="s">
        <v>74</v>
      </c>
      <c r="R290" t="s">
        <v>74</v>
      </c>
      <c r="S290" t="s">
        <v>74</v>
      </c>
      <c r="T290" t="s">
        <v>6052</v>
      </c>
      <c r="U290" t="s">
        <v>6053</v>
      </c>
      <c r="V290" t="s">
        <v>6054</v>
      </c>
      <c r="W290" t="s">
        <v>6055</v>
      </c>
      <c r="X290" t="s">
        <v>6056</v>
      </c>
      <c r="Y290" t="s">
        <v>6057</v>
      </c>
      <c r="Z290" t="s">
        <v>6058</v>
      </c>
      <c r="AA290" t="s">
        <v>6059</v>
      </c>
      <c r="AB290" t="s">
        <v>6060</v>
      </c>
      <c r="AC290" t="s">
        <v>6061</v>
      </c>
      <c r="AD290" t="s">
        <v>6062</v>
      </c>
      <c r="AE290" t="s">
        <v>6063</v>
      </c>
      <c r="AF290" t="s">
        <v>74</v>
      </c>
      <c r="AG290">
        <v>65</v>
      </c>
      <c r="AH290">
        <v>11</v>
      </c>
      <c r="AI290">
        <v>12</v>
      </c>
      <c r="AJ290">
        <v>0</v>
      </c>
      <c r="AK290">
        <v>5</v>
      </c>
      <c r="AL290" t="s">
        <v>625</v>
      </c>
      <c r="AM290" t="s">
        <v>1482</v>
      </c>
      <c r="AN290" t="s">
        <v>4351</v>
      </c>
      <c r="AO290" t="s">
        <v>6040</v>
      </c>
      <c r="AP290" t="s">
        <v>6041</v>
      </c>
      <c r="AQ290" t="s">
        <v>74</v>
      </c>
      <c r="AR290" t="s">
        <v>6042</v>
      </c>
      <c r="AS290" t="s">
        <v>6043</v>
      </c>
      <c r="AT290" t="s">
        <v>2859</v>
      </c>
      <c r="AU290">
        <v>2021</v>
      </c>
      <c r="AV290">
        <v>67</v>
      </c>
      <c r="AW290">
        <v>262</v>
      </c>
      <c r="AX290" t="s">
        <v>74</v>
      </c>
      <c r="AY290" t="s">
        <v>74</v>
      </c>
      <c r="AZ290" t="s">
        <v>74</v>
      </c>
      <c r="BA290" t="s">
        <v>74</v>
      </c>
      <c r="BB290">
        <v>243</v>
      </c>
      <c r="BC290">
        <v>252</v>
      </c>
      <c r="BD290" t="s">
        <v>6064</v>
      </c>
      <c r="BE290" t="s">
        <v>6065</v>
      </c>
      <c r="BF290" t="str">
        <f>HYPERLINK("http://dx.doi.org/10.1017/jog.2020.99","http://dx.doi.org/10.1017/jog.2020.99")</f>
        <v>http://dx.doi.org/10.1017/jog.2020.99</v>
      </c>
      <c r="BG290" t="s">
        <v>74</v>
      </c>
      <c r="BH290" t="s">
        <v>74</v>
      </c>
      <c r="BI290">
        <v>10</v>
      </c>
      <c r="BJ290" t="s">
        <v>1685</v>
      </c>
      <c r="BK290" t="s">
        <v>101</v>
      </c>
      <c r="BL290" t="s">
        <v>1686</v>
      </c>
      <c r="BM290" t="s">
        <v>6046</v>
      </c>
      <c r="BN290" t="s">
        <v>74</v>
      </c>
      <c r="BO290" t="s">
        <v>317</v>
      </c>
      <c r="BP290" t="s">
        <v>74</v>
      </c>
      <c r="BQ290" t="s">
        <v>74</v>
      </c>
      <c r="BR290" t="s">
        <v>104</v>
      </c>
      <c r="BS290" t="s">
        <v>6066</v>
      </c>
      <c r="BT290" t="str">
        <f>HYPERLINK("https%3A%2F%2Fwww.webofscience.com%2Fwos%2Fwoscc%2Ffull-record%2FWOS:000629692500005","View Full Record in Web of Science")</f>
        <v>View Full Record in Web of Science</v>
      </c>
    </row>
    <row r="291" spans="1:72" x14ac:dyDescent="0.15">
      <c r="A291" t="s">
        <v>72</v>
      </c>
      <c r="B291" t="s">
        <v>6067</v>
      </c>
      <c r="C291" t="s">
        <v>74</v>
      </c>
      <c r="D291" t="s">
        <v>74</v>
      </c>
      <c r="E291" t="s">
        <v>74</v>
      </c>
      <c r="F291" t="s">
        <v>6068</v>
      </c>
      <c r="G291" t="s">
        <v>74</v>
      </c>
      <c r="H291" t="s">
        <v>74</v>
      </c>
      <c r="I291" t="s">
        <v>6069</v>
      </c>
      <c r="J291" t="s">
        <v>6070</v>
      </c>
      <c r="K291" t="s">
        <v>74</v>
      </c>
      <c r="L291" t="s">
        <v>74</v>
      </c>
      <c r="M291" t="s">
        <v>78</v>
      </c>
      <c r="N291" t="s">
        <v>79</v>
      </c>
      <c r="O291" t="s">
        <v>74</v>
      </c>
      <c r="P291" t="s">
        <v>74</v>
      </c>
      <c r="Q291" t="s">
        <v>74</v>
      </c>
      <c r="R291" t="s">
        <v>74</v>
      </c>
      <c r="S291" t="s">
        <v>74</v>
      </c>
      <c r="T291" t="s">
        <v>6071</v>
      </c>
      <c r="U291" t="s">
        <v>6072</v>
      </c>
      <c r="V291" t="s">
        <v>6073</v>
      </c>
      <c r="W291" t="s">
        <v>6074</v>
      </c>
      <c r="X291" t="s">
        <v>6075</v>
      </c>
      <c r="Y291" t="s">
        <v>6076</v>
      </c>
      <c r="Z291" t="s">
        <v>6077</v>
      </c>
      <c r="AA291" t="s">
        <v>6078</v>
      </c>
      <c r="AB291" t="s">
        <v>6079</v>
      </c>
      <c r="AC291" t="s">
        <v>6080</v>
      </c>
      <c r="AD291" t="s">
        <v>6081</v>
      </c>
      <c r="AE291" t="s">
        <v>6082</v>
      </c>
      <c r="AF291" t="s">
        <v>74</v>
      </c>
      <c r="AG291">
        <v>74</v>
      </c>
      <c r="AH291">
        <v>9</v>
      </c>
      <c r="AI291">
        <v>9</v>
      </c>
      <c r="AJ291">
        <v>1</v>
      </c>
      <c r="AK291">
        <v>9</v>
      </c>
      <c r="AL291" t="s">
        <v>335</v>
      </c>
      <c r="AM291" t="s">
        <v>336</v>
      </c>
      <c r="AN291" t="s">
        <v>337</v>
      </c>
      <c r="AO291" t="s">
        <v>74</v>
      </c>
      <c r="AP291" t="s">
        <v>6083</v>
      </c>
      <c r="AQ291" t="s">
        <v>74</v>
      </c>
      <c r="AR291" t="s">
        <v>6070</v>
      </c>
      <c r="AS291" t="s">
        <v>6084</v>
      </c>
      <c r="AT291" t="s">
        <v>2859</v>
      </c>
      <c r="AU291">
        <v>2021</v>
      </c>
      <c r="AV291">
        <v>10</v>
      </c>
      <c r="AW291">
        <v>4</v>
      </c>
      <c r="AX291" t="s">
        <v>74</v>
      </c>
      <c r="AY291" t="s">
        <v>74</v>
      </c>
      <c r="AZ291" t="s">
        <v>74</v>
      </c>
      <c r="BA291" t="s">
        <v>74</v>
      </c>
      <c r="BB291" t="s">
        <v>74</v>
      </c>
      <c r="BC291" t="s">
        <v>74</v>
      </c>
      <c r="BD291">
        <v>320</v>
      </c>
      <c r="BE291" t="s">
        <v>6085</v>
      </c>
      <c r="BF291" t="str">
        <f>HYPERLINK("http://dx.doi.org/10.3390/biology10040320","http://dx.doi.org/10.3390/biology10040320")</f>
        <v>http://dx.doi.org/10.3390/biology10040320</v>
      </c>
      <c r="BG291" t="s">
        <v>74</v>
      </c>
      <c r="BH291" t="s">
        <v>74</v>
      </c>
      <c r="BI291">
        <v>20</v>
      </c>
      <c r="BJ291" t="s">
        <v>4618</v>
      </c>
      <c r="BK291" t="s">
        <v>101</v>
      </c>
      <c r="BL291" t="s">
        <v>4619</v>
      </c>
      <c r="BM291" t="s">
        <v>6086</v>
      </c>
      <c r="BN291">
        <v>33920495</v>
      </c>
      <c r="BO291" t="s">
        <v>558</v>
      </c>
      <c r="BP291" t="s">
        <v>74</v>
      </c>
      <c r="BQ291" t="s">
        <v>74</v>
      </c>
      <c r="BR291" t="s">
        <v>104</v>
      </c>
      <c r="BS291" t="s">
        <v>6087</v>
      </c>
      <c r="BT291" t="str">
        <f>HYPERLINK("https%3A%2F%2Fwww.webofscience.com%2Fwos%2Fwoscc%2Ffull-record%2FWOS:000642720000001","View Full Record in Web of Science")</f>
        <v>View Full Record in Web of Science</v>
      </c>
    </row>
    <row r="292" spans="1:72" x14ac:dyDescent="0.15">
      <c r="A292" t="s">
        <v>72</v>
      </c>
      <c r="B292" t="s">
        <v>6088</v>
      </c>
      <c r="C292" t="s">
        <v>74</v>
      </c>
      <c r="D292" t="s">
        <v>74</v>
      </c>
      <c r="E292" t="s">
        <v>74</v>
      </c>
      <c r="F292" t="s">
        <v>6089</v>
      </c>
      <c r="G292" t="s">
        <v>74</v>
      </c>
      <c r="H292" t="s">
        <v>74</v>
      </c>
      <c r="I292" t="s">
        <v>6090</v>
      </c>
      <c r="J292" t="s">
        <v>3119</v>
      </c>
      <c r="K292" t="s">
        <v>74</v>
      </c>
      <c r="L292" t="s">
        <v>74</v>
      </c>
      <c r="M292" t="s">
        <v>78</v>
      </c>
      <c r="N292" t="s">
        <v>79</v>
      </c>
      <c r="O292" t="s">
        <v>74</v>
      </c>
      <c r="P292" t="s">
        <v>74</v>
      </c>
      <c r="Q292" t="s">
        <v>74</v>
      </c>
      <c r="R292" t="s">
        <v>74</v>
      </c>
      <c r="S292" t="s">
        <v>74</v>
      </c>
      <c r="T292" t="s">
        <v>6091</v>
      </c>
      <c r="U292" t="s">
        <v>6092</v>
      </c>
      <c r="V292" t="s">
        <v>6093</v>
      </c>
      <c r="W292" t="s">
        <v>6094</v>
      </c>
      <c r="X292" t="s">
        <v>6095</v>
      </c>
      <c r="Y292" t="s">
        <v>6096</v>
      </c>
      <c r="Z292" t="s">
        <v>6097</v>
      </c>
      <c r="AA292" t="s">
        <v>6098</v>
      </c>
      <c r="AB292" t="s">
        <v>6099</v>
      </c>
      <c r="AC292" t="s">
        <v>6100</v>
      </c>
      <c r="AD292" t="s">
        <v>6101</v>
      </c>
      <c r="AE292" t="s">
        <v>6102</v>
      </c>
      <c r="AF292" t="s">
        <v>74</v>
      </c>
      <c r="AG292">
        <v>95</v>
      </c>
      <c r="AH292">
        <v>12</v>
      </c>
      <c r="AI292">
        <v>12</v>
      </c>
      <c r="AJ292">
        <v>0</v>
      </c>
      <c r="AK292">
        <v>14</v>
      </c>
      <c r="AL292" t="s">
        <v>1058</v>
      </c>
      <c r="AM292" t="s">
        <v>891</v>
      </c>
      <c r="AN292" t="s">
        <v>1059</v>
      </c>
      <c r="AO292" t="s">
        <v>3132</v>
      </c>
      <c r="AP292" t="s">
        <v>3133</v>
      </c>
      <c r="AQ292" t="s">
        <v>74</v>
      </c>
      <c r="AR292" t="s">
        <v>3119</v>
      </c>
      <c r="AS292" t="s">
        <v>3134</v>
      </c>
      <c r="AT292" t="s">
        <v>2859</v>
      </c>
      <c r="AU292">
        <v>2021</v>
      </c>
      <c r="AV292">
        <v>268</v>
      </c>
      <c r="AW292" t="s">
        <v>74</v>
      </c>
      <c r="AX292" t="s">
        <v>74</v>
      </c>
      <c r="AY292" t="s">
        <v>74</v>
      </c>
      <c r="AZ292" t="s">
        <v>74</v>
      </c>
      <c r="BA292" t="s">
        <v>74</v>
      </c>
      <c r="BB292" t="s">
        <v>74</v>
      </c>
      <c r="BC292" t="s">
        <v>74</v>
      </c>
      <c r="BD292">
        <v>129282</v>
      </c>
      <c r="BE292" t="s">
        <v>6103</v>
      </c>
      <c r="BF292" t="str">
        <f>HYPERLINK("http://dx.doi.org/10.1016/j.chemosphere.2020.129282","http://dx.doi.org/10.1016/j.chemosphere.2020.129282")</f>
        <v>http://dx.doi.org/10.1016/j.chemosphere.2020.129282</v>
      </c>
      <c r="BG292" t="s">
        <v>74</v>
      </c>
      <c r="BH292" t="s">
        <v>74</v>
      </c>
      <c r="BI292">
        <v>15</v>
      </c>
      <c r="BJ292" t="s">
        <v>224</v>
      </c>
      <c r="BK292" t="s">
        <v>101</v>
      </c>
      <c r="BL292" t="s">
        <v>225</v>
      </c>
      <c r="BM292" t="s">
        <v>6104</v>
      </c>
      <c r="BN292">
        <v>33360142</v>
      </c>
      <c r="BO292" t="s">
        <v>74</v>
      </c>
      <c r="BP292" t="s">
        <v>74</v>
      </c>
      <c r="BQ292" t="s">
        <v>74</v>
      </c>
      <c r="BR292" t="s">
        <v>104</v>
      </c>
      <c r="BS292" t="s">
        <v>6105</v>
      </c>
      <c r="BT292" t="str">
        <f>HYPERLINK("https%3A%2F%2Fwww.webofscience.com%2Fwos%2Fwoscc%2Ffull-record%2FWOS:000615571300087","View Full Record in Web of Science")</f>
        <v>View Full Record in Web of Science</v>
      </c>
    </row>
    <row r="293" spans="1:72" x14ac:dyDescent="0.15">
      <c r="A293" t="s">
        <v>72</v>
      </c>
      <c r="B293" t="s">
        <v>6106</v>
      </c>
      <c r="C293" t="s">
        <v>74</v>
      </c>
      <c r="D293" t="s">
        <v>74</v>
      </c>
      <c r="E293" t="s">
        <v>74</v>
      </c>
      <c r="F293" t="s">
        <v>6107</v>
      </c>
      <c r="G293" t="s">
        <v>74</v>
      </c>
      <c r="H293" t="s">
        <v>74</v>
      </c>
      <c r="I293" t="s">
        <v>6108</v>
      </c>
      <c r="J293" t="s">
        <v>6109</v>
      </c>
      <c r="K293" t="s">
        <v>74</v>
      </c>
      <c r="L293" t="s">
        <v>74</v>
      </c>
      <c r="M293" t="s">
        <v>78</v>
      </c>
      <c r="N293" t="s">
        <v>79</v>
      </c>
      <c r="O293" t="s">
        <v>74</v>
      </c>
      <c r="P293" t="s">
        <v>74</v>
      </c>
      <c r="Q293" t="s">
        <v>74</v>
      </c>
      <c r="R293" t="s">
        <v>74</v>
      </c>
      <c r="S293" t="s">
        <v>74</v>
      </c>
      <c r="T293" t="s">
        <v>74</v>
      </c>
      <c r="U293" t="s">
        <v>6110</v>
      </c>
      <c r="V293" t="s">
        <v>6111</v>
      </c>
      <c r="W293" t="s">
        <v>6112</v>
      </c>
      <c r="X293" t="s">
        <v>6113</v>
      </c>
      <c r="Y293" t="s">
        <v>6114</v>
      </c>
      <c r="Z293" t="s">
        <v>74</v>
      </c>
      <c r="AA293" t="s">
        <v>6115</v>
      </c>
      <c r="AB293" t="s">
        <v>6116</v>
      </c>
      <c r="AC293" t="s">
        <v>74</v>
      </c>
      <c r="AD293" t="s">
        <v>74</v>
      </c>
      <c r="AE293" t="s">
        <v>74</v>
      </c>
      <c r="AF293" t="s">
        <v>74</v>
      </c>
      <c r="AG293">
        <v>63</v>
      </c>
      <c r="AH293">
        <v>7</v>
      </c>
      <c r="AI293">
        <v>7</v>
      </c>
      <c r="AJ293">
        <v>0</v>
      </c>
      <c r="AK293">
        <v>3</v>
      </c>
      <c r="AL293" t="s">
        <v>890</v>
      </c>
      <c r="AM293" t="s">
        <v>891</v>
      </c>
      <c r="AN293" t="s">
        <v>892</v>
      </c>
      <c r="AO293" t="s">
        <v>6117</v>
      </c>
      <c r="AP293" t="s">
        <v>6118</v>
      </c>
      <c r="AQ293" t="s">
        <v>74</v>
      </c>
      <c r="AR293" t="s">
        <v>6119</v>
      </c>
      <c r="AS293" t="s">
        <v>6120</v>
      </c>
      <c r="AT293" t="s">
        <v>2859</v>
      </c>
      <c r="AU293">
        <v>2021</v>
      </c>
      <c r="AV293">
        <v>49</v>
      </c>
      <c r="AW293" t="s">
        <v>74</v>
      </c>
      <c r="AX293" t="s">
        <v>74</v>
      </c>
      <c r="AY293" t="s">
        <v>74</v>
      </c>
      <c r="AZ293" t="s">
        <v>74</v>
      </c>
      <c r="BA293" t="s">
        <v>74</v>
      </c>
      <c r="BB293">
        <v>12</v>
      </c>
      <c r="BC293">
        <v>17</v>
      </c>
      <c r="BD293" t="s">
        <v>74</v>
      </c>
      <c r="BE293" t="s">
        <v>6121</v>
      </c>
      <c r="BF293" t="str">
        <f>HYPERLINK("http://dx.doi.org/10.1016/j.cosust.2020.11.003","http://dx.doi.org/10.1016/j.cosust.2020.11.003")</f>
        <v>http://dx.doi.org/10.1016/j.cosust.2020.11.003</v>
      </c>
      <c r="BG293" t="s">
        <v>74</v>
      </c>
      <c r="BH293" t="s">
        <v>74</v>
      </c>
      <c r="BI293">
        <v>6</v>
      </c>
      <c r="BJ293" t="s">
        <v>6122</v>
      </c>
      <c r="BK293" t="s">
        <v>1038</v>
      </c>
      <c r="BL293" t="s">
        <v>1490</v>
      </c>
      <c r="BM293" t="s">
        <v>6123</v>
      </c>
      <c r="BN293" t="s">
        <v>74</v>
      </c>
      <c r="BO293" t="s">
        <v>74</v>
      </c>
      <c r="BP293" t="s">
        <v>74</v>
      </c>
      <c r="BQ293" t="s">
        <v>74</v>
      </c>
      <c r="BR293" t="s">
        <v>104</v>
      </c>
      <c r="BS293" t="s">
        <v>6124</v>
      </c>
      <c r="BT293" t="str">
        <f>HYPERLINK("https%3A%2F%2Fwww.webofscience.com%2Fwos%2Fwoscc%2Ffull-record%2FWOS:000768143200004","View Full Record in Web of Science")</f>
        <v>View Full Record in Web of Science</v>
      </c>
    </row>
    <row r="294" spans="1:72" x14ac:dyDescent="0.15">
      <c r="A294" t="s">
        <v>72</v>
      </c>
      <c r="B294" t="s">
        <v>6125</v>
      </c>
      <c r="C294" t="s">
        <v>74</v>
      </c>
      <c r="D294" t="s">
        <v>74</v>
      </c>
      <c r="E294" t="s">
        <v>74</v>
      </c>
      <c r="F294" t="s">
        <v>6126</v>
      </c>
      <c r="G294" t="s">
        <v>74</v>
      </c>
      <c r="H294" t="s">
        <v>74</v>
      </c>
      <c r="I294" t="s">
        <v>6127</v>
      </c>
      <c r="J294" t="s">
        <v>6128</v>
      </c>
      <c r="K294" t="s">
        <v>74</v>
      </c>
      <c r="L294" t="s">
        <v>74</v>
      </c>
      <c r="M294" t="s">
        <v>78</v>
      </c>
      <c r="N294" t="s">
        <v>79</v>
      </c>
      <c r="O294" t="s">
        <v>74</v>
      </c>
      <c r="P294" t="s">
        <v>74</v>
      </c>
      <c r="Q294" t="s">
        <v>74</v>
      </c>
      <c r="R294" t="s">
        <v>74</v>
      </c>
      <c r="S294" t="s">
        <v>74</v>
      </c>
      <c r="T294" t="s">
        <v>6129</v>
      </c>
      <c r="U294" t="s">
        <v>6130</v>
      </c>
      <c r="V294" t="s">
        <v>6131</v>
      </c>
      <c r="W294" t="s">
        <v>6132</v>
      </c>
      <c r="X294" t="s">
        <v>6133</v>
      </c>
      <c r="Y294" t="s">
        <v>6134</v>
      </c>
      <c r="Z294" t="s">
        <v>6135</v>
      </c>
      <c r="AA294" t="s">
        <v>6136</v>
      </c>
      <c r="AB294" t="s">
        <v>6137</v>
      </c>
      <c r="AC294" t="s">
        <v>6138</v>
      </c>
      <c r="AD294" t="s">
        <v>6139</v>
      </c>
      <c r="AE294" t="s">
        <v>6140</v>
      </c>
      <c r="AF294" t="s">
        <v>74</v>
      </c>
      <c r="AG294">
        <v>116</v>
      </c>
      <c r="AH294">
        <v>41</v>
      </c>
      <c r="AI294">
        <v>44</v>
      </c>
      <c r="AJ294">
        <v>5</v>
      </c>
      <c r="AK294">
        <v>49</v>
      </c>
      <c r="AL294" t="s">
        <v>917</v>
      </c>
      <c r="AM294" t="s">
        <v>390</v>
      </c>
      <c r="AN294" t="s">
        <v>918</v>
      </c>
      <c r="AO294" t="s">
        <v>6141</v>
      </c>
      <c r="AP294" t="s">
        <v>6142</v>
      </c>
      <c r="AQ294" t="s">
        <v>74</v>
      </c>
      <c r="AR294" t="s">
        <v>6143</v>
      </c>
      <c r="AS294" t="s">
        <v>6144</v>
      </c>
      <c r="AT294" t="s">
        <v>2859</v>
      </c>
      <c r="AU294">
        <v>2021</v>
      </c>
      <c r="AV294">
        <v>35</v>
      </c>
      <c r="AW294">
        <v>4</v>
      </c>
      <c r="AX294" t="s">
        <v>74</v>
      </c>
      <c r="AY294" t="s">
        <v>74</v>
      </c>
      <c r="AZ294" t="s">
        <v>74</v>
      </c>
      <c r="BA294" t="s">
        <v>74</v>
      </c>
      <c r="BB294" t="s">
        <v>74</v>
      </c>
      <c r="BC294" t="s">
        <v>74</v>
      </c>
      <c r="BD294" t="s">
        <v>6145</v>
      </c>
      <c r="BE294" t="s">
        <v>6146</v>
      </c>
      <c r="BF294" t="str">
        <f>HYPERLINK("http://dx.doi.org/10.1029/2020GB006769","http://dx.doi.org/10.1029/2020GB006769")</f>
        <v>http://dx.doi.org/10.1029/2020GB006769</v>
      </c>
      <c r="BG294" t="s">
        <v>74</v>
      </c>
      <c r="BH294" t="s">
        <v>74</v>
      </c>
      <c r="BI294">
        <v>25</v>
      </c>
      <c r="BJ294" t="s">
        <v>6147</v>
      </c>
      <c r="BK294" t="s">
        <v>101</v>
      </c>
      <c r="BL294" t="s">
        <v>6148</v>
      </c>
      <c r="BM294" t="s">
        <v>6149</v>
      </c>
      <c r="BN294" t="s">
        <v>74</v>
      </c>
      <c r="BO294" t="s">
        <v>1187</v>
      </c>
      <c r="BP294" t="s">
        <v>74</v>
      </c>
      <c r="BQ294" t="s">
        <v>74</v>
      </c>
      <c r="BR294" t="s">
        <v>104</v>
      </c>
      <c r="BS294" t="s">
        <v>6150</v>
      </c>
      <c r="BT294" t="str">
        <f>HYPERLINK("https%3A%2F%2Fwww.webofscience.com%2Fwos%2Fwoscc%2Ffull-record%2FWOS:000644999800010","View Full Record in Web of Science")</f>
        <v>View Full Record in Web of Science</v>
      </c>
    </row>
    <row r="295" spans="1:72" x14ac:dyDescent="0.15">
      <c r="A295" t="s">
        <v>72</v>
      </c>
      <c r="B295" t="s">
        <v>6151</v>
      </c>
      <c r="C295" t="s">
        <v>74</v>
      </c>
      <c r="D295" t="s">
        <v>74</v>
      </c>
      <c r="E295" t="s">
        <v>74</v>
      </c>
      <c r="F295" t="s">
        <v>6152</v>
      </c>
      <c r="G295" t="s">
        <v>74</v>
      </c>
      <c r="H295" t="s">
        <v>74</v>
      </c>
      <c r="I295" t="s">
        <v>6153</v>
      </c>
      <c r="J295" t="s">
        <v>109</v>
      </c>
      <c r="K295" t="s">
        <v>74</v>
      </c>
      <c r="L295" t="s">
        <v>74</v>
      </c>
      <c r="M295" t="s">
        <v>78</v>
      </c>
      <c r="N295" t="s">
        <v>79</v>
      </c>
      <c r="O295" t="s">
        <v>74</v>
      </c>
      <c r="P295" t="s">
        <v>74</v>
      </c>
      <c r="Q295" t="s">
        <v>74</v>
      </c>
      <c r="R295" t="s">
        <v>74</v>
      </c>
      <c r="S295" t="s">
        <v>74</v>
      </c>
      <c r="T295" t="s">
        <v>6154</v>
      </c>
      <c r="U295" t="s">
        <v>6155</v>
      </c>
      <c r="V295" t="s">
        <v>6156</v>
      </c>
      <c r="W295" t="s">
        <v>6157</v>
      </c>
      <c r="X295" t="s">
        <v>6158</v>
      </c>
      <c r="Y295" t="s">
        <v>6159</v>
      </c>
      <c r="Z295" t="s">
        <v>6160</v>
      </c>
      <c r="AA295" t="s">
        <v>6161</v>
      </c>
      <c r="AB295" t="s">
        <v>6162</v>
      </c>
      <c r="AC295" t="s">
        <v>6163</v>
      </c>
      <c r="AD295" t="s">
        <v>6164</v>
      </c>
      <c r="AE295" t="s">
        <v>6165</v>
      </c>
      <c r="AF295" t="s">
        <v>74</v>
      </c>
      <c r="AG295">
        <v>77</v>
      </c>
      <c r="AH295">
        <v>31</v>
      </c>
      <c r="AI295">
        <v>32</v>
      </c>
      <c r="AJ295">
        <v>3</v>
      </c>
      <c r="AK295">
        <v>15</v>
      </c>
      <c r="AL295" t="s">
        <v>120</v>
      </c>
      <c r="AM295" t="s">
        <v>121</v>
      </c>
      <c r="AN295" t="s">
        <v>122</v>
      </c>
      <c r="AO295" t="s">
        <v>123</v>
      </c>
      <c r="AP295" t="s">
        <v>124</v>
      </c>
      <c r="AQ295" t="s">
        <v>74</v>
      </c>
      <c r="AR295" t="s">
        <v>125</v>
      </c>
      <c r="AS295" t="s">
        <v>126</v>
      </c>
      <c r="AT295" t="s">
        <v>2859</v>
      </c>
      <c r="AU295">
        <v>2021</v>
      </c>
      <c r="AV295">
        <v>34</v>
      </c>
      <c r="AW295">
        <v>8</v>
      </c>
      <c r="AX295" t="s">
        <v>74</v>
      </c>
      <c r="AY295" t="s">
        <v>74</v>
      </c>
      <c r="AZ295" t="s">
        <v>74</v>
      </c>
      <c r="BA295" t="s">
        <v>74</v>
      </c>
      <c r="BB295">
        <v>3157</v>
      </c>
      <c r="BC295">
        <v>3170</v>
      </c>
      <c r="BD295" t="s">
        <v>74</v>
      </c>
      <c r="BE295" t="s">
        <v>6166</v>
      </c>
      <c r="BF295" t="str">
        <f>HYPERLINK("http://dx.doi.org/10.1175/JCLI-D-20-0281.1","http://dx.doi.org/10.1175/JCLI-D-20-0281.1")</f>
        <v>http://dx.doi.org/10.1175/JCLI-D-20-0281.1</v>
      </c>
      <c r="BG295" t="s">
        <v>74</v>
      </c>
      <c r="BH295" t="s">
        <v>74</v>
      </c>
      <c r="BI295">
        <v>14</v>
      </c>
      <c r="BJ295" t="s">
        <v>129</v>
      </c>
      <c r="BK295" t="s">
        <v>101</v>
      </c>
      <c r="BL295" t="s">
        <v>129</v>
      </c>
      <c r="BM295" t="s">
        <v>5185</v>
      </c>
      <c r="BN295" t="s">
        <v>74</v>
      </c>
      <c r="BO295" t="s">
        <v>5118</v>
      </c>
      <c r="BP295" t="s">
        <v>74</v>
      </c>
      <c r="BQ295" t="s">
        <v>74</v>
      </c>
      <c r="BR295" t="s">
        <v>104</v>
      </c>
      <c r="BS295" t="s">
        <v>6167</v>
      </c>
      <c r="BT295" t="str">
        <f>HYPERLINK("https%3A%2F%2Fwww.webofscience.com%2Fwos%2Fwoscc%2Ffull-record%2FWOS:000644147200020","View Full Record in Web of Science")</f>
        <v>View Full Record in Web of Science</v>
      </c>
    </row>
    <row r="296" spans="1:72" x14ac:dyDescent="0.15">
      <c r="A296" t="s">
        <v>72</v>
      </c>
      <c r="B296" t="s">
        <v>6168</v>
      </c>
      <c r="C296" t="s">
        <v>74</v>
      </c>
      <c r="D296" t="s">
        <v>74</v>
      </c>
      <c r="E296" t="s">
        <v>74</v>
      </c>
      <c r="F296" t="s">
        <v>6169</v>
      </c>
      <c r="G296" t="s">
        <v>74</v>
      </c>
      <c r="H296" t="s">
        <v>74</v>
      </c>
      <c r="I296" t="s">
        <v>6170</v>
      </c>
      <c r="J296" t="s">
        <v>6171</v>
      </c>
      <c r="K296" t="s">
        <v>74</v>
      </c>
      <c r="L296" t="s">
        <v>74</v>
      </c>
      <c r="M296" t="s">
        <v>78</v>
      </c>
      <c r="N296" t="s">
        <v>79</v>
      </c>
      <c r="O296" t="s">
        <v>74</v>
      </c>
      <c r="P296" t="s">
        <v>74</v>
      </c>
      <c r="Q296" t="s">
        <v>74</v>
      </c>
      <c r="R296" t="s">
        <v>74</v>
      </c>
      <c r="S296" t="s">
        <v>74</v>
      </c>
      <c r="T296" t="s">
        <v>6172</v>
      </c>
      <c r="U296" t="s">
        <v>74</v>
      </c>
      <c r="V296" t="s">
        <v>6173</v>
      </c>
      <c r="W296" t="s">
        <v>6174</v>
      </c>
      <c r="X296" t="s">
        <v>6175</v>
      </c>
      <c r="Y296" t="s">
        <v>6176</v>
      </c>
      <c r="Z296" t="s">
        <v>6177</v>
      </c>
      <c r="AA296" t="s">
        <v>6178</v>
      </c>
      <c r="AB296" t="s">
        <v>6179</v>
      </c>
      <c r="AC296" t="s">
        <v>6180</v>
      </c>
      <c r="AD296" t="s">
        <v>6181</v>
      </c>
      <c r="AE296" t="s">
        <v>6182</v>
      </c>
      <c r="AF296" t="s">
        <v>74</v>
      </c>
      <c r="AG296">
        <v>59</v>
      </c>
      <c r="AH296">
        <v>6</v>
      </c>
      <c r="AI296">
        <v>9</v>
      </c>
      <c r="AJ296">
        <v>0</v>
      </c>
      <c r="AK296">
        <v>0</v>
      </c>
      <c r="AL296" t="s">
        <v>290</v>
      </c>
      <c r="AM296" t="s">
        <v>291</v>
      </c>
      <c r="AN296" t="s">
        <v>292</v>
      </c>
      <c r="AO296" t="s">
        <v>6183</v>
      </c>
      <c r="AP296" t="s">
        <v>74</v>
      </c>
      <c r="AQ296" t="s">
        <v>74</v>
      </c>
      <c r="AR296" t="s">
        <v>6184</v>
      </c>
      <c r="AS296" t="s">
        <v>6185</v>
      </c>
      <c r="AT296" t="s">
        <v>2859</v>
      </c>
      <c r="AU296">
        <v>2021</v>
      </c>
      <c r="AV296" t="s">
        <v>74</v>
      </c>
      <c r="AW296">
        <v>4</v>
      </c>
      <c r="AX296" t="s">
        <v>74</v>
      </c>
      <c r="AY296" t="s">
        <v>74</v>
      </c>
      <c r="AZ296" t="s">
        <v>74</v>
      </c>
      <c r="BA296" t="s">
        <v>74</v>
      </c>
      <c r="BB296" t="s">
        <v>74</v>
      </c>
      <c r="BC296" t="s">
        <v>74</v>
      </c>
      <c r="BD296">
        <v>17</v>
      </c>
      <c r="BE296" t="s">
        <v>6186</v>
      </c>
      <c r="BF296" t="str">
        <f>HYPERLINK("http://dx.doi.org/10.1088/1475-7516/2021/04/017","http://dx.doi.org/10.1088/1475-7516/2021/04/017")</f>
        <v>http://dx.doi.org/10.1088/1475-7516/2021/04/017</v>
      </c>
      <c r="BG296" t="s">
        <v>74</v>
      </c>
      <c r="BH296" t="s">
        <v>74</v>
      </c>
      <c r="BI296">
        <v>23</v>
      </c>
      <c r="BJ296" t="s">
        <v>3049</v>
      </c>
      <c r="BK296" t="s">
        <v>101</v>
      </c>
      <c r="BL296" t="s">
        <v>3050</v>
      </c>
      <c r="BM296" t="s">
        <v>6187</v>
      </c>
      <c r="BN296" t="s">
        <v>74</v>
      </c>
      <c r="BO296" t="s">
        <v>3511</v>
      </c>
      <c r="BP296" t="s">
        <v>74</v>
      </c>
      <c r="BQ296" t="s">
        <v>74</v>
      </c>
      <c r="BR296" t="s">
        <v>104</v>
      </c>
      <c r="BS296" t="s">
        <v>6188</v>
      </c>
      <c r="BT296" t="str">
        <f>HYPERLINK("https%3A%2F%2Fwww.webofscience.com%2Fwos%2Fwoscc%2Ffull-record%2FWOS:000644501000021","View Full Record in Web of Science")</f>
        <v>View Full Record in Web of Science</v>
      </c>
    </row>
    <row r="297" spans="1:72" x14ac:dyDescent="0.15">
      <c r="A297" t="s">
        <v>72</v>
      </c>
      <c r="B297" t="s">
        <v>6189</v>
      </c>
      <c r="C297" t="s">
        <v>74</v>
      </c>
      <c r="D297" t="s">
        <v>74</v>
      </c>
      <c r="E297" t="s">
        <v>74</v>
      </c>
      <c r="F297" t="s">
        <v>6190</v>
      </c>
      <c r="G297" t="s">
        <v>74</v>
      </c>
      <c r="H297" t="s">
        <v>74</v>
      </c>
      <c r="I297" t="s">
        <v>6191</v>
      </c>
      <c r="J297" t="s">
        <v>6171</v>
      </c>
      <c r="K297" t="s">
        <v>74</v>
      </c>
      <c r="L297" t="s">
        <v>74</v>
      </c>
      <c r="M297" t="s">
        <v>78</v>
      </c>
      <c r="N297" t="s">
        <v>79</v>
      </c>
      <c r="O297" t="s">
        <v>74</v>
      </c>
      <c r="P297" t="s">
        <v>74</v>
      </c>
      <c r="Q297" t="s">
        <v>74</v>
      </c>
      <c r="R297" t="s">
        <v>74</v>
      </c>
      <c r="S297" t="s">
        <v>74</v>
      </c>
      <c r="T297" t="s">
        <v>6192</v>
      </c>
      <c r="U297" t="s">
        <v>6193</v>
      </c>
      <c r="V297" t="s">
        <v>6194</v>
      </c>
      <c r="W297" t="s">
        <v>6195</v>
      </c>
      <c r="X297" t="s">
        <v>6196</v>
      </c>
      <c r="Y297" t="s">
        <v>6197</v>
      </c>
      <c r="Z297" t="s">
        <v>74</v>
      </c>
      <c r="AA297" t="s">
        <v>6198</v>
      </c>
      <c r="AB297" t="s">
        <v>6199</v>
      </c>
      <c r="AC297" t="s">
        <v>6200</v>
      </c>
      <c r="AD297" t="s">
        <v>6201</v>
      </c>
      <c r="AE297" t="s">
        <v>6202</v>
      </c>
      <c r="AF297" t="s">
        <v>74</v>
      </c>
      <c r="AG297">
        <v>43</v>
      </c>
      <c r="AH297">
        <v>5</v>
      </c>
      <c r="AI297">
        <v>8</v>
      </c>
      <c r="AJ297">
        <v>0</v>
      </c>
      <c r="AK297">
        <v>0</v>
      </c>
      <c r="AL297" t="s">
        <v>6203</v>
      </c>
      <c r="AM297" t="s">
        <v>291</v>
      </c>
      <c r="AN297" t="s">
        <v>292</v>
      </c>
      <c r="AO297" t="s">
        <v>6183</v>
      </c>
      <c r="AP297" t="s">
        <v>74</v>
      </c>
      <c r="AQ297" t="s">
        <v>74</v>
      </c>
      <c r="AR297" t="s">
        <v>6184</v>
      </c>
      <c r="AS297" t="s">
        <v>6185</v>
      </c>
      <c r="AT297" t="s">
        <v>2859</v>
      </c>
      <c r="AU297">
        <v>2021</v>
      </c>
      <c r="AV297" t="s">
        <v>74</v>
      </c>
      <c r="AW297">
        <v>4</v>
      </c>
      <c r="AX297" t="s">
        <v>74</v>
      </c>
      <c r="AY297" t="s">
        <v>74</v>
      </c>
      <c r="AZ297" t="s">
        <v>74</v>
      </c>
      <c r="BA297" t="s">
        <v>74</v>
      </c>
      <c r="BB297" t="s">
        <v>74</v>
      </c>
      <c r="BC297" t="s">
        <v>74</v>
      </c>
      <c r="BD297">
        <v>16</v>
      </c>
      <c r="BE297" t="s">
        <v>6204</v>
      </c>
      <c r="BF297" t="str">
        <f>HYPERLINK("http://dx.doi.org/10.1088/1475-7516/2021/04/016","http://dx.doi.org/10.1088/1475-7516/2021/04/016")</f>
        <v>http://dx.doi.org/10.1088/1475-7516/2021/04/016</v>
      </c>
      <c r="BG297" t="s">
        <v>74</v>
      </c>
      <c r="BH297" t="s">
        <v>74</v>
      </c>
      <c r="BI297">
        <v>24</v>
      </c>
      <c r="BJ297" t="s">
        <v>3049</v>
      </c>
      <c r="BK297" t="s">
        <v>101</v>
      </c>
      <c r="BL297" t="s">
        <v>3050</v>
      </c>
      <c r="BM297" t="s">
        <v>6187</v>
      </c>
      <c r="BN297" t="s">
        <v>74</v>
      </c>
      <c r="BO297" t="s">
        <v>496</v>
      </c>
      <c r="BP297" t="s">
        <v>74</v>
      </c>
      <c r="BQ297" t="s">
        <v>74</v>
      </c>
      <c r="BR297" t="s">
        <v>104</v>
      </c>
      <c r="BS297" t="s">
        <v>6205</v>
      </c>
      <c r="BT297" t="str">
        <f>HYPERLINK("https%3A%2F%2Fwww.webofscience.com%2Fwos%2Fwoscc%2Ffull-record%2FWOS:000644501000061","View Full Record in Web of Science")</f>
        <v>View Full Record in Web of Science</v>
      </c>
    </row>
    <row r="298" spans="1:72" x14ac:dyDescent="0.15">
      <c r="A298" t="s">
        <v>72</v>
      </c>
      <c r="B298" t="s">
        <v>6206</v>
      </c>
      <c r="C298" t="s">
        <v>74</v>
      </c>
      <c r="D298" t="s">
        <v>74</v>
      </c>
      <c r="E298" t="s">
        <v>74</v>
      </c>
      <c r="F298" t="s">
        <v>6207</v>
      </c>
      <c r="G298" t="s">
        <v>74</v>
      </c>
      <c r="H298" t="s">
        <v>74</v>
      </c>
      <c r="I298" t="s">
        <v>6208</v>
      </c>
      <c r="J298" t="s">
        <v>4944</v>
      </c>
      <c r="K298" t="s">
        <v>74</v>
      </c>
      <c r="L298" t="s">
        <v>74</v>
      </c>
      <c r="M298" t="s">
        <v>78</v>
      </c>
      <c r="N298" t="s">
        <v>79</v>
      </c>
      <c r="O298" t="s">
        <v>74</v>
      </c>
      <c r="P298" t="s">
        <v>74</v>
      </c>
      <c r="Q298" t="s">
        <v>74</v>
      </c>
      <c r="R298" t="s">
        <v>74</v>
      </c>
      <c r="S298" t="s">
        <v>74</v>
      </c>
      <c r="T298" t="s">
        <v>6209</v>
      </c>
      <c r="U298" t="s">
        <v>6210</v>
      </c>
      <c r="V298" t="s">
        <v>6211</v>
      </c>
      <c r="W298" t="s">
        <v>6212</v>
      </c>
      <c r="X298" t="s">
        <v>6213</v>
      </c>
      <c r="Y298" t="s">
        <v>6214</v>
      </c>
      <c r="Z298" t="s">
        <v>6215</v>
      </c>
      <c r="AA298" t="s">
        <v>74</v>
      </c>
      <c r="AB298" t="s">
        <v>6216</v>
      </c>
      <c r="AC298" t="s">
        <v>6217</v>
      </c>
      <c r="AD298" t="s">
        <v>6218</v>
      </c>
      <c r="AE298" t="s">
        <v>6219</v>
      </c>
      <c r="AF298" t="s">
        <v>74</v>
      </c>
      <c r="AG298">
        <v>68</v>
      </c>
      <c r="AH298">
        <v>10</v>
      </c>
      <c r="AI298">
        <v>10</v>
      </c>
      <c r="AJ298">
        <v>1</v>
      </c>
      <c r="AK298">
        <v>14</v>
      </c>
      <c r="AL298" t="s">
        <v>917</v>
      </c>
      <c r="AM298" t="s">
        <v>390</v>
      </c>
      <c r="AN298" t="s">
        <v>918</v>
      </c>
      <c r="AO298" t="s">
        <v>4957</v>
      </c>
      <c r="AP298" t="s">
        <v>4958</v>
      </c>
      <c r="AQ298" t="s">
        <v>74</v>
      </c>
      <c r="AR298" t="s">
        <v>4959</v>
      </c>
      <c r="AS298" t="s">
        <v>4960</v>
      </c>
      <c r="AT298" t="s">
        <v>2859</v>
      </c>
      <c r="AU298">
        <v>2021</v>
      </c>
      <c r="AV298">
        <v>126</v>
      </c>
      <c r="AW298">
        <v>4</v>
      </c>
      <c r="AX298" t="s">
        <v>74</v>
      </c>
      <c r="AY298" t="s">
        <v>74</v>
      </c>
      <c r="AZ298" t="s">
        <v>74</v>
      </c>
      <c r="BA298" t="s">
        <v>74</v>
      </c>
      <c r="BB298" t="s">
        <v>74</v>
      </c>
      <c r="BC298" t="s">
        <v>74</v>
      </c>
      <c r="BD298" t="s">
        <v>6220</v>
      </c>
      <c r="BE298" t="s">
        <v>6221</v>
      </c>
      <c r="BF298" t="str">
        <f>HYPERLINK("http://dx.doi.org/10.1029/2020JG005925","http://dx.doi.org/10.1029/2020JG005925")</f>
        <v>http://dx.doi.org/10.1029/2020JG005925</v>
      </c>
      <c r="BG298" t="s">
        <v>74</v>
      </c>
      <c r="BH298" t="s">
        <v>74</v>
      </c>
      <c r="BI298">
        <v>20</v>
      </c>
      <c r="BJ298" t="s">
        <v>4963</v>
      </c>
      <c r="BK298" t="s">
        <v>101</v>
      </c>
      <c r="BL298" t="s">
        <v>1278</v>
      </c>
      <c r="BM298" t="s">
        <v>4964</v>
      </c>
      <c r="BN298" t="s">
        <v>74</v>
      </c>
      <c r="BO298" t="s">
        <v>74</v>
      </c>
      <c r="BP298" t="s">
        <v>74</v>
      </c>
      <c r="BQ298" t="s">
        <v>74</v>
      </c>
      <c r="BR298" t="s">
        <v>104</v>
      </c>
      <c r="BS298" t="s">
        <v>6222</v>
      </c>
      <c r="BT298" t="str">
        <f>HYPERLINK("https%3A%2F%2Fwww.webofscience.com%2Fwos%2Fwoscc%2Ffull-record%2FWOS:000645001600002","View Full Record in Web of Science")</f>
        <v>View Full Record in Web of Science</v>
      </c>
    </row>
    <row r="299" spans="1:72" x14ac:dyDescent="0.15">
      <c r="A299" t="s">
        <v>72</v>
      </c>
      <c r="B299" t="s">
        <v>6223</v>
      </c>
      <c r="C299" t="s">
        <v>74</v>
      </c>
      <c r="D299" t="s">
        <v>74</v>
      </c>
      <c r="E299" t="s">
        <v>74</v>
      </c>
      <c r="F299" t="s">
        <v>6224</v>
      </c>
      <c r="G299" t="s">
        <v>74</v>
      </c>
      <c r="H299" t="s">
        <v>74</v>
      </c>
      <c r="I299" t="s">
        <v>6225</v>
      </c>
      <c r="J299" t="s">
        <v>4969</v>
      </c>
      <c r="K299" t="s">
        <v>74</v>
      </c>
      <c r="L299" t="s">
        <v>74</v>
      </c>
      <c r="M299" t="s">
        <v>78</v>
      </c>
      <c r="N299" t="s">
        <v>79</v>
      </c>
      <c r="O299" t="s">
        <v>74</v>
      </c>
      <c r="P299" t="s">
        <v>74</v>
      </c>
      <c r="Q299" t="s">
        <v>74</v>
      </c>
      <c r="R299" t="s">
        <v>74</v>
      </c>
      <c r="S299" t="s">
        <v>74</v>
      </c>
      <c r="T299" t="s">
        <v>74</v>
      </c>
      <c r="U299" t="s">
        <v>6226</v>
      </c>
      <c r="V299" t="s">
        <v>6227</v>
      </c>
      <c r="W299" t="s">
        <v>6228</v>
      </c>
      <c r="X299" t="s">
        <v>6229</v>
      </c>
      <c r="Y299" t="s">
        <v>6230</v>
      </c>
      <c r="Z299" t="s">
        <v>6231</v>
      </c>
      <c r="AA299" t="s">
        <v>6232</v>
      </c>
      <c r="AB299" t="s">
        <v>6233</v>
      </c>
      <c r="AC299" t="s">
        <v>6234</v>
      </c>
      <c r="AD299" t="s">
        <v>6235</v>
      </c>
      <c r="AE299" t="s">
        <v>6236</v>
      </c>
      <c r="AF299" t="s">
        <v>74</v>
      </c>
      <c r="AG299">
        <v>36</v>
      </c>
      <c r="AH299">
        <v>7</v>
      </c>
      <c r="AI299">
        <v>7</v>
      </c>
      <c r="AJ299">
        <v>1</v>
      </c>
      <c r="AK299">
        <v>8</v>
      </c>
      <c r="AL299" t="s">
        <v>917</v>
      </c>
      <c r="AM299" t="s">
        <v>390</v>
      </c>
      <c r="AN299" t="s">
        <v>918</v>
      </c>
      <c r="AO299" t="s">
        <v>4982</v>
      </c>
      <c r="AP299" t="s">
        <v>4983</v>
      </c>
      <c r="AQ299" t="s">
        <v>74</v>
      </c>
      <c r="AR299" t="s">
        <v>4984</v>
      </c>
      <c r="AS299" t="s">
        <v>4985</v>
      </c>
      <c r="AT299" t="s">
        <v>2859</v>
      </c>
      <c r="AU299">
        <v>2021</v>
      </c>
      <c r="AV299">
        <v>126</v>
      </c>
      <c r="AW299">
        <v>4</v>
      </c>
      <c r="AX299" t="s">
        <v>74</v>
      </c>
      <c r="AY299" t="s">
        <v>74</v>
      </c>
      <c r="AZ299" t="s">
        <v>74</v>
      </c>
      <c r="BA299" t="s">
        <v>74</v>
      </c>
      <c r="BB299" t="s">
        <v>74</v>
      </c>
      <c r="BC299" t="s">
        <v>74</v>
      </c>
      <c r="BD299" t="s">
        <v>6237</v>
      </c>
      <c r="BE299" t="s">
        <v>6238</v>
      </c>
      <c r="BF299" t="str">
        <f>HYPERLINK("http://dx.doi.org/10.1029/2020JC017123","http://dx.doi.org/10.1029/2020JC017123")</f>
        <v>http://dx.doi.org/10.1029/2020JC017123</v>
      </c>
      <c r="BG299" t="s">
        <v>74</v>
      </c>
      <c r="BH299" t="s">
        <v>74</v>
      </c>
      <c r="BI299">
        <v>15</v>
      </c>
      <c r="BJ299" t="s">
        <v>369</v>
      </c>
      <c r="BK299" t="s">
        <v>101</v>
      </c>
      <c r="BL299" t="s">
        <v>369</v>
      </c>
      <c r="BM299" t="s">
        <v>4988</v>
      </c>
      <c r="BN299" t="s">
        <v>74</v>
      </c>
      <c r="BO299" t="s">
        <v>398</v>
      </c>
      <c r="BP299" t="s">
        <v>74</v>
      </c>
      <c r="BQ299" t="s">
        <v>74</v>
      </c>
      <c r="BR299" t="s">
        <v>104</v>
      </c>
      <c r="BS299" t="s">
        <v>6239</v>
      </c>
      <c r="BT299" t="str">
        <f>HYPERLINK("https%3A%2F%2Fwww.webofscience.com%2Fwos%2Fwoscc%2Ffull-record%2FWOS:000645019200019","View Full Record in Web of Science")</f>
        <v>View Full Record in Web of Science</v>
      </c>
    </row>
    <row r="300" spans="1:72" x14ac:dyDescent="0.15">
      <c r="A300" t="s">
        <v>72</v>
      </c>
      <c r="B300" t="s">
        <v>6240</v>
      </c>
      <c r="C300" t="s">
        <v>74</v>
      </c>
      <c r="D300" t="s">
        <v>74</v>
      </c>
      <c r="E300" t="s">
        <v>74</v>
      </c>
      <c r="F300" t="s">
        <v>6241</v>
      </c>
      <c r="G300" t="s">
        <v>74</v>
      </c>
      <c r="H300" t="s">
        <v>74</v>
      </c>
      <c r="I300" t="s">
        <v>6242</v>
      </c>
      <c r="J300" t="s">
        <v>5615</v>
      </c>
      <c r="K300" t="s">
        <v>74</v>
      </c>
      <c r="L300" t="s">
        <v>74</v>
      </c>
      <c r="M300" t="s">
        <v>78</v>
      </c>
      <c r="N300" t="s">
        <v>79</v>
      </c>
      <c r="O300" t="s">
        <v>74</v>
      </c>
      <c r="P300" t="s">
        <v>74</v>
      </c>
      <c r="Q300" t="s">
        <v>74</v>
      </c>
      <c r="R300" t="s">
        <v>74</v>
      </c>
      <c r="S300" t="s">
        <v>74</v>
      </c>
      <c r="T300" t="s">
        <v>6243</v>
      </c>
      <c r="U300" t="s">
        <v>6244</v>
      </c>
      <c r="V300" t="s">
        <v>6245</v>
      </c>
      <c r="W300" t="s">
        <v>6246</v>
      </c>
      <c r="X300" t="s">
        <v>6247</v>
      </c>
      <c r="Y300" t="s">
        <v>6248</v>
      </c>
      <c r="Z300" t="s">
        <v>6249</v>
      </c>
      <c r="AA300" t="s">
        <v>6250</v>
      </c>
      <c r="AB300" t="s">
        <v>6251</v>
      </c>
      <c r="AC300" t="s">
        <v>6252</v>
      </c>
      <c r="AD300" t="s">
        <v>6253</v>
      </c>
      <c r="AE300" t="s">
        <v>6254</v>
      </c>
      <c r="AF300" t="s">
        <v>74</v>
      </c>
      <c r="AG300">
        <v>93</v>
      </c>
      <c r="AH300">
        <v>15</v>
      </c>
      <c r="AI300">
        <v>15</v>
      </c>
      <c r="AJ300">
        <v>9</v>
      </c>
      <c r="AK300">
        <v>56</v>
      </c>
      <c r="AL300" t="s">
        <v>335</v>
      </c>
      <c r="AM300" t="s">
        <v>336</v>
      </c>
      <c r="AN300" t="s">
        <v>337</v>
      </c>
      <c r="AO300" t="s">
        <v>74</v>
      </c>
      <c r="AP300" t="s">
        <v>5628</v>
      </c>
      <c r="AQ300" t="s">
        <v>74</v>
      </c>
      <c r="AR300" t="s">
        <v>5629</v>
      </c>
      <c r="AS300" t="s">
        <v>5630</v>
      </c>
      <c r="AT300" t="s">
        <v>2859</v>
      </c>
      <c r="AU300">
        <v>2021</v>
      </c>
      <c r="AV300">
        <v>9</v>
      </c>
      <c r="AW300">
        <v>4</v>
      </c>
      <c r="AX300" t="s">
        <v>74</v>
      </c>
      <c r="AY300" t="s">
        <v>74</v>
      </c>
      <c r="AZ300" t="s">
        <v>74</v>
      </c>
      <c r="BA300" t="s">
        <v>74</v>
      </c>
      <c r="BB300" t="s">
        <v>74</v>
      </c>
      <c r="BC300" t="s">
        <v>74</v>
      </c>
      <c r="BD300">
        <v>365</v>
      </c>
      <c r="BE300" t="s">
        <v>6255</v>
      </c>
      <c r="BF300" t="str">
        <f>HYPERLINK("http://dx.doi.org/10.3390/jmse9040365","http://dx.doi.org/10.3390/jmse9040365")</f>
        <v>http://dx.doi.org/10.3390/jmse9040365</v>
      </c>
      <c r="BG300" t="s">
        <v>74</v>
      </c>
      <c r="BH300" t="s">
        <v>74</v>
      </c>
      <c r="BI300">
        <v>23</v>
      </c>
      <c r="BJ300" t="s">
        <v>5632</v>
      </c>
      <c r="BK300" t="s">
        <v>101</v>
      </c>
      <c r="BL300" t="s">
        <v>5633</v>
      </c>
      <c r="BM300" t="s">
        <v>6256</v>
      </c>
      <c r="BN300" t="s">
        <v>74</v>
      </c>
      <c r="BO300" t="s">
        <v>6257</v>
      </c>
      <c r="BP300" t="s">
        <v>74</v>
      </c>
      <c r="BQ300" t="s">
        <v>74</v>
      </c>
      <c r="BR300" t="s">
        <v>104</v>
      </c>
      <c r="BS300" t="s">
        <v>6258</v>
      </c>
      <c r="BT300" t="str">
        <f>HYPERLINK("https%3A%2F%2Fwww.webofscience.com%2Fwos%2Fwoscc%2Ffull-record%2FWOS:000643106900001","View Full Record in Web of Science")</f>
        <v>View Full Record in Web of Science</v>
      </c>
    </row>
    <row r="301" spans="1:72" x14ac:dyDescent="0.15">
      <c r="A301" t="s">
        <v>72</v>
      </c>
      <c r="B301" t="s">
        <v>6259</v>
      </c>
      <c r="C301" t="s">
        <v>74</v>
      </c>
      <c r="D301" t="s">
        <v>74</v>
      </c>
      <c r="E301" t="s">
        <v>74</v>
      </c>
      <c r="F301" t="s">
        <v>6260</v>
      </c>
      <c r="G301" t="s">
        <v>74</v>
      </c>
      <c r="H301" t="s">
        <v>74</v>
      </c>
      <c r="I301" t="s">
        <v>6261</v>
      </c>
      <c r="J301" t="s">
        <v>5615</v>
      </c>
      <c r="K301" t="s">
        <v>74</v>
      </c>
      <c r="L301" t="s">
        <v>74</v>
      </c>
      <c r="M301" t="s">
        <v>78</v>
      </c>
      <c r="N301" t="s">
        <v>79</v>
      </c>
      <c r="O301" t="s">
        <v>74</v>
      </c>
      <c r="P301" t="s">
        <v>74</v>
      </c>
      <c r="Q301" t="s">
        <v>74</v>
      </c>
      <c r="R301" t="s">
        <v>74</v>
      </c>
      <c r="S301" t="s">
        <v>74</v>
      </c>
      <c r="T301" t="s">
        <v>6262</v>
      </c>
      <c r="U301" t="s">
        <v>6263</v>
      </c>
      <c r="V301" t="s">
        <v>6264</v>
      </c>
      <c r="W301" t="s">
        <v>6265</v>
      </c>
      <c r="X301" t="s">
        <v>6266</v>
      </c>
      <c r="Y301" t="s">
        <v>6267</v>
      </c>
      <c r="Z301" t="s">
        <v>6268</v>
      </c>
      <c r="AA301" t="s">
        <v>6269</v>
      </c>
      <c r="AB301" t="s">
        <v>6270</v>
      </c>
      <c r="AC301" t="s">
        <v>6271</v>
      </c>
      <c r="AD301" t="s">
        <v>6272</v>
      </c>
      <c r="AE301" t="s">
        <v>6273</v>
      </c>
      <c r="AF301" t="s">
        <v>74</v>
      </c>
      <c r="AG301">
        <v>25</v>
      </c>
      <c r="AH301">
        <v>0</v>
      </c>
      <c r="AI301">
        <v>0</v>
      </c>
      <c r="AJ301">
        <v>0</v>
      </c>
      <c r="AK301">
        <v>6</v>
      </c>
      <c r="AL301" t="s">
        <v>335</v>
      </c>
      <c r="AM301" t="s">
        <v>336</v>
      </c>
      <c r="AN301" t="s">
        <v>337</v>
      </c>
      <c r="AO301" t="s">
        <v>74</v>
      </c>
      <c r="AP301" t="s">
        <v>5628</v>
      </c>
      <c r="AQ301" t="s">
        <v>74</v>
      </c>
      <c r="AR301" t="s">
        <v>5629</v>
      </c>
      <c r="AS301" t="s">
        <v>5630</v>
      </c>
      <c r="AT301" t="s">
        <v>2859</v>
      </c>
      <c r="AU301">
        <v>2021</v>
      </c>
      <c r="AV301">
        <v>9</v>
      </c>
      <c r="AW301">
        <v>4</v>
      </c>
      <c r="AX301" t="s">
        <v>74</v>
      </c>
      <c r="AY301" t="s">
        <v>74</v>
      </c>
      <c r="AZ301" t="s">
        <v>74</v>
      </c>
      <c r="BA301" t="s">
        <v>74</v>
      </c>
      <c r="BB301" t="s">
        <v>74</v>
      </c>
      <c r="BC301" t="s">
        <v>74</v>
      </c>
      <c r="BD301">
        <v>372</v>
      </c>
      <c r="BE301" t="s">
        <v>6274</v>
      </c>
      <c r="BF301" t="str">
        <f>HYPERLINK("http://dx.doi.org/10.3390/jmse9040372","http://dx.doi.org/10.3390/jmse9040372")</f>
        <v>http://dx.doi.org/10.3390/jmse9040372</v>
      </c>
      <c r="BG301" t="s">
        <v>74</v>
      </c>
      <c r="BH301" t="s">
        <v>74</v>
      </c>
      <c r="BI301">
        <v>12</v>
      </c>
      <c r="BJ301" t="s">
        <v>5632</v>
      </c>
      <c r="BK301" t="s">
        <v>101</v>
      </c>
      <c r="BL301" t="s">
        <v>5633</v>
      </c>
      <c r="BM301" t="s">
        <v>6275</v>
      </c>
      <c r="BN301" t="s">
        <v>74</v>
      </c>
      <c r="BO301" t="s">
        <v>317</v>
      </c>
      <c r="BP301" t="s">
        <v>74</v>
      </c>
      <c r="BQ301" t="s">
        <v>74</v>
      </c>
      <c r="BR301" t="s">
        <v>104</v>
      </c>
      <c r="BS301" t="s">
        <v>6276</v>
      </c>
      <c r="BT301" t="str">
        <f>HYPERLINK("https%3A%2F%2Fwww.webofscience.com%2Fwos%2Fwoscc%2Ffull-record%2FWOS:000643122500001","View Full Record in Web of Science")</f>
        <v>View Full Record in Web of Science</v>
      </c>
    </row>
    <row r="302" spans="1:72" x14ac:dyDescent="0.15">
      <c r="A302" t="s">
        <v>72</v>
      </c>
      <c r="B302" t="s">
        <v>6277</v>
      </c>
      <c r="C302" t="s">
        <v>74</v>
      </c>
      <c r="D302" t="s">
        <v>74</v>
      </c>
      <c r="E302" t="s">
        <v>74</v>
      </c>
      <c r="F302" t="s">
        <v>6278</v>
      </c>
      <c r="G302" t="s">
        <v>74</v>
      </c>
      <c r="H302" t="s">
        <v>74</v>
      </c>
      <c r="I302" t="s">
        <v>6279</v>
      </c>
      <c r="J302" t="s">
        <v>350</v>
      </c>
      <c r="K302" t="s">
        <v>74</v>
      </c>
      <c r="L302" t="s">
        <v>74</v>
      </c>
      <c r="M302" t="s">
        <v>78</v>
      </c>
      <c r="N302" t="s">
        <v>79</v>
      </c>
      <c r="O302" t="s">
        <v>74</v>
      </c>
      <c r="P302" t="s">
        <v>74</v>
      </c>
      <c r="Q302" t="s">
        <v>74</v>
      </c>
      <c r="R302" t="s">
        <v>74</v>
      </c>
      <c r="S302" t="s">
        <v>74</v>
      </c>
      <c r="T302" t="s">
        <v>6280</v>
      </c>
      <c r="U302" t="s">
        <v>6281</v>
      </c>
      <c r="V302" t="s">
        <v>6282</v>
      </c>
      <c r="W302" t="s">
        <v>6283</v>
      </c>
      <c r="X302" t="s">
        <v>6284</v>
      </c>
      <c r="Y302" t="s">
        <v>6285</v>
      </c>
      <c r="Z302" t="s">
        <v>6286</v>
      </c>
      <c r="AA302" t="s">
        <v>6287</v>
      </c>
      <c r="AB302" t="s">
        <v>6288</v>
      </c>
      <c r="AC302" t="s">
        <v>6289</v>
      </c>
      <c r="AD302" t="s">
        <v>6290</v>
      </c>
      <c r="AE302" t="s">
        <v>6291</v>
      </c>
      <c r="AF302" t="s">
        <v>74</v>
      </c>
      <c r="AG302">
        <v>64</v>
      </c>
      <c r="AH302">
        <v>13</v>
      </c>
      <c r="AI302">
        <v>15</v>
      </c>
      <c r="AJ302">
        <v>1</v>
      </c>
      <c r="AK302">
        <v>11</v>
      </c>
      <c r="AL302" t="s">
        <v>120</v>
      </c>
      <c r="AM302" t="s">
        <v>121</v>
      </c>
      <c r="AN302" t="s">
        <v>122</v>
      </c>
      <c r="AO302" t="s">
        <v>364</v>
      </c>
      <c r="AP302" t="s">
        <v>365</v>
      </c>
      <c r="AQ302" t="s">
        <v>74</v>
      </c>
      <c r="AR302" t="s">
        <v>366</v>
      </c>
      <c r="AS302" t="s">
        <v>367</v>
      </c>
      <c r="AT302" t="s">
        <v>2859</v>
      </c>
      <c r="AU302">
        <v>2021</v>
      </c>
      <c r="AV302">
        <v>51</v>
      </c>
      <c r="AW302">
        <v>4</v>
      </c>
      <c r="AX302" t="s">
        <v>74</v>
      </c>
      <c r="AY302" t="s">
        <v>74</v>
      </c>
      <c r="AZ302" t="s">
        <v>74</v>
      </c>
      <c r="BA302" t="s">
        <v>74</v>
      </c>
      <c r="BB302">
        <v>1205</v>
      </c>
      <c r="BC302">
        <v>1222</v>
      </c>
      <c r="BD302" t="s">
        <v>74</v>
      </c>
      <c r="BE302" t="s">
        <v>6292</v>
      </c>
      <c r="BF302" t="str">
        <f>HYPERLINK("http://dx.doi.org/10.1175/JPO-D-20-0132.1","http://dx.doi.org/10.1175/JPO-D-20-0132.1")</f>
        <v>http://dx.doi.org/10.1175/JPO-D-20-0132.1</v>
      </c>
      <c r="BG302" t="s">
        <v>74</v>
      </c>
      <c r="BH302" t="s">
        <v>74</v>
      </c>
      <c r="BI302">
        <v>18</v>
      </c>
      <c r="BJ302" t="s">
        <v>369</v>
      </c>
      <c r="BK302" t="s">
        <v>101</v>
      </c>
      <c r="BL302" t="s">
        <v>369</v>
      </c>
      <c r="BM302" t="s">
        <v>4914</v>
      </c>
      <c r="BN302" t="s">
        <v>74</v>
      </c>
      <c r="BO302" t="s">
        <v>2344</v>
      </c>
      <c r="BP302" t="s">
        <v>74</v>
      </c>
      <c r="BQ302" t="s">
        <v>74</v>
      </c>
      <c r="BR302" t="s">
        <v>104</v>
      </c>
      <c r="BS302" t="s">
        <v>6293</v>
      </c>
      <c r="BT302" t="str">
        <f>HYPERLINK("https%3A%2F%2Fwww.webofscience.com%2Fwos%2Fwoscc%2Ffull-record%2FWOS:000644279200014","View Full Record in Web of Science")</f>
        <v>View Full Record in Web of Science</v>
      </c>
    </row>
    <row r="303" spans="1:72" x14ac:dyDescent="0.15">
      <c r="A303" t="s">
        <v>72</v>
      </c>
      <c r="B303" t="s">
        <v>6294</v>
      </c>
      <c r="C303" t="s">
        <v>74</v>
      </c>
      <c r="D303" t="s">
        <v>74</v>
      </c>
      <c r="E303" t="s">
        <v>74</v>
      </c>
      <c r="F303" t="s">
        <v>6295</v>
      </c>
      <c r="G303" t="s">
        <v>74</v>
      </c>
      <c r="H303" t="s">
        <v>74</v>
      </c>
      <c r="I303" t="s">
        <v>6296</v>
      </c>
      <c r="J303" t="s">
        <v>6297</v>
      </c>
      <c r="K303" t="s">
        <v>74</v>
      </c>
      <c r="L303" t="s">
        <v>74</v>
      </c>
      <c r="M303" t="s">
        <v>78</v>
      </c>
      <c r="N303" t="s">
        <v>5599</v>
      </c>
      <c r="O303" t="s">
        <v>74</v>
      </c>
      <c r="P303" t="s">
        <v>74</v>
      </c>
      <c r="Q303" t="s">
        <v>74</v>
      </c>
      <c r="R303" t="s">
        <v>74</v>
      </c>
      <c r="S303" t="s">
        <v>74</v>
      </c>
      <c r="T303" t="s">
        <v>74</v>
      </c>
      <c r="U303" t="s">
        <v>74</v>
      </c>
      <c r="V303" t="s">
        <v>74</v>
      </c>
      <c r="W303" t="s">
        <v>6298</v>
      </c>
      <c r="X303" t="s">
        <v>6299</v>
      </c>
      <c r="Y303" t="s">
        <v>6300</v>
      </c>
      <c r="Z303" t="s">
        <v>74</v>
      </c>
      <c r="AA303" t="s">
        <v>74</v>
      </c>
      <c r="AB303" t="s">
        <v>74</v>
      </c>
      <c r="AC303" t="s">
        <v>74</v>
      </c>
      <c r="AD303" t="s">
        <v>74</v>
      </c>
      <c r="AE303" t="s">
        <v>74</v>
      </c>
      <c r="AF303" t="s">
        <v>74</v>
      </c>
      <c r="AG303">
        <v>1</v>
      </c>
      <c r="AH303">
        <v>0</v>
      </c>
      <c r="AI303">
        <v>0</v>
      </c>
      <c r="AJ303">
        <v>0</v>
      </c>
      <c r="AK303">
        <v>0</v>
      </c>
      <c r="AL303" t="s">
        <v>6301</v>
      </c>
      <c r="AM303" t="s">
        <v>167</v>
      </c>
      <c r="AN303" t="s">
        <v>6302</v>
      </c>
      <c r="AO303" t="s">
        <v>6303</v>
      </c>
      <c r="AP303" t="s">
        <v>74</v>
      </c>
      <c r="AQ303" t="s">
        <v>74</v>
      </c>
      <c r="AR303" t="s">
        <v>6304</v>
      </c>
      <c r="AS303" t="s">
        <v>6305</v>
      </c>
      <c r="AT303" t="s">
        <v>2859</v>
      </c>
      <c r="AU303">
        <v>2021</v>
      </c>
      <c r="AV303">
        <v>146</v>
      </c>
      <c r="AW303">
        <v>4</v>
      </c>
      <c r="AX303" t="s">
        <v>74</v>
      </c>
      <c r="AY303" t="s">
        <v>74</v>
      </c>
      <c r="AZ303" t="s">
        <v>74</v>
      </c>
      <c r="BA303" t="s">
        <v>74</v>
      </c>
      <c r="BB303">
        <v>74</v>
      </c>
      <c r="BC303">
        <v>74</v>
      </c>
      <c r="BD303" t="s">
        <v>74</v>
      </c>
      <c r="BE303" t="s">
        <v>74</v>
      </c>
      <c r="BF303" t="s">
        <v>74</v>
      </c>
      <c r="BG303" t="s">
        <v>74</v>
      </c>
      <c r="BH303" t="s">
        <v>74</v>
      </c>
      <c r="BI303">
        <v>1</v>
      </c>
      <c r="BJ303" t="s">
        <v>6306</v>
      </c>
      <c r="BK303" t="s">
        <v>3246</v>
      </c>
      <c r="BL303" t="s">
        <v>6306</v>
      </c>
      <c r="BM303" t="s">
        <v>6307</v>
      </c>
      <c r="BN303" t="s">
        <v>74</v>
      </c>
      <c r="BO303" t="s">
        <v>74</v>
      </c>
      <c r="BP303" t="s">
        <v>74</v>
      </c>
      <c r="BQ303" t="s">
        <v>74</v>
      </c>
      <c r="BR303" t="s">
        <v>104</v>
      </c>
      <c r="BS303" t="s">
        <v>6308</v>
      </c>
      <c r="BT303" t="str">
        <f>HYPERLINK("https%3A%2F%2Fwww.webofscience.com%2Fwos%2Fwoscc%2Ffull-record%2FWOS:000790989100174","View Full Record in Web of Science")</f>
        <v>View Full Record in Web of Science</v>
      </c>
    </row>
    <row r="304" spans="1:72" x14ac:dyDescent="0.15">
      <c r="A304" t="s">
        <v>72</v>
      </c>
      <c r="B304" t="s">
        <v>6309</v>
      </c>
      <c r="C304" t="s">
        <v>74</v>
      </c>
      <c r="D304" t="s">
        <v>74</v>
      </c>
      <c r="E304" t="s">
        <v>74</v>
      </c>
      <c r="F304" t="s">
        <v>6310</v>
      </c>
      <c r="G304" t="s">
        <v>74</v>
      </c>
      <c r="H304" t="s">
        <v>74</v>
      </c>
      <c r="I304" t="s">
        <v>6311</v>
      </c>
      <c r="J304" t="s">
        <v>6312</v>
      </c>
      <c r="K304" t="s">
        <v>74</v>
      </c>
      <c r="L304" t="s">
        <v>74</v>
      </c>
      <c r="M304" t="s">
        <v>78</v>
      </c>
      <c r="N304" t="s">
        <v>79</v>
      </c>
      <c r="O304" t="s">
        <v>74</v>
      </c>
      <c r="P304" t="s">
        <v>74</v>
      </c>
      <c r="Q304" t="s">
        <v>74</v>
      </c>
      <c r="R304" t="s">
        <v>74</v>
      </c>
      <c r="S304" t="s">
        <v>74</v>
      </c>
      <c r="T304" t="s">
        <v>6313</v>
      </c>
      <c r="U304" t="s">
        <v>74</v>
      </c>
      <c r="V304" t="s">
        <v>6314</v>
      </c>
      <c r="W304" t="s">
        <v>6315</v>
      </c>
      <c r="X304" t="s">
        <v>6316</v>
      </c>
      <c r="Y304" t="s">
        <v>6317</v>
      </c>
      <c r="Z304" t="s">
        <v>6318</v>
      </c>
      <c r="AA304" t="s">
        <v>6319</v>
      </c>
      <c r="AB304" t="s">
        <v>6320</v>
      </c>
      <c r="AC304" t="s">
        <v>6321</v>
      </c>
      <c r="AD304" t="s">
        <v>6322</v>
      </c>
      <c r="AE304" t="s">
        <v>6323</v>
      </c>
      <c r="AF304" t="s">
        <v>74</v>
      </c>
      <c r="AG304">
        <v>61</v>
      </c>
      <c r="AH304">
        <v>38</v>
      </c>
      <c r="AI304">
        <v>42</v>
      </c>
      <c r="AJ304">
        <v>1</v>
      </c>
      <c r="AK304">
        <v>19</v>
      </c>
      <c r="AL304" t="s">
        <v>795</v>
      </c>
      <c r="AM304" t="s">
        <v>796</v>
      </c>
      <c r="AN304" t="s">
        <v>797</v>
      </c>
      <c r="AO304" t="s">
        <v>6324</v>
      </c>
      <c r="AP304" t="s">
        <v>6325</v>
      </c>
      <c r="AQ304" t="s">
        <v>74</v>
      </c>
      <c r="AR304" t="s">
        <v>6326</v>
      </c>
      <c r="AS304" t="s">
        <v>6327</v>
      </c>
      <c r="AT304" t="s">
        <v>707</v>
      </c>
      <c r="AU304">
        <v>2021</v>
      </c>
      <c r="AV304">
        <v>12</v>
      </c>
      <c r="AW304">
        <v>6</v>
      </c>
      <c r="AX304" t="s">
        <v>74</v>
      </c>
      <c r="AY304" t="s">
        <v>74</v>
      </c>
      <c r="AZ304" t="s">
        <v>74</v>
      </c>
      <c r="BA304" t="s">
        <v>74</v>
      </c>
      <c r="BB304">
        <v>996</v>
      </c>
      <c r="BC304">
        <v>1007</v>
      </c>
      <c r="BD304" t="s">
        <v>74</v>
      </c>
      <c r="BE304" t="s">
        <v>6328</v>
      </c>
      <c r="BF304" t="str">
        <f>HYPERLINK("http://dx.doi.org/10.1111/2041-210X.13593","http://dx.doi.org/10.1111/2041-210X.13593")</f>
        <v>http://dx.doi.org/10.1111/2041-210X.13593</v>
      </c>
      <c r="BG304" t="s">
        <v>74</v>
      </c>
      <c r="BH304" t="s">
        <v>514</v>
      </c>
      <c r="BI304">
        <v>12</v>
      </c>
      <c r="BJ304" t="s">
        <v>4663</v>
      </c>
      <c r="BK304" t="s">
        <v>101</v>
      </c>
      <c r="BL304" t="s">
        <v>225</v>
      </c>
      <c r="BM304" t="s">
        <v>6329</v>
      </c>
      <c r="BN304" t="s">
        <v>74</v>
      </c>
      <c r="BO304" t="s">
        <v>1492</v>
      </c>
      <c r="BP304" t="s">
        <v>74</v>
      </c>
      <c r="BQ304" t="s">
        <v>74</v>
      </c>
      <c r="BR304" t="s">
        <v>104</v>
      </c>
      <c r="BS304" t="s">
        <v>6330</v>
      </c>
      <c r="BT304" t="str">
        <f>HYPERLINK("https%3A%2F%2Fwww.webofscience.com%2Fwos%2Fwoscc%2Ffull-record%2FWOS:000635644300001","View Full Record in Web of Science")</f>
        <v>View Full Record in Web of Science</v>
      </c>
    </row>
    <row r="305" spans="1:72" x14ac:dyDescent="0.15">
      <c r="A305" t="s">
        <v>72</v>
      </c>
      <c r="B305" t="s">
        <v>6331</v>
      </c>
      <c r="C305" t="s">
        <v>74</v>
      </c>
      <c r="D305" t="s">
        <v>74</v>
      </c>
      <c r="E305" t="s">
        <v>74</v>
      </c>
      <c r="F305" t="s">
        <v>6332</v>
      </c>
      <c r="G305" t="s">
        <v>74</v>
      </c>
      <c r="H305" t="s">
        <v>74</v>
      </c>
      <c r="I305" t="s">
        <v>6333</v>
      </c>
      <c r="J305" t="s">
        <v>4669</v>
      </c>
      <c r="K305" t="s">
        <v>74</v>
      </c>
      <c r="L305" t="s">
        <v>74</v>
      </c>
      <c r="M305" t="s">
        <v>78</v>
      </c>
      <c r="N305" t="s">
        <v>79</v>
      </c>
      <c r="O305" t="s">
        <v>74</v>
      </c>
      <c r="P305" t="s">
        <v>74</v>
      </c>
      <c r="Q305" t="s">
        <v>74</v>
      </c>
      <c r="R305" t="s">
        <v>74</v>
      </c>
      <c r="S305" t="s">
        <v>74</v>
      </c>
      <c r="T305" t="s">
        <v>6334</v>
      </c>
      <c r="U305" t="s">
        <v>6335</v>
      </c>
      <c r="V305" t="s">
        <v>6336</v>
      </c>
      <c r="W305" t="s">
        <v>6337</v>
      </c>
      <c r="X305" t="s">
        <v>6338</v>
      </c>
      <c r="Y305" t="s">
        <v>6339</v>
      </c>
      <c r="Z305" t="s">
        <v>6340</v>
      </c>
      <c r="AA305" t="s">
        <v>6341</v>
      </c>
      <c r="AB305" t="s">
        <v>6342</v>
      </c>
      <c r="AC305" t="s">
        <v>6343</v>
      </c>
      <c r="AD305" t="s">
        <v>6344</v>
      </c>
      <c r="AE305" t="s">
        <v>6345</v>
      </c>
      <c r="AF305" t="s">
        <v>74</v>
      </c>
      <c r="AG305">
        <v>781</v>
      </c>
      <c r="AH305">
        <v>164</v>
      </c>
      <c r="AI305">
        <v>171</v>
      </c>
      <c r="AJ305">
        <v>33</v>
      </c>
      <c r="AK305">
        <v>151</v>
      </c>
      <c r="AL305" t="s">
        <v>917</v>
      </c>
      <c r="AM305" t="s">
        <v>390</v>
      </c>
      <c r="AN305" t="s">
        <v>918</v>
      </c>
      <c r="AO305" t="s">
        <v>4681</v>
      </c>
      <c r="AP305" t="s">
        <v>4682</v>
      </c>
      <c r="AQ305" t="s">
        <v>74</v>
      </c>
      <c r="AR305" t="s">
        <v>4683</v>
      </c>
      <c r="AS305" t="s">
        <v>4684</v>
      </c>
      <c r="AT305" t="s">
        <v>2859</v>
      </c>
      <c r="AU305">
        <v>2021</v>
      </c>
      <c r="AV305">
        <v>36</v>
      </c>
      <c r="AW305">
        <v>4</v>
      </c>
      <c r="AX305" t="s">
        <v>74</v>
      </c>
      <c r="AY305" t="s">
        <v>74</v>
      </c>
      <c r="AZ305" t="s">
        <v>74</v>
      </c>
      <c r="BA305" t="s">
        <v>74</v>
      </c>
      <c r="BB305" t="s">
        <v>74</v>
      </c>
      <c r="BC305" t="s">
        <v>74</v>
      </c>
      <c r="BD305" t="s">
        <v>6346</v>
      </c>
      <c r="BE305" t="s">
        <v>6347</v>
      </c>
      <c r="BF305" t="str">
        <f>HYPERLINK("http://dx.doi.org/10.1029/2020PA004037","http://dx.doi.org/10.1029/2020PA004037")</f>
        <v>http://dx.doi.org/10.1029/2020PA004037</v>
      </c>
      <c r="BG305" t="s">
        <v>74</v>
      </c>
      <c r="BH305" t="s">
        <v>74</v>
      </c>
      <c r="BI305">
        <v>71</v>
      </c>
      <c r="BJ305" t="s">
        <v>4687</v>
      </c>
      <c r="BK305" t="s">
        <v>101</v>
      </c>
      <c r="BL305" t="s">
        <v>4688</v>
      </c>
      <c r="BM305" t="s">
        <v>4689</v>
      </c>
      <c r="BN305" t="s">
        <v>74</v>
      </c>
      <c r="BO305" t="s">
        <v>2543</v>
      </c>
      <c r="BP305" t="s">
        <v>871</v>
      </c>
      <c r="BQ305" t="s">
        <v>872</v>
      </c>
      <c r="BR305" t="s">
        <v>104</v>
      </c>
      <c r="BS305" t="s">
        <v>6348</v>
      </c>
      <c r="BT305" t="str">
        <f>HYPERLINK("https%3A%2F%2Fwww.webofscience.com%2Fwos%2Fwoscc%2Ffull-record%2FWOS:000644566400021","View Full Record in Web of Science")</f>
        <v>View Full Record in Web of Science</v>
      </c>
    </row>
    <row r="306" spans="1:72" x14ac:dyDescent="0.15">
      <c r="A306" t="s">
        <v>72</v>
      </c>
      <c r="B306" t="s">
        <v>6349</v>
      </c>
      <c r="C306" t="s">
        <v>74</v>
      </c>
      <c r="D306" t="s">
        <v>74</v>
      </c>
      <c r="E306" t="s">
        <v>74</v>
      </c>
      <c r="F306" t="s">
        <v>6350</v>
      </c>
      <c r="G306" t="s">
        <v>74</v>
      </c>
      <c r="H306" t="s">
        <v>74</v>
      </c>
      <c r="I306" t="s">
        <v>6351</v>
      </c>
      <c r="J306" t="s">
        <v>6352</v>
      </c>
      <c r="K306" t="s">
        <v>74</v>
      </c>
      <c r="L306" t="s">
        <v>74</v>
      </c>
      <c r="M306" t="s">
        <v>78</v>
      </c>
      <c r="N306" t="s">
        <v>79</v>
      </c>
      <c r="O306" t="s">
        <v>74</v>
      </c>
      <c r="P306" t="s">
        <v>74</v>
      </c>
      <c r="Q306" t="s">
        <v>74</v>
      </c>
      <c r="R306" t="s">
        <v>74</v>
      </c>
      <c r="S306" t="s">
        <v>74</v>
      </c>
      <c r="T306" t="s">
        <v>6353</v>
      </c>
      <c r="U306" t="s">
        <v>6354</v>
      </c>
      <c r="V306" t="s">
        <v>6355</v>
      </c>
      <c r="W306" t="s">
        <v>6356</v>
      </c>
      <c r="X306" t="s">
        <v>6357</v>
      </c>
      <c r="Y306" t="s">
        <v>6358</v>
      </c>
      <c r="Z306" t="s">
        <v>6359</v>
      </c>
      <c r="AA306" t="s">
        <v>6360</v>
      </c>
      <c r="AB306" t="s">
        <v>6361</v>
      </c>
      <c r="AC306" t="s">
        <v>6362</v>
      </c>
      <c r="AD306" t="s">
        <v>6363</v>
      </c>
      <c r="AE306" t="s">
        <v>6364</v>
      </c>
      <c r="AF306" t="s">
        <v>74</v>
      </c>
      <c r="AG306">
        <v>66</v>
      </c>
      <c r="AH306">
        <v>11</v>
      </c>
      <c r="AI306">
        <v>11</v>
      </c>
      <c r="AJ306">
        <v>0</v>
      </c>
      <c r="AK306">
        <v>1</v>
      </c>
      <c r="AL306" t="s">
        <v>625</v>
      </c>
      <c r="AM306" t="s">
        <v>167</v>
      </c>
      <c r="AN306" t="s">
        <v>626</v>
      </c>
      <c r="AO306" t="s">
        <v>6365</v>
      </c>
      <c r="AP306" t="s">
        <v>6366</v>
      </c>
      <c r="AQ306" t="s">
        <v>74</v>
      </c>
      <c r="AR306" t="s">
        <v>6367</v>
      </c>
      <c r="AS306" t="s">
        <v>6368</v>
      </c>
      <c r="AT306" t="s">
        <v>2859</v>
      </c>
      <c r="AU306">
        <v>2021</v>
      </c>
      <c r="AV306">
        <v>158</v>
      </c>
      <c r="AW306">
        <v>4</v>
      </c>
      <c r="AX306" t="s">
        <v>74</v>
      </c>
      <c r="AY306" t="s">
        <v>74</v>
      </c>
      <c r="AZ306" t="s">
        <v>74</v>
      </c>
      <c r="BA306" t="s">
        <v>74</v>
      </c>
      <c r="BB306">
        <v>635</v>
      </c>
      <c r="BC306">
        <v>655</v>
      </c>
      <c r="BD306" t="s">
        <v>6369</v>
      </c>
      <c r="BE306" t="s">
        <v>6370</v>
      </c>
      <c r="BF306" t="str">
        <f>HYPERLINK("http://dx.doi.org/10.1017/S0016756820000746","http://dx.doi.org/10.1017/S0016756820000746")</f>
        <v>http://dx.doi.org/10.1017/S0016756820000746</v>
      </c>
      <c r="BG306" t="s">
        <v>74</v>
      </c>
      <c r="BH306" t="s">
        <v>74</v>
      </c>
      <c r="BI306">
        <v>21</v>
      </c>
      <c r="BJ306" t="s">
        <v>100</v>
      </c>
      <c r="BK306" t="s">
        <v>101</v>
      </c>
      <c r="BL306" t="s">
        <v>102</v>
      </c>
      <c r="BM306" t="s">
        <v>6371</v>
      </c>
      <c r="BN306" t="s">
        <v>74</v>
      </c>
      <c r="BO306" t="s">
        <v>712</v>
      </c>
      <c r="BP306" t="s">
        <v>74</v>
      </c>
      <c r="BQ306" t="s">
        <v>74</v>
      </c>
      <c r="BR306" t="s">
        <v>104</v>
      </c>
      <c r="BS306" t="s">
        <v>6372</v>
      </c>
      <c r="BT306" t="str">
        <f>HYPERLINK("https%3A%2F%2Fwww.webofscience.com%2Fwos%2Fwoscc%2Ffull-record%2FWOS:000631520600004","View Full Record in Web of Science")</f>
        <v>View Full Record in Web of Science</v>
      </c>
    </row>
    <row r="307" spans="1:72" x14ac:dyDescent="0.15">
      <c r="A307" t="s">
        <v>72</v>
      </c>
      <c r="B307" t="s">
        <v>6373</v>
      </c>
      <c r="C307" t="s">
        <v>74</v>
      </c>
      <c r="D307" t="s">
        <v>74</v>
      </c>
      <c r="E307" t="s">
        <v>74</v>
      </c>
      <c r="F307" t="s">
        <v>6374</v>
      </c>
      <c r="G307" t="s">
        <v>74</v>
      </c>
      <c r="H307" t="s">
        <v>74</v>
      </c>
      <c r="I307" t="s">
        <v>6375</v>
      </c>
      <c r="J307" t="s">
        <v>474</v>
      </c>
      <c r="K307" t="s">
        <v>74</v>
      </c>
      <c r="L307" t="s">
        <v>74</v>
      </c>
      <c r="M307" t="s">
        <v>78</v>
      </c>
      <c r="N307" t="s">
        <v>79</v>
      </c>
      <c r="O307" t="s">
        <v>74</v>
      </c>
      <c r="P307" t="s">
        <v>74</v>
      </c>
      <c r="Q307" t="s">
        <v>74</v>
      </c>
      <c r="R307" t="s">
        <v>74</v>
      </c>
      <c r="S307" t="s">
        <v>74</v>
      </c>
      <c r="T307" t="s">
        <v>74</v>
      </c>
      <c r="U307" t="s">
        <v>6376</v>
      </c>
      <c r="V307" t="s">
        <v>6377</v>
      </c>
      <c r="W307" t="s">
        <v>6378</v>
      </c>
      <c r="X307" t="s">
        <v>6379</v>
      </c>
      <c r="Y307" t="s">
        <v>6380</v>
      </c>
      <c r="Z307" t="s">
        <v>6381</v>
      </c>
      <c r="AA307" t="s">
        <v>6382</v>
      </c>
      <c r="AB307" t="s">
        <v>6383</v>
      </c>
      <c r="AC307" t="s">
        <v>6384</v>
      </c>
      <c r="AD307" t="s">
        <v>6385</v>
      </c>
      <c r="AE307" t="s">
        <v>6386</v>
      </c>
      <c r="AF307" t="s">
        <v>74</v>
      </c>
      <c r="AG307">
        <v>48</v>
      </c>
      <c r="AH307">
        <v>1</v>
      </c>
      <c r="AI307">
        <v>1</v>
      </c>
      <c r="AJ307">
        <v>1</v>
      </c>
      <c r="AK307">
        <v>8</v>
      </c>
      <c r="AL307" t="s">
        <v>486</v>
      </c>
      <c r="AM307" t="s">
        <v>487</v>
      </c>
      <c r="AN307" t="s">
        <v>488</v>
      </c>
      <c r="AO307" t="s">
        <v>489</v>
      </c>
      <c r="AP307" t="s">
        <v>490</v>
      </c>
      <c r="AQ307" t="s">
        <v>74</v>
      </c>
      <c r="AR307" t="s">
        <v>491</v>
      </c>
      <c r="AS307" t="s">
        <v>492</v>
      </c>
      <c r="AT307" t="s">
        <v>2859</v>
      </c>
      <c r="AU307">
        <v>2021</v>
      </c>
      <c r="AV307">
        <v>168</v>
      </c>
      <c r="AW307">
        <v>4</v>
      </c>
      <c r="AX307" t="s">
        <v>74</v>
      </c>
      <c r="AY307" t="s">
        <v>74</v>
      </c>
      <c r="AZ307" t="s">
        <v>74</v>
      </c>
      <c r="BA307" t="s">
        <v>74</v>
      </c>
      <c r="BB307" t="s">
        <v>74</v>
      </c>
      <c r="BC307" t="s">
        <v>74</v>
      </c>
      <c r="BD307">
        <v>49</v>
      </c>
      <c r="BE307" t="s">
        <v>6387</v>
      </c>
      <c r="BF307" t="str">
        <f>HYPERLINK("http://dx.doi.org/10.1007/s00227-021-03850-x","http://dx.doi.org/10.1007/s00227-021-03850-x")</f>
        <v>http://dx.doi.org/10.1007/s00227-021-03850-x</v>
      </c>
      <c r="BG307" t="s">
        <v>74</v>
      </c>
      <c r="BH307" t="s">
        <v>74</v>
      </c>
      <c r="BI307">
        <v>14</v>
      </c>
      <c r="BJ307" t="s">
        <v>494</v>
      </c>
      <c r="BK307" t="s">
        <v>101</v>
      </c>
      <c r="BL307" t="s">
        <v>494</v>
      </c>
      <c r="BM307" t="s">
        <v>6388</v>
      </c>
      <c r="BN307" t="s">
        <v>74</v>
      </c>
      <c r="BO307" t="s">
        <v>74</v>
      </c>
      <c r="BP307" t="s">
        <v>74</v>
      </c>
      <c r="BQ307" t="s">
        <v>74</v>
      </c>
      <c r="BR307" t="s">
        <v>104</v>
      </c>
      <c r="BS307" t="s">
        <v>6389</v>
      </c>
      <c r="BT307" t="str">
        <f>HYPERLINK("https%3A%2F%2Fwww.webofscience.com%2Fwos%2Fwoscc%2Ffull-record%2FWOS:000631463400001","View Full Record in Web of Science")</f>
        <v>View Full Record in Web of Science</v>
      </c>
    </row>
    <row r="308" spans="1:72" x14ac:dyDescent="0.15">
      <c r="A308" t="s">
        <v>72</v>
      </c>
      <c r="B308" t="s">
        <v>6390</v>
      </c>
      <c r="C308" t="s">
        <v>74</v>
      </c>
      <c r="D308" t="s">
        <v>74</v>
      </c>
      <c r="E308" t="s">
        <v>74</v>
      </c>
      <c r="F308" t="s">
        <v>6391</v>
      </c>
      <c r="G308" t="s">
        <v>74</v>
      </c>
      <c r="H308" t="s">
        <v>74</v>
      </c>
      <c r="I308" t="s">
        <v>6392</v>
      </c>
      <c r="J308" t="s">
        <v>563</v>
      </c>
      <c r="K308" t="s">
        <v>74</v>
      </c>
      <c r="L308" t="s">
        <v>74</v>
      </c>
      <c r="M308" t="s">
        <v>78</v>
      </c>
      <c r="N308" t="s">
        <v>79</v>
      </c>
      <c r="O308" t="s">
        <v>74</v>
      </c>
      <c r="P308" t="s">
        <v>74</v>
      </c>
      <c r="Q308" t="s">
        <v>74</v>
      </c>
      <c r="R308" t="s">
        <v>74</v>
      </c>
      <c r="S308" t="s">
        <v>74</v>
      </c>
      <c r="T308" t="s">
        <v>6393</v>
      </c>
      <c r="U308" t="s">
        <v>6394</v>
      </c>
      <c r="V308" t="s">
        <v>6395</v>
      </c>
      <c r="W308" t="s">
        <v>6396</v>
      </c>
      <c r="X308" t="s">
        <v>6397</v>
      </c>
      <c r="Y308" t="s">
        <v>6398</v>
      </c>
      <c r="Z308" t="s">
        <v>6399</v>
      </c>
      <c r="AA308" t="s">
        <v>6400</v>
      </c>
      <c r="AB308" t="s">
        <v>6401</v>
      </c>
      <c r="AC308" t="s">
        <v>6402</v>
      </c>
      <c r="AD308" t="s">
        <v>6403</v>
      </c>
      <c r="AE308" t="s">
        <v>6404</v>
      </c>
      <c r="AF308" t="s">
        <v>74</v>
      </c>
      <c r="AG308">
        <v>34</v>
      </c>
      <c r="AH308">
        <v>11</v>
      </c>
      <c r="AI308">
        <v>14</v>
      </c>
      <c r="AJ308">
        <v>19</v>
      </c>
      <c r="AK308">
        <v>126</v>
      </c>
      <c r="AL308" t="s">
        <v>576</v>
      </c>
      <c r="AM308" t="s">
        <v>577</v>
      </c>
      <c r="AN308" t="s">
        <v>578</v>
      </c>
      <c r="AO308" t="s">
        <v>579</v>
      </c>
      <c r="AP308" t="s">
        <v>580</v>
      </c>
      <c r="AQ308" t="s">
        <v>74</v>
      </c>
      <c r="AR308" t="s">
        <v>581</v>
      </c>
      <c r="AS308" t="s">
        <v>582</v>
      </c>
      <c r="AT308" t="s">
        <v>6405</v>
      </c>
      <c r="AU308">
        <v>2021</v>
      </c>
      <c r="AV308">
        <v>781</v>
      </c>
      <c r="AW308" t="s">
        <v>74</v>
      </c>
      <c r="AX308" t="s">
        <v>74</v>
      </c>
      <c r="AY308" t="s">
        <v>74</v>
      </c>
      <c r="AZ308" t="s">
        <v>74</v>
      </c>
      <c r="BA308" t="s">
        <v>74</v>
      </c>
      <c r="BB308" t="s">
        <v>74</v>
      </c>
      <c r="BC308" t="s">
        <v>74</v>
      </c>
      <c r="BD308">
        <v>146747</v>
      </c>
      <c r="BE308" t="s">
        <v>6406</v>
      </c>
      <c r="BF308" t="str">
        <f>HYPERLINK("http://dx.doi.org/10.1016/j.scitotenv.2021.146747","http://dx.doi.org/10.1016/j.scitotenv.2021.146747")</f>
        <v>http://dx.doi.org/10.1016/j.scitotenv.2021.146747</v>
      </c>
      <c r="BG308" t="s">
        <v>74</v>
      </c>
      <c r="BH308" t="s">
        <v>6407</v>
      </c>
      <c r="BI308">
        <v>7</v>
      </c>
      <c r="BJ308" t="s">
        <v>224</v>
      </c>
      <c r="BK308" t="s">
        <v>101</v>
      </c>
      <c r="BL308" t="s">
        <v>225</v>
      </c>
      <c r="BM308" t="s">
        <v>6408</v>
      </c>
      <c r="BN308">
        <v>33812117</v>
      </c>
      <c r="BO308" t="s">
        <v>74</v>
      </c>
      <c r="BP308" t="s">
        <v>74</v>
      </c>
      <c r="BQ308" t="s">
        <v>74</v>
      </c>
      <c r="BR308" t="s">
        <v>104</v>
      </c>
      <c r="BS308" t="s">
        <v>6409</v>
      </c>
      <c r="BT308" t="str">
        <f>HYPERLINK("https%3A%2F%2Fwww.webofscience.com%2Fwos%2Fwoscc%2Ffull-record%2FWOS:000655618600016","View Full Record in Web of Science")</f>
        <v>View Full Record in Web of Science</v>
      </c>
    </row>
    <row r="309" spans="1:72" x14ac:dyDescent="0.15">
      <c r="A309" t="s">
        <v>72</v>
      </c>
      <c r="B309" t="s">
        <v>6410</v>
      </c>
      <c r="C309" t="s">
        <v>74</v>
      </c>
      <c r="D309" t="s">
        <v>74</v>
      </c>
      <c r="E309" t="s">
        <v>74</v>
      </c>
      <c r="F309" t="s">
        <v>6411</v>
      </c>
      <c r="G309" t="s">
        <v>74</v>
      </c>
      <c r="H309" t="s">
        <v>74</v>
      </c>
      <c r="I309" t="s">
        <v>6412</v>
      </c>
      <c r="J309" t="s">
        <v>6413</v>
      </c>
      <c r="K309" t="s">
        <v>74</v>
      </c>
      <c r="L309" t="s">
        <v>74</v>
      </c>
      <c r="M309" t="s">
        <v>78</v>
      </c>
      <c r="N309" t="s">
        <v>79</v>
      </c>
      <c r="O309" t="s">
        <v>74</v>
      </c>
      <c r="P309" t="s">
        <v>74</v>
      </c>
      <c r="Q309" t="s">
        <v>74</v>
      </c>
      <c r="R309" t="s">
        <v>74</v>
      </c>
      <c r="S309" t="s">
        <v>74</v>
      </c>
      <c r="T309" t="s">
        <v>6414</v>
      </c>
      <c r="U309" t="s">
        <v>6415</v>
      </c>
      <c r="V309" t="s">
        <v>6416</v>
      </c>
      <c r="W309" t="s">
        <v>6417</v>
      </c>
      <c r="X309" t="s">
        <v>6418</v>
      </c>
      <c r="Y309" t="s">
        <v>6419</v>
      </c>
      <c r="Z309" t="s">
        <v>6420</v>
      </c>
      <c r="AA309" t="s">
        <v>6421</v>
      </c>
      <c r="AB309" t="s">
        <v>6422</v>
      </c>
      <c r="AC309" t="s">
        <v>6423</v>
      </c>
      <c r="AD309" t="s">
        <v>6424</v>
      </c>
      <c r="AE309" t="s">
        <v>6425</v>
      </c>
      <c r="AF309" t="s">
        <v>74</v>
      </c>
      <c r="AG309">
        <v>98</v>
      </c>
      <c r="AH309">
        <v>4</v>
      </c>
      <c r="AI309">
        <v>4</v>
      </c>
      <c r="AJ309">
        <v>2</v>
      </c>
      <c r="AK309">
        <v>10</v>
      </c>
      <c r="AL309" t="s">
        <v>576</v>
      </c>
      <c r="AM309" t="s">
        <v>577</v>
      </c>
      <c r="AN309" t="s">
        <v>578</v>
      </c>
      <c r="AO309" t="s">
        <v>6426</v>
      </c>
      <c r="AP309" t="s">
        <v>6427</v>
      </c>
      <c r="AQ309" t="s">
        <v>74</v>
      </c>
      <c r="AR309" t="s">
        <v>6428</v>
      </c>
      <c r="AS309" t="s">
        <v>6429</v>
      </c>
      <c r="AT309" t="s">
        <v>1683</v>
      </c>
      <c r="AU309">
        <v>2021</v>
      </c>
      <c r="AV309">
        <v>571</v>
      </c>
      <c r="AW309" t="s">
        <v>74</v>
      </c>
      <c r="AX309" t="s">
        <v>74</v>
      </c>
      <c r="AY309" t="s">
        <v>74</v>
      </c>
      <c r="AZ309" t="s">
        <v>74</v>
      </c>
      <c r="BA309" t="s">
        <v>74</v>
      </c>
      <c r="BB309" t="s">
        <v>74</v>
      </c>
      <c r="BC309" t="s">
        <v>74</v>
      </c>
      <c r="BD309">
        <v>110374</v>
      </c>
      <c r="BE309" t="s">
        <v>6430</v>
      </c>
      <c r="BF309" t="str">
        <f>HYPERLINK("http://dx.doi.org/10.1016/j.palaeo.2021.110374","http://dx.doi.org/10.1016/j.palaeo.2021.110374")</f>
        <v>http://dx.doi.org/10.1016/j.palaeo.2021.110374</v>
      </c>
      <c r="BG309" t="s">
        <v>74</v>
      </c>
      <c r="BH309" t="s">
        <v>6407</v>
      </c>
      <c r="BI309">
        <v>11</v>
      </c>
      <c r="BJ309" t="s">
        <v>6431</v>
      </c>
      <c r="BK309" t="s">
        <v>101</v>
      </c>
      <c r="BL309" t="s">
        <v>6432</v>
      </c>
      <c r="BM309" t="s">
        <v>6433</v>
      </c>
      <c r="BN309" t="s">
        <v>74</v>
      </c>
      <c r="BO309" t="s">
        <v>712</v>
      </c>
      <c r="BP309" t="s">
        <v>74</v>
      </c>
      <c r="BQ309" t="s">
        <v>74</v>
      </c>
      <c r="BR309" t="s">
        <v>104</v>
      </c>
      <c r="BS309" t="s">
        <v>6434</v>
      </c>
      <c r="BT309" t="str">
        <f>HYPERLINK("https%3A%2F%2Fwww.webofscience.com%2Fwos%2Fwoscc%2Ffull-record%2FWOS:000643685200013","View Full Record in Web of Science")</f>
        <v>View Full Record in Web of Science</v>
      </c>
    </row>
    <row r="310" spans="1:72" x14ac:dyDescent="0.15">
      <c r="A310" t="s">
        <v>72</v>
      </c>
      <c r="B310" t="s">
        <v>6435</v>
      </c>
      <c r="C310" t="s">
        <v>74</v>
      </c>
      <c r="D310" t="s">
        <v>74</v>
      </c>
      <c r="E310" t="s">
        <v>74</v>
      </c>
      <c r="F310" t="s">
        <v>6436</v>
      </c>
      <c r="G310" t="s">
        <v>74</v>
      </c>
      <c r="H310" t="s">
        <v>74</v>
      </c>
      <c r="I310" t="s">
        <v>6437</v>
      </c>
      <c r="J310" t="s">
        <v>3539</v>
      </c>
      <c r="K310" t="s">
        <v>74</v>
      </c>
      <c r="L310" t="s">
        <v>74</v>
      </c>
      <c r="M310" t="s">
        <v>78</v>
      </c>
      <c r="N310" t="s">
        <v>79</v>
      </c>
      <c r="O310" t="s">
        <v>74</v>
      </c>
      <c r="P310" t="s">
        <v>74</v>
      </c>
      <c r="Q310" t="s">
        <v>74</v>
      </c>
      <c r="R310" t="s">
        <v>74</v>
      </c>
      <c r="S310" t="s">
        <v>74</v>
      </c>
      <c r="T310" t="s">
        <v>6438</v>
      </c>
      <c r="U310" t="s">
        <v>6439</v>
      </c>
      <c r="V310" t="s">
        <v>6440</v>
      </c>
      <c r="W310" t="s">
        <v>6441</v>
      </c>
      <c r="X310" t="s">
        <v>6442</v>
      </c>
      <c r="Y310" t="s">
        <v>6443</v>
      </c>
      <c r="Z310" t="s">
        <v>6444</v>
      </c>
      <c r="AA310" t="s">
        <v>6445</v>
      </c>
      <c r="AB310" t="s">
        <v>6446</v>
      </c>
      <c r="AC310" t="s">
        <v>6447</v>
      </c>
      <c r="AD310" t="s">
        <v>6448</v>
      </c>
      <c r="AE310" t="s">
        <v>6449</v>
      </c>
      <c r="AF310" t="s">
        <v>74</v>
      </c>
      <c r="AG310">
        <v>51</v>
      </c>
      <c r="AH310">
        <v>9</v>
      </c>
      <c r="AI310">
        <v>9</v>
      </c>
      <c r="AJ310">
        <v>3</v>
      </c>
      <c r="AK310">
        <v>27</v>
      </c>
      <c r="AL310" t="s">
        <v>576</v>
      </c>
      <c r="AM310" t="s">
        <v>577</v>
      </c>
      <c r="AN310" t="s">
        <v>578</v>
      </c>
      <c r="AO310" t="s">
        <v>3552</v>
      </c>
      <c r="AP310" t="s">
        <v>3553</v>
      </c>
      <c r="AQ310" t="s">
        <v>74</v>
      </c>
      <c r="AR310" t="s">
        <v>3554</v>
      </c>
      <c r="AS310" t="s">
        <v>3555</v>
      </c>
      <c r="AT310" t="s">
        <v>1064</v>
      </c>
      <c r="AU310">
        <v>2021</v>
      </c>
      <c r="AV310">
        <v>564</v>
      </c>
      <c r="AW310" t="s">
        <v>74</v>
      </c>
      <c r="AX310" t="s">
        <v>74</v>
      </c>
      <c r="AY310" t="s">
        <v>74</v>
      </c>
      <c r="AZ310" t="s">
        <v>74</v>
      </c>
      <c r="BA310" t="s">
        <v>74</v>
      </c>
      <c r="BB310" t="s">
        <v>74</v>
      </c>
      <c r="BC310" t="s">
        <v>74</v>
      </c>
      <c r="BD310">
        <v>116908</v>
      </c>
      <c r="BE310" t="s">
        <v>6450</v>
      </c>
      <c r="BF310" t="str">
        <f>HYPERLINK("http://dx.doi.org/10.1016/j.epsl.2021.116908","http://dx.doi.org/10.1016/j.epsl.2021.116908")</f>
        <v>http://dx.doi.org/10.1016/j.epsl.2021.116908</v>
      </c>
      <c r="BG310" t="s">
        <v>74</v>
      </c>
      <c r="BH310" t="s">
        <v>6407</v>
      </c>
      <c r="BI310">
        <v>11</v>
      </c>
      <c r="BJ310" t="s">
        <v>1066</v>
      </c>
      <c r="BK310" t="s">
        <v>101</v>
      </c>
      <c r="BL310" t="s">
        <v>1066</v>
      </c>
      <c r="BM310" t="s">
        <v>3557</v>
      </c>
      <c r="BN310" t="s">
        <v>74</v>
      </c>
      <c r="BO310" t="s">
        <v>5474</v>
      </c>
      <c r="BP310" t="s">
        <v>74</v>
      </c>
      <c r="BQ310" t="s">
        <v>74</v>
      </c>
      <c r="BR310" t="s">
        <v>104</v>
      </c>
      <c r="BS310" t="s">
        <v>6451</v>
      </c>
      <c r="BT310" t="str">
        <f>HYPERLINK("https%3A%2F%2Fwww.webofscience.com%2Fwos%2Fwoscc%2Ffull-record%2FWOS:000645097600012","View Full Record in Web of Science")</f>
        <v>View Full Record in Web of Science</v>
      </c>
    </row>
    <row r="311" spans="1:72" x14ac:dyDescent="0.15">
      <c r="A311" t="s">
        <v>72</v>
      </c>
      <c r="B311" t="s">
        <v>6452</v>
      </c>
      <c r="C311" t="s">
        <v>74</v>
      </c>
      <c r="D311" t="s">
        <v>74</v>
      </c>
      <c r="E311" t="s">
        <v>74</v>
      </c>
      <c r="F311" t="s">
        <v>6453</v>
      </c>
      <c r="G311" t="s">
        <v>74</v>
      </c>
      <c r="H311" t="s">
        <v>74</v>
      </c>
      <c r="I311" t="s">
        <v>6454</v>
      </c>
      <c r="J311" t="s">
        <v>6455</v>
      </c>
      <c r="K311" t="s">
        <v>74</v>
      </c>
      <c r="L311" t="s">
        <v>74</v>
      </c>
      <c r="M311" t="s">
        <v>78</v>
      </c>
      <c r="N311" t="s">
        <v>79</v>
      </c>
      <c r="O311" t="s">
        <v>74</v>
      </c>
      <c r="P311" t="s">
        <v>74</v>
      </c>
      <c r="Q311" t="s">
        <v>74</v>
      </c>
      <c r="R311" t="s">
        <v>74</v>
      </c>
      <c r="S311" t="s">
        <v>74</v>
      </c>
      <c r="T311" t="s">
        <v>6456</v>
      </c>
      <c r="U311" t="s">
        <v>74</v>
      </c>
      <c r="V311" t="s">
        <v>6457</v>
      </c>
      <c r="W311" t="s">
        <v>6458</v>
      </c>
      <c r="X311" t="s">
        <v>6459</v>
      </c>
      <c r="Y311" t="s">
        <v>6460</v>
      </c>
      <c r="Z311" t="s">
        <v>6461</v>
      </c>
      <c r="AA311" t="s">
        <v>6462</v>
      </c>
      <c r="AB311" t="s">
        <v>6463</v>
      </c>
      <c r="AC311" t="s">
        <v>6464</v>
      </c>
      <c r="AD311" t="s">
        <v>6465</v>
      </c>
      <c r="AE311" t="s">
        <v>6466</v>
      </c>
      <c r="AF311" t="s">
        <v>74</v>
      </c>
      <c r="AG311">
        <v>57</v>
      </c>
      <c r="AH311">
        <v>13</v>
      </c>
      <c r="AI311">
        <v>14</v>
      </c>
      <c r="AJ311">
        <v>2</v>
      </c>
      <c r="AK311">
        <v>22</v>
      </c>
      <c r="AL311" t="s">
        <v>3801</v>
      </c>
      <c r="AM311" t="s">
        <v>1909</v>
      </c>
      <c r="AN311" t="s">
        <v>3802</v>
      </c>
      <c r="AO311" t="s">
        <v>6467</v>
      </c>
      <c r="AP311" t="s">
        <v>6468</v>
      </c>
      <c r="AQ311" t="s">
        <v>74</v>
      </c>
      <c r="AR311" t="s">
        <v>6469</v>
      </c>
      <c r="AS311" t="s">
        <v>6470</v>
      </c>
      <c r="AT311" t="s">
        <v>6471</v>
      </c>
      <c r="AU311">
        <v>2021</v>
      </c>
      <c r="AV311">
        <v>288</v>
      </c>
      <c r="AW311">
        <v>1947</v>
      </c>
      <c r="AX311" t="s">
        <v>74</v>
      </c>
      <c r="AY311" t="s">
        <v>74</v>
      </c>
      <c r="AZ311" t="s">
        <v>74</v>
      </c>
      <c r="BA311" t="s">
        <v>74</v>
      </c>
      <c r="BB311" t="s">
        <v>74</v>
      </c>
      <c r="BC311" t="s">
        <v>74</v>
      </c>
      <c r="BD311">
        <v>20202882</v>
      </c>
      <c r="BE311" t="s">
        <v>6472</v>
      </c>
      <c r="BF311" t="str">
        <f>HYPERLINK("http://dx.doi.org/10.1098/rspb.2020.2882","http://dx.doi.org/10.1098/rspb.2020.2882")</f>
        <v>http://dx.doi.org/10.1098/rspb.2020.2882</v>
      </c>
      <c r="BG311" t="s">
        <v>74</v>
      </c>
      <c r="BH311" t="s">
        <v>74</v>
      </c>
      <c r="BI311">
        <v>10</v>
      </c>
      <c r="BJ311" t="s">
        <v>6473</v>
      </c>
      <c r="BK311" t="s">
        <v>101</v>
      </c>
      <c r="BL311" t="s">
        <v>6474</v>
      </c>
      <c r="BM311" t="s">
        <v>6475</v>
      </c>
      <c r="BN311">
        <v>33757358</v>
      </c>
      <c r="BO311" t="s">
        <v>6476</v>
      </c>
      <c r="BP311" t="s">
        <v>74</v>
      </c>
      <c r="BQ311" t="s">
        <v>74</v>
      </c>
      <c r="BR311" t="s">
        <v>104</v>
      </c>
      <c r="BS311" t="s">
        <v>6477</v>
      </c>
      <c r="BT311" t="str">
        <f>HYPERLINK("https%3A%2F%2Fwww.webofscience.com%2Fwos%2Fwoscc%2Ffull-record%2FWOS:000632988100004","View Full Record in Web of Science")</f>
        <v>View Full Record in Web of Science</v>
      </c>
    </row>
    <row r="312" spans="1:72" x14ac:dyDescent="0.15">
      <c r="A312" t="s">
        <v>72</v>
      </c>
      <c r="B312" t="s">
        <v>6478</v>
      </c>
      <c r="C312" t="s">
        <v>74</v>
      </c>
      <c r="D312" t="s">
        <v>74</v>
      </c>
      <c r="E312" t="s">
        <v>74</v>
      </c>
      <c r="F312" t="s">
        <v>6479</v>
      </c>
      <c r="G312" t="s">
        <v>74</v>
      </c>
      <c r="H312" t="s">
        <v>74</v>
      </c>
      <c r="I312" t="s">
        <v>6480</v>
      </c>
      <c r="J312" t="s">
        <v>6481</v>
      </c>
      <c r="K312" t="s">
        <v>74</v>
      </c>
      <c r="L312" t="s">
        <v>74</v>
      </c>
      <c r="M312" t="s">
        <v>78</v>
      </c>
      <c r="N312" t="s">
        <v>79</v>
      </c>
      <c r="O312" t="s">
        <v>74</v>
      </c>
      <c r="P312" t="s">
        <v>74</v>
      </c>
      <c r="Q312" t="s">
        <v>74</v>
      </c>
      <c r="R312" t="s">
        <v>74</v>
      </c>
      <c r="S312" t="s">
        <v>74</v>
      </c>
      <c r="T312" t="s">
        <v>6482</v>
      </c>
      <c r="U312" t="s">
        <v>6483</v>
      </c>
      <c r="V312" t="s">
        <v>74</v>
      </c>
      <c r="W312" t="s">
        <v>6484</v>
      </c>
      <c r="X312" t="s">
        <v>6485</v>
      </c>
      <c r="Y312" t="s">
        <v>6486</v>
      </c>
      <c r="Z312" t="s">
        <v>6487</v>
      </c>
      <c r="AA312" t="s">
        <v>6488</v>
      </c>
      <c r="AB312" t="s">
        <v>6489</v>
      </c>
      <c r="AC312" t="s">
        <v>6490</v>
      </c>
      <c r="AD312" t="s">
        <v>6491</v>
      </c>
      <c r="AE312" t="s">
        <v>6492</v>
      </c>
      <c r="AF312" t="s">
        <v>74</v>
      </c>
      <c r="AG312">
        <v>36</v>
      </c>
      <c r="AH312">
        <v>0</v>
      </c>
      <c r="AI312">
        <v>0</v>
      </c>
      <c r="AJ312">
        <v>0</v>
      </c>
      <c r="AK312">
        <v>8</v>
      </c>
      <c r="AL312" t="s">
        <v>795</v>
      </c>
      <c r="AM312" t="s">
        <v>796</v>
      </c>
      <c r="AN312" t="s">
        <v>797</v>
      </c>
      <c r="AO312" t="s">
        <v>6493</v>
      </c>
      <c r="AP312" t="s">
        <v>6494</v>
      </c>
      <c r="AQ312" t="s">
        <v>74</v>
      </c>
      <c r="AR312" t="s">
        <v>6495</v>
      </c>
      <c r="AS312" t="s">
        <v>6496</v>
      </c>
      <c r="AT312" t="s">
        <v>1364</v>
      </c>
      <c r="AU312">
        <v>2021</v>
      </c>
      <c r="AV312">
        <v>52</v>
      </c>
      <c r="AW312">
        <v>8</v>
      </c>
      <c r="AX312" t="s">
        <v>74</v>
      </c>
      <c r="AY312" t="s">
        <v>74</v>
      </c>
      <c r="AZ312" t="s">
        <v>74</v>
      </c>
      <c r="BA312" t="s">
        <v>74</v>
      </c>
      <c r="BB312">
        <v>4012</v>
      </c>
      <c r="BC312">
        <v>4017</v>
      </c>
      <c r="BD312" t="s">
        <v>74</v>
      </c>
      <c r="BE312" t="s">
        <v>6497</v>
      </c>
      <c r="BF312" t="str">
        <f>HYPERLINK("http://dx.doi.org/10.1111/are.15219","http://dx.doi.org/10.1111/are.15219")</f>
        <v>http://dx.doi.org/10.1111/are.15219</v>
      </c>
      <c r="BG312" t="s">
        <v>74</v>
      </c>
      <c r="BH312" t="s">
        <v>6407</v>
      </c>
      <c r="BI312">
        <v>6</v>
      </c>
      <c r="BJ312" t="s">
        <v>6498</v>
      </c>
      <c r="BK312" t="s">
        <v>101</v>
      </c>
      <c r="BL312" t="s">
        <v>6498</v>
      </c>
      <c r="BM312" t="s">
        <v>6499</v>
      </c>
      <c r="BN312" t="s">
        <v>74</v>
      </c>
      <c r="BO312" t="s">
        <v>317</v>
      </c>
      <c r="BP312" t="s">
        <v>74</v>
      </c>
      <c r="BQ312" t="s">
        <v>74</v>
      </c>
      <c r="BR312" t="s">
        <v>104</v>
      </c>
      <c r="BS312" t="s">
        <v>6500</v>
      </c>
      <c r="BT312" t="str">
        <f>HYPERLINK("https%3A%2F%2Fwww.webofscience.com%2Fwos%2Fwoscc%2Ffull-record%2FWOS:000635258400001","View Full Record in Web of Science")</f>
        <v>View Full Record in Web of Science</v>
      </c>
    </row>
    <row r="313" spans="1:72" x14ac:dyDescent="0.15">
      <c r="A313" t="s">
        <v>72</v>
      </c>
      <c r="B313" t="s">
        <v>6501</v>
      </c>
      <c r="C313" t="s">
        <v>74</v>
      </c>
      <c r="D313" t="s">
        <v>74</v>
      </c>
      <c r="E313" t="s">
        <v>74</v>
      </c>
      <c r="F313" t="s">
        <v>6502</v>
      </c>
      <c r="G313" t="s">
        <v>74</v>
      </c>
      <c r="H313" t="s">
        <v>74</v>
      </c>
      <c r="I313" t="s">
        <v>6503</v>
      </c>
      <c r="J313" t="s">
        <v>1692</v>
      </c>
      <c r="K313" t="s">
        <v>74</v>
      </c>
      <c r="L313" t="s">
        <v>74</v>
      </c>
      <c r="M313" t="s">
        <v>78</v>
      </c>
      <c r="N313" t="s">
        <v>79</v>
      </c>
      <c r="O313" t="s">
        <v>74</v>
      </c>
      <c r="P313" t="s">
        <v>74</v>
      </c>
      <c r="Q313" t="s">
        <v>74</v>
      </c>
      <c r="R313" t="s">
        <v>74</v>
      </c>
      <c r="S313" t="s">
        <v>74</v>
      </c>
      <c r="T313" t="s">
        <v>74</v>
      </c>
      <c r="U313" t="s">
        <v>6504</v>
      </c>
      <c r="V313" t="s">
        <v>6505</v>
      </c>
      <c r="W313" t="s">
        <v>6506</v>
      </c>
      <c r="X313" t="s">
        <v>6507</v>
      </c>
      <c r="Y313" t="s">
        <v>6508</v>
      </c>
      <c r="Z313" t="s">
        <v>6509</v>
      </c>
      <c r="AA313" t="s">
        <v>6510</v>
      </c>
      <c r="AB313" t="s">
        <v>6511</v>
      </c>
      <c r="AC313" t="s">
        <v>6512</v>
      </c>
      <c r="AD313" t="s">
        <v>6513</v>
      </c>
      <c r="AE313" t="s">
        <v>6514</v>
      </c>
      <c r="AF313" t="s">
        <v>74</v>
      </c>
      <c r="AG313">
        <v>51</v>
      </c>
      <c r="AH313">
        <v>44</v>
      </c>
      <c r="AI313">
        <v>46</v>
      </c>
      <c r="AJ313">
        <v>3</v>
      </c>
      <c r="AK313">
        <v>19</v>
      </c>
      <c r="AL313" t="s">
        <v>861</v>
      </c>
      <c r="AM313" t="s">
        <v>862</v>
      </c>
      <c r="AN313" t="s">
        <v>863</v>
      </c>
      <c r="AO313" t="s">
        <v>74</v>
      </c>
      <c r="AP313" t="s">
        <v>1704</v>
      </c>
      <c r="AQ313" t="s">
        <v>74</v>
      </c>
      <c r="AR313" t="s">
        <v>1705</v>
      </c>
      <c r="AS313" t="s">
        <v>1706</v>
      </c>
      <c r="AT313" t="s">
        <v>6471</v>
      </c>
      <c r="AU313">
        <v>2021</v>
      </c>
      <c r="AV313">
        <v>12</v>
      </c>
      <c r="AW313">
        <v>1</v>
      </c>
      <c r="AX313" t="s">
        <v>74</v>
      </c>
      <c r="AY313" t="s">
        <v>74</v>
      </c>
      <c r="AZ313" t="s">
        <v>74</v>
      </c>
      <c r="BA313" t="s">
        <v>74</v>
      </c>
      <c r="BB313" t="s">
        <v>74</v>
      </c>
      <c r="BC313" t="s">
        <v>74</v>
      </c>
      <c r="BD313">
        <v>1991</v>
      </c>
      <c r="BE313" t="s">
        <v>6515</v>
      </c>
      <c r="BF313" t="str">
        <f>HYPERLINK("http://dx.doi.org/10.1038/s41467-021-22259-0","http://dx.doi.org/10.1038/s41467-021-22259-0")</f>
        <v>http://dx.doi.org/10.1038/s41467-021-22259-0</v>
      </c>
      <c r="BG313" t="s">
        <v>74</v>
      </c>
      <c r="BH313" t="s">
        <v>74</v>
      </c>
      <c r="BI313">
        <v>10</v>
      </c>
      <c r="BJ313" t="s">
        <v>555</v>
      </c>
      <c r="BK313" t="s">
        <v>101</v>
      </c>
      <c r="BL313" t="s">
        <v>556</v>
      </c>
      <c r="BM313" t="s">
        <v>6516</v>
      </c>
      <c r="BN313">
        <v>33790289</v>
      </c>
      <c r="BO313" t="s">
        <v>1170</v>
      </c>
      <c r="BP313" t="s">
        <v>74</v>
      </c>
      <c r="BQ313" t="s">
        <v>74</v>
      </c>
      <c r="BR313" t="s">
        <v>104</v>
      </c>
      <c r="BS313" t="s">
        <v>6517</v>
      </c>
      <c r="BT313" t="str">
        <f>HYPERLINK("https%3A%2F%2Fwww.webofscience.com%2Fwos%2Fwoscc%2Ffull-record%2FWOS:000636879000012","View Full Record in Web of Science")</f>
        <v>View Full Record in Web of Science</v>
      </c>
    </row>
    <row r="314" spans="1:72" x14ac:dyDescent="0.15">
      <c r="A314" t="s">
        <v>72</v>
      </c>
      <c r="B314" t="s">
        <v>6518</v>
      </c>
      <c r="C314" t="s">
        <v>74</v>
      </c>
      <c r="D314" t="s">
        <v>74</v>
      </c>
      <c r="E314" t="s">
        <v>74</v>
      </c>
      <c r="F314" t="s">
        <v>6519</v>
      </c>
      <c r="G314" t="s">
        <v>74</v>
      </c>
      <c r="H314" t="s">
        <v>74</v>
      </c>
      <c r="I314" t="s">
        <v>6520</v>
      </c>
      <c r="J314" t="s">
        <v>2779</v>
      </c>
      <c r="K314" t="s">
        <v>74</v>
      </c>
      <c r="L314" t="s">
        <v>74</v>
      </c>
      <c r="M314" t="s">
        <v>78</v>
      </c>
      <c r="N314" t="s">
        <v>79</v>
      </c>
      <c r="O314" t="s">
        <v>74</v>
      </c>
      <c r="P314" t="s">
        <v>74</v>
      </c>
      <c r="Q314" t="s">
        <v>74</v>
      </c>
      <c r="R314" t="s">
        <v>74</v>
      </c>
      <c r="S314" t="s">
        <v>74</v>
      </c>
      <c r="T314" t="s">
        <v>6521</v>
      </c>
      <c r="U314" t="s">
        <v>6522</v>
      </c>
      <c r="V314" t="s">
        <v>6523</v>
      </c>
      <c r="W314" t="s">
        <v>6524</v>
      </c>
      <c r="X314" t="s">
        <v>6525</v>
      </c>
      <c r="Y314" t="s">
        <v>6526</v>
      </c>
      <c r="Z314" t="s">
        <v>6527</v>
      </c>
      <c r="AA314" t="s">
        <v>6528</v>
      </c>
      <c r="AB314" t="s">
        <v>6529</v>
      </c>
      <c r="AC314" t="s">
        <v>6530</v>
      </c>
      <c r="AD314" t="s">
        <v>6531</v>
      </c>
      <c r="AE314" t="s">
        <v>6532</v>
      </c>
      <c r="AF314" t="s">
        <v>74</v>
      </c>
      <c r="AG314">
        <v>53</v>
      </c>
      <c r="AH314">
        <v>7</v>
      </c>
      <c r="AI314">
        <v>7</v>
      </c>
      <c r="AJ314">
        <v>1</v>
      </c>
      <c r="AK314">
        <v>19</v>
      </c>
      <c r="AL314" t="s">
        <v>576</v>
      </c>
      <c r="AM314" t="s">
        <v>577</v>
      </c>
      <c r="AN314" t="s">
        <v>578</v>
      </c>
      <c r="AO314" t="s">
        <v>2791</v>
      </c>
      <c r="AP314" t="s">
        <v>2792</v>
      </c>
      <c r="AQ314" t="s">
        <v>74</v>
      </c>
      <c r="AR314" t="s">
        <v>2779</v>
      </c>
      <c r="AS314" t="s">
        <v>2793</v>
      </c>
      <c r="AT314" t="s">
        <v>2232</v>
      </c>
      <c r="AU314">
        <v>2021</v>
      </c>
      <c r="AV314">
        <v>540</v>
      </c>
      <c r="AW314" t="s">
        <v>74</v>
      </c>
      <c r="AX314" t="s">
        <v>74</v>
      </c>
      <c r="AY314" t="s">
        <v>74</v>
      </c>
      <c r="AZ314" t="s">
        <v>74</v>
      </c>
      <c r="BA314" t="s">
        <v>74</v>
      </c>
      <c r="BB314" t="s">
        <v>74</v>
      </c>
      <c r="BC314" t="s">
        <v>74</v>
      </c>
      <c r="BD314">
        <v>736676</v>
      </c>
      <c r="BE314" t="s">
        <v>6533</v>
      </c>
      <c r="BF314" t="str">
        <f>HYPERLINK("http://dx.doi.org/10.1016/j.aquaculture.2021.736676","http://dx.doi.org/10.1016/j.aquaculture.2021.736676")</f>
        <v>http://dx.doi.org/10.1016/j.aquaculture.2021.736676</v>
      </c>
      <c r="BG314" t="s">
        <v>74</v>
      </c>
      <c r="BH314" t="s">
        <v>6407</v>
      </c>
      <c r="BI314">
        <v>10</v>
      </c>
      <c r="BJ314" t="s">
        <v>1811</v>
      </c>
      <c r="BK314" t="s">
        <v>101</v>
      </c>
      <c r="BL314" t="s">
        <v>1811</v>
      </c>
      <c r="BM314" t="s">
        <v>6534</v>
      </c>
      <c r="BN314" t="s">
        <v>74</v>
      </c>
      <c r="BO314" t="s">
        <v>74</v>
      </c>
      <c r="BP314" t="s">
        <v>74</v>
      </c>
      <c r="BQ314" t="s">
        <v>74</v>
      </c>
      <c r="BR314" t="s">
        <v>104</v>
      </c>
      <c r="BS314" t="s">
        <v>6535</v>
      </c>
      <c r="BT314" t="str">
        <f>HYPERLINK("https%3A%2F%2Fwww.webofscience.com%2Fwos%2Fwoscc%2Ffull-record%2FWOS:000649689000006","View Full Record in Web of Science")</f>
        <v>View Full Record in Web of Science</v>
      </c>
    </row>
    <row r="315" spans="1:72" x14ac:dyDescent="0.15">
      <c r="A315" t="s">
        <v>72</v>
      </c>
      <c r="B315" t="s">
        <v>6536</v>
      </c>
      <c r="C315" t="s">
        <v>74</v>
      </c>
      <c r="D315" t="s">
        <v>74</v>
      </c>
      <c r="E315" t="s">
        <v>74</v>
      </c>
      <c r="F315" t="s">
        <v>6537</v>
      </c>
      <c r="G315" t="s">
        <v>74</v>
      </c>
      <c r="H315" t="s">
        <v>74</v>
      </c>
      <c r="I315" t="s">
        <v>6538</v>
      </c>
      <c r="J315" t="s">
        <v>535</v>
      </c>
      <c r="K315" t="s">
        <v>74</v>
      </c>
      <c r="L315" t="s">
        <v>74</v>
      </c>
      <c r="M315" t="s">
        <v>78</v>
      </c>
      <c r="N315" t="s">
        <v>79</v>
      </c>
      <c r="O315" t="s">
        <v>74</v>
      </c>
      <c r="P315" t="s">
        <v>74</v>
      </c>
      <c r="Q315" t="s">
        <v>74</v>
      </c>
      <c r="R315" t="s">
        <v>74</v>
      </c>
      <c r="S315" t="s">
        <v>74</v>
      </c>
      <c r="T315" t="s">
        <v>74</v>
      </c>
      <c r="U315" t="s">
        <v>6539</v>
      </c>
      <c r="V315" t="s">
        <v>6540</v>
      </c>
      <c r="W315" t="s">
        <v>6541</v>
      </c>
      <c r="X315" t="s">
        <v>6542</v>
      </c>
      <c r="Y315" t="s">
        <v>6543</v>
      </c>
      <c r="Z315" t="s">
        <v>6544</v>
      </c>
      <c r="AA315" t="s">
        <v>6545</v>
      </c>
      <c r="AB315" t="s">
        <v>6546</v>
      </c>
      <c r="AC315" t="s">
        <v>6547</v>
      </c>
      <c r="AD315" t="s">
        <v>6548</v>
      </c>
      <c r="AE315" t="s">
        <v>6549</v>
      </c>
      <c r="AF315" t="s">
        <v>74</v>
      </c>
      <c r="AG315">
        <v>105</v>
      </c>
      <c r="AH315">
        <v>4</v>
      </c>
      <c r="AI315">
        <v>6</v>
      </c>
      <c r="AJ315">
        <v>0</v>
      </c>
      <c r="AK315">
        <v>8</v>
      </c>
      <c r="AL315" t="s">
        <v>547</v>
      </c>
      <c r="AM315" t="s">
        <v>548</v>
      </c>
      <c r="AN315" t="s">
        <v>549</v>
      </c>
      <c r="AO315" t="s">
        <v>550</v>
      </c>
      <c r="AP315" t="s">
        <v>74</v>
      </c>
      <c r="AQ315" t="s">
        <v>74</v>
      </c>
      <c r="AR315" t="s">
        <v>535</v>
      </c>
      <c r="AS315" t="s">
        <v>551</v>
      </c>
      <c r="AT315" t="s">
        <v>6550</v>
      </c>
      <c r="AU315">
        <v>2021</v>
      </c>
      <c r="AV315">
        <v>16</v>
      </c>
      <c r="AW315">
        <v>3</v>
      </c>
      <c r="AX315" t="s">
        <v>74</v>
      </c>
      <c r="AY315" t="s">
        <v>74</v>
      </c>
      <c r="AZ315" t="s">
        <v>74</v>
      </c>
      <c r="BA315" t="s">
        <v>74</v>
      </c>
      <c r="BB315" t="s">
        <v>74</v>
      </c>
      <c r="BC315" t="s">
        <v>74</v>
      </c>
      <c r="BD315" t="s">
        <v>6551</v>
      </c>
      <c r="BE315" t="s">
        <v>6552</v>
      </c>
      <c r="BF315" t="str">
        <f>HYPERLINK("http://dx.doi.org/10.1371/journal.pone.0246615","http://dx.doi.org/10.1371/journal.pone.0246615")</f>
        <v>http://dx.doi.org/10.1371/journal.pone.0246615</v>
      </c>
      <c r="BG315" t="s">
        <v>74</v>
      </c>
      <c r="BH315" t="s">
        <v>74</v>
      </c>
      <c r="BI315">
        <v>22</v>
      </c>
      <c r="BJ315" t="s">
        <v>555</v>
      </c>
      <c r="BK315" t="s">
        <v>101</v>
      </c>
      <c r="BL315" t="s">
        <v>556</v>
      </c>
      <c r="BM315" t="s">
        <v>6553</v>
      </c>
      <c r="BN315">
        <v>33784314</v>
      </c>
      <c r="BO315" t="s">
        <v>6554</v>
      </c>
      <c r="BP315" t="s">
        <v>74</v>
      </c>
      <c r="BQ315" t="s">
        <v>74</v>
      </c>
      <c r="BR315" t="s">
        <v>104</v>
      </c>
      <c r="BS315" t="s">
        <v>6555</v>
      </c>
      <c r="BT315" t="str">
        <f>HYPERLINK("https%3A%2F%2Fwww.webofscience.com%2Fwos%2Fwoscc%2Ffull-record%2FWOS:000636359600006","View Full Record in Web of Science")</f>
        <v>View Full Record in Web of Science</v>
      </c>
    </row>
    <row r="316" spans="1:72" x14ac:dyDescent="0.15">
      <c r="A316" t="s">
        <v>72</v>
      </c>
      <c r="B316" t="s">
        <v>6556</v>
      </c>
      <c r="C316" t="s">
        <v>74</v>
      </c>
      <c r="D316" t="s">
        <v>74</v>
      </c>
      <c r="E316" t="s">
        <v>74</v>
      </c>
      <c r="F316" t="s">
        <v>6557</v>
      </c>
      <c r="G316" t="s">
        <v>74</v>
      </c>
      <c r="H316" t="s">
        <v>74</v>
      </c>
      <c r="I316" t="s">
        <v>6558</v>
      </c>
      <c r="J316" t="s">
        <v>5908</v>
      </c>
      <c r="K316" t="s">
        <v>74</v>
      </c>
      <c r="L316" t="s">
        <v>74</v>
      </c>
      <c r="M316" t="s">
        <v>78</v>
      </c>
      <c r="N316" t="s">
        <v>79</v>
      </c>
      <c r="O316" t="s">
        <v>74</v>
      </c>
      <c r="P316" t="s">
        <v>74</v>
      </c>
      <c r="Q316" t="s">
        <v>74</v>
      </c>
      <c r="R316" t="s">
        <v>74</v>
      </c>
      <c r="S316" t="s">
        <v>74</v>
      </c>
      <c r="T316" t="s">
        <v>6559</v>
      </c>
      <c r="U316" t="s">
        <v>6560</v>
      </c>
      <c r="V316" t="s">
        <v>6561</v>
      </c>
      <c r="W316" t="s">
        <v>6562</v>
      </c>
      <c r="X316" t="s">
        <v>6563</v>
      </c>
      <c r="Y316" t="s">
        <v>6564</v>
      </c>
      <c r="Z316" t="s">
        <v>6565</v>
      </c>
      <c r="AA316" t="s">
        <v>6566</v>
      </c>
      <c r="AB316" t="s">
        <v>6567</v>
      </c>
      <c r="AC316" t="s">
        <v>6568</v>
      </c>
      <c r="AD316" t="s">
        <v>6569</v>
      </c>
      <c r="AE316" t="s">
        <v>6570</v>
      </c>
      <c r="AF316" t="s">
        <v>74</v>
      </c>
      <c r="AG316">
        <v>64</v>
      </c>
      <c r="AH316">
        <v>3</v>
      </c>
      <c r="AI316">
        <v>4</v>
      </c>
      <c r="AJ316">
        <v>6</v>
      </c>
      <c r="AK316">
        <v>26</v>
      </c>
      <c r="AL316" t="s">
        <v>166</v>
      </c>
      <c r="AM316" t="s">
        <v>192</v>
      </c>
      <c r="AN316" t="s">
        <v>193</v>
      </c>
      <c r="AO316" t="s">
        <v>5918</v>
      </c>
      <c r="AP316" t="s">
        <v>5919</v>
      </c>
      <c r="AQ316" t="s">
        <v>74</v>
      </c>
      <c r="AR316" t="s">
        <v>5920</v>
      </c>
      <c r="AS316" t="s">
        <v>5921</v>
      </c>
      <c r="AT316" t="s">
        <v>1364</v>
      </c>
      <c r="AU316">
        <v>2021</v>
      </c>
      <c r="AV316">
        <v>23</v>
      </c>
      <c r="AW316">
        <v>8</v>
      </c>
      <c r="AX316" t="s">
        <v>74</v>
      </c>
      <c r="AY316" t="s">
        <v>74</v>
      </c>
      <c r="AZ316" t="s">
        <v>74</v>
      </c>
      <c r="BA316" t="s">
        <v>74</v>
      </c>
      <c r="BB316">
        <v>2389</v>
      </c>
      <c r="BC316">
        <v>2405</v>
      </c>
      <c r="BD316" t="s">
        <v>74</v>
      </c>
      <c r="BE316" t="s">
        <v>6571</v>
      </c>
      <c r="BF316" t="str">
        <f>HYPERLINK("http://dx.doi.org/10.1007/s10530-021-02512-9","http://dx.doi.org/10.1007/s10530-021-02512-9")</f>
        <v>http://dx.doi.org/10.1007/s10530-021-02512-9</v>
      </c>
      <c r="BG316" t="s">
        <v>74</v>
      </c>
      <c r="BH316" t="s">
        <v>6407</v>
      </c>
      <c r="BI316">
        <v>17</v>
      </c>
      <c r="BJ316" t="s">
        <v>1438</v>
      </c>
      <c r="BK316" t="s">
        <v>101</v>
      </c>
      <c r="BL316" t="s">
        <v>1439</v>
      </c>
      <c r="BM316" t="s">
        <v>6572</v>
      </c>
      <c r="BN316" t="s">
        <v>74</v>
      </c>
      <c r="BO316" t="s">
        <v>74</v>
      </c>
      <c r="BP316" t="s">
        <v>74</v>
      </c>
      <c r="BQ316" t="s">
        <v>74</v>
      </c>
      <c r="BR316" t="s">
        <v>104</v>
      </c>
      <c r="BS316" t="s">
        <v>6573</v>
      </c>
      <c r="BT316" t="str">
        <f>HYPERLINK("https%3A%2F%2Fwww.webofscience.com%2Fwos%2Fwoscc%2Ffull-record%2FWOS:000635069100001","View Full Record in Web of Science")</f>
        <v>View Full Record in Web of Science</v>
      </c>
    </row>
    <row r="317" spans="1:72" x14ac:dyDescent="0.15">
      <c r="A317" t="s">
        <v>72</v>
      </c>
      <c r="B317" t="s">
        <v>6574</v>
      </c>
      <c r="C317" t="s">
        <v>74</v>
      </c>
      <c r="D317" t="s">
        <v>74</v>
      </c>
      <c r="E317" t="s">
        <v>74</v>
      </c>
      <c r="F317" t="s">
        <v>6575</v>
      </c>
      <c r="G317" t="s">
        <v>74</v>
      </c>
      <c r="H317" t="s">
        <v>74</v>
      </c>
      <c r="I317" t="s">
        <v>6576</v>
      </c>
      <c r="J317" t="s">
        <v>3189</v>
      </c>
      <c r="K317" t="s">
        <v>74</v>
      </c>
      <c r="L317" t="s">
        <v>74</v>
      </c>
      <c r="M317" t="s">
        <v>78</v>
      </c>
      <c r="N317" t="s">
        <v>79</v>
      </c>
      <c r="O317" t="s">
        <v>74</v>
      </c>
      <c r="P317" t="s">
        <v>74</v>
      </c>
      <c r="Q317" t="s">
        <v>74</v>
      </c>
      <c r="R317" t="s">
        <v>74</v>
      </c>
      <c r="S317" t="s">
        <v>74</v>
      </c>
      <c r="T317" t="s">
        <v>74</v>
      </c>
      <c r="U317" t="s">
        <v>6577</v>
      </c>
      <c r="V317" t="s">
        <v>6578</v>
      </c>
      <c r="W317" t="s">
        <v>6579</v>
      </c>
      <c r="X317" t="s">
        <v>6580</v>
      </c>
      <c r="Y317" t="s">
        <v>6581</v>
      </c>
      <c r="Z317" t="s">
        <v>6582</v>
      </c>
      <c r="AA317" t="s">
        <v>6583</v>
      </c>
      <c r="AB317" t="s">
        <v>6584</v>
      </c>
      <c r="AC317" t="s">
        <v>6585</v>
      </c>
      <c r="AD317" t="s">
        <v>6586</v>
      </c>
      <c r="AE317" t="s">
        <v>6587</v>
      </c>
      <c r="AF317" t="s">
        <v>74</v>
      </c>
      <c r="AG317">
        <v>80</v>
      </c>
      <c r="AH317">
        <v>7</v>
      </c>
      <c r="AI317">
        <v>7</v>
      </c>
      <c r="AJ317">
        <v>1</v>
      </c>
      <c r="AK317">
        <v>6</v>
      </c>
      <c r="AL317" t="s">
        <v>795</v>
      </c>
      <c r="AM317" t="s">
        <v>796</v>
      </c>
      <c r="AN317" t="s">
        <v>797</v>
      </c>
      <c r="AO317" t="s">
        <v>3199</v>
      </c>
      <c r="AP317" t="s">
        <v>3200</v>
      </c>
      <c r="AQ317" t="s">
        <v>74</v>
      </c>
      <c r="AR317" t="s">
        <v>3201</v>
      </c>
      <c r="AS317" t="s">
        <v>3202</v>
      </c>
      <c r="AT317" t="s">
        <v>1809</v>
      </c>
      <c r="AU317">
        <v>2021</v>
      </c>
      <c r="AV317">
        <v>56</v>
      </c>
      <c r="AW317">
        <v>3</v>
      </c>
      <c r="AX317" t="s">
        <v>74</v>
      </c>
      <c r="AY317" t="s">
        <v>74</v>
      </c>
      <c r="AZ317" t="s">
        <v>74</v>
      </c>
      <c r="BA317" t="s">
        <v>74</v>
      </c>
      <c r="BB317">
        <v>619</v>
      </c>
      <c r="BC317">
        <v>641</v>
      </c>
      <c r="BD317" t="s">
        <v>74</v>
      </c>
      <c r="BE317" t="s">
        <v>6588</v>
      </c>
      <c r="BF317" t="str">
        <f>HYPERLINK("http://dx.doi.org/10.1111/maps.13640","http://dx.doi.org/10.1111/maps.13640")</f>
        <v>http://dx.doi.org/10.1111/maps.13640</v>
      </c>
      <c r="BG317" t="s">
        <v>74</v>
      </c>
      <c r="BH317" t="s">
        <v>6407</v>
      </c>
      <c r="BI317">
        <v>23</v>
      </c>
      <c r="BJ317" t="s">
        <v>1066</v>
      </c>
      <c r="BK317" t="s">
        <v>101</v>
      </c>
      <c r="BL317" t="s">
        <v>1066</v>
      </c>
      <c r="BM317" t="s">
        <v>6589</v>
      </c>
      <c r="BN317" t="s">
        <v>74</v>
      </c>
      <c r="BO317" t="s">
        <v>74</v>
      </c>
      <c r="BP317" t="s">
        <v>74</v>
      </c>
      <c r="BQ317" t="s">
        <v>74</v>
      </c>
      <c r="BR317" t="s">
        <v>104</v>
      </c>
      <c r="BS317" t="s">
        <v>6590</v>
      </c>
      <c r="BT317" t="str">
        <f>HYPERLINK("https%3A%2F%2Fwww.webofscience.com%2Fwos%2Fwoscc%2Ffull-record%2FWOS:000635011000001","View Full Record in Web of Science")</f>
        <v>View Full Record in Web of Science</v>
      </c>
    </row>
    <row r="318" spans="1:72" x14ac:dyDescent="0.15">
      <c r="A318" t="s">
        <v>72</v>
      </c>
      <c r="B318" t="s">
        <v>6591</v>
      </c>
      <c r="C318" t="s">
        <v>74</v>
      </c>
      <c r="D318" t="s">
        <v>74</v>
      </c>
      <c r="E318" t="s">
        <v>74</v>
      </c>
      <c r="F318" t="s">
        <v>6592</v>
      </c>
      <c r="G318" t="s">
        <v>74</v>
      </c>
      <c r="H318" t="s">
        <v>74</v>
      </c>
      <c r="I318" t="s">
        <v>6593</v>
      </c>
      <c r="J318" t="s">
        <v>1421</v>
      </c>
      <c r="K318" t="s">
        <v>74</v>
      </c>
      <c r="L318" t="s">
        <v>74</v>
      </c>
      <c r="M318" t="s">
        <v>78</v>
      </c>
      <c r="N318" t="s">
        <v>79</v>
      </c>
      <c r="O318" t="s">
        <v>74</v>
      </c>
      <c r="P318" t="s">
        <v>74</v>
      </c>
      <c r="Q318" t="s">
        <v>74</v>
      </c>
      <c r="R318" t="s">
        <v>74</v>
      </c>
      <c r="S318" t="s">
        <v>74</v>
      </c>
      <c r="T318" t="s">
        <v>6594</v>
      </c>
      <c r="U318" t="s">
        <v>6595</v>
      </c>
      <c r="V318" t="s">
        <v>6596</v>
      </c>
      <c r="W318" t="s">
        <v>6597</v>
      </c>
      <c r="X318" t="s">
        <v>6598</v>
      </c>
      <c r="Y318" t="s">
        <v>6599</v>
      </c>
      <c r="Z318" t="s">
        <v>6600</v>
      </c>
      <c r="AA318" t="s">
        <v>6601</v>
      </c>
      <c r="AB318" t="s">
        <v>6602</v>
      </c>
      <c r="AC318" t="s">
        <v>6603</v>
      </c>
      <c r="AD318" t="s">
        <v>6604</v>
      </c>
      <c r="AE318" t="s">
        <v>6605</v>
      </c>
      <c r="AF318" t="s">
        <v>74</v>
      </c>
      <c r="AG318">
        <v>63</v>
      </c>
      <c r="AH318">
        <v>0</v>
      </c>
      <c r="AI318">
        <v>2</v>
      </c>
      <c r="AJ318">
        <v>2</v>
      </c>
      <c r="AK318">
        <v>10</v>
      </c>
      <c r="AL318" t="s">
        <v>166</v>
      </c>
      <c r="AM318" t="s">
        <v>167</v>
      </c>
      <c r="AN318" t="s">
        <v>168</v>
      </c>
      <c r="AO318" t="s">
        <v>1433</v>
      </c>
      <c r="AP318" t="s">
        <v>1434</v>
      </c>
      <c r="AQ318" t="s">
        <v>74</v>
      </c>
      <c r="AR318" t="s">
        <v>1435</v>
      </c>
      <c r="AS318" t="s">
        <v>1436</v>
      </c>
      <c r="AT318" t="s">
        <v>127</v>
      </c>
      <c r="AU318">
        <v>2021</v>
      </c>
      <c r="AV318">
        <v>44</v>
      </c>
      <c r="AW318">
        <v>5</v>
      </c>
      <c r="AX318" t="s">
        <v>74</v>
      </c>
      <c r="AY318" t="s">
        <v>74</v>
      </c>
      <c r="AZ318" t="s">
        <v>74</v>
      </c>
      <c r="BA318" t="s">
        <v>74</v>
      </c>
      <c r="BB318">
        <v>875</v>
      </c>
      <c r="BC318">
        <v>886</v>
      </c>
      <c r="BD318" t="s">
        <v>74</v>
      </c>
      <c r="BE318" t="s">
        <v>6606</v>
      </c>
      <c r="BF318" t="str">
        <f>HYPERLINK("http://dx.doi.org/10.1007/s00300-021-02823-6","http://dx.doi.org/10.1007/s00300-021-02823-6")</f>
        <v>http://dx.doi.org/10.1007/s00300-021-02823-6</v>
      </c>
      <c r="BG318" t="s">
        <v>74</v>
      </c>
      <c r="BH318" t="s">
        <v>6407</v>
      </c>
      <c r="BI318">
        <v>12</v>
      </c>
      <c r="BJ318" t="s">
        <v>1438</v>
      </c>
      <c r="BK318" t="s">
        <v>101</v>
      </c>
      <c r="BL318" t="s">
        <v>1439</v>
      </c>
      <c r="BM318" t="s">
        <v>2150</v>
      </c>
      <c r="BN318">
        <v>33814683</v>
      </c>
      <c r="BO318" t="s">
        <v>1492</v>
      </c>
      <c r="BP318" t="s">
        <v>74</v>
      </c>
      <c r="BQ318" t="s">
        <v>74</v>
      </c>
      <c r="BR318" t="s">
        <v>104</v>
      </c>
      <c r="BS318" t="s">
        <v>6607</v>
      </c>
      <c r="BT318" t="str">
        <f>HYPERLINK("https%3A%2F%2Fwww.webofscience.com%2Fwos%2Fwoscc%2Ffull-record%2FWOS:000635144700003","View Full Record in Web of Science")</f>
        <v>View Full Record in Web of Science</v>
      </c>
    </row>
    <row r="319" spans="1:72" x14ac:dyDescent="0.15">
      <c r="A319" t="s">
        <v>72</v>
      </c>
      <c r="B319" t="s">
        <v>6608</v>
      </c>
      <c r="C319" t="s">
        <v>74</v>
      </c>
      <c r="D319" t="s">
        <v>74</v>
      </c>
      <c r="E319" t="s">
        <v>74</v>
      </c>
      <c r="F319" t="s">
        <v>6609</v>
      </c>
      <c r="G319" t="s">
        <v>74</v>
      </c>
      <c r="H319" t="s">
        <v>74</v>
      </c>
      <c r="I319" t="s">
        <v>6610</v>
      </c>
      <c r="J319" t="s">
        <v>1421</v>
      </c>
      <c r="K319" t="s">
        <v>74</v>
      </c>
      <c r="L319" t="s">
        <v>74</v>
      </c>
      <c r="M319" t="s">
        <v>78</v>
      </c>
      <c r="N319" t="s">
        <v>6611</v>
      </c>
      <c r="O319" t="s">
        <v>74</v>
      </c>
      <c r="P319" t="s">
        <v>74</v>
      </c>
      <c r="Q319" t="s">
        <v>74</v>
      </c>
      <c r="R319" t="s">
        <v>74</v>
      </c>
      <c r="S319" t="s">
        <v>74</v>
      </c>
      <c r="T319" t="s">
        <v>6612</v>
      </c>
      <c r="U319" t="s">
        <v>6613</v>
      </c>
      <c r="V319" t="s">
        <v>6614</v>
      </c>
      <c r="W319" t="s">
        <v>6615</v>
      </c>
      <c r="X319" t="s">
        <v>6616</v>
      </c>
      <c r="Y319" t="s">
        <v>6617</v>
      </c>
      <c r="Z319" t="s">
        <v>6618</v>
      </c>
      <c r="AA319" t="s">
        <v>6619</v>
      </c>
      <c r="AB319" t="s">
        <v>6620</v>
      </c>
      <c r="AC319" t="s">
        <v>6621</v>
      </c>
      <c r="AD319" t="s">
        <v>6622</v>
      </c>
      <c r="AE319" t="s">
        <v>6623</v>
      </c>
      <c r="AF319" t="s">
        <v>74</v>
      </c>
      <c r="AG319">
        <v>58</v>
      </c>
      <c r="AH319">
        <v>1</v>
      </c>
      <c r="AI319">
        <v>1</v>
      </c>
      <c r="AJ319">
        <v>1</v>
      </c>
      <c r="AK319">
        <v>11</v>
      </c>
      <c r="AL319" t="s">
        <v>166</v>
      </c>
      <c r="AM319" t="s">
        <v>167</v>
      </c>
      <c r="AN319" t="s">
        <v>168</v>
      </c>
      <c r="AO319" t="s">
        <v>1433</v>
      </c>
      <c r="AP319" t="s">
        <v>1434</v>
      </c>
      <c r="AQ319" t="s">
        <v>74</v>
      </c>
      <c r="AR319" t="s">
        <v>1435</v>
      </c>
      <c r="AS319" t="s">
        <v>1436</v>
      </c>
      <c r="AT319" t="s">
        <v>6624</v>
      </c>
      <c r="AU319">
        <v>2021</v>
      </c>
      <c r="AV319" t="s">
        <v>74</v>
      </c>
      <c r="AW319" t="s">
        <v>74</v>
      </c>
      <c r="AX319" t="s">
        <v>74</v>
      </c>
      <c r="AY319" t="s">
        <v>74</v>
      </c>
      <c r="AZ319" t="s">
        <v>74</v>
      </c>
      <c r="BA319" t="s">
        <v>74</v>
      </c>
      <c r="BB319" t="s">
        <v>74</v>
      </c>
      <c r="BC319" t="s">
        <v>74</v>
      </c>
      <c r="BD319" t="s">
        <v>74</v>
      </c>
      <c r="BE319" t="s">
        <v>6625</v>
      </c>
      <c r="BF319" t="str">
        <f>HYPERLINK("http://dx.doi.org/10.1007/s00300-021-02839-y","http://dx.doi.org/10.1007/s00300-021-02839-y")</f>
        <v>http://dx.doi.org/10.1007/s00300-021-02839-y</v>
      </c>
      <c r="BG319" t="s">
        <v>74</v>
      </c>
      <c r="BH319" t="s">
        <v>6407</v>
      </c>
      <c r="BI319">
        <v>11</v>
      </c>
      <c r="BJ319" t="s">
        <v>1438</v>
      </c>
      <c r="BK319" t="s">
        <v>101</v>
      </c>
      <c r="BL319" t="s">
        <v>1439</v>
      </c>
      <c r="BM319" t="s">
        <v>6626</v>
      </c>
      <c r="BN319" t="s">
        <v>74</v>
      </c>
      <c r="BO319" t="s">
        <v>1068</v>
      </c>
      <c r="BP319" t="s">
        <v>74</v>
      </c>
      <c r="BQ319" t="s">
        <v>74</v>
      </c>
      <c r="BR319" t="s">
        <v>104</v>
      </c>
      <c r="BS319" t="s">
        <v>6627</v>
      </c>
      <c r="BT319" t="str">
        <f>HYPERLINK("https%3A%2F%2Fwww.webofscience.com%2Fwos%2Fwoscc%2Ffull-record%2FWOS:000635144700002","View Full Record in Web of Science")</f>
        <v>View Full Record in Web of Science</v>
      </c>
    </row>
    <row r="320" spans="1:72" x14ac:dyDescent="0.15">
      <c r="A320" t="s">
        <v>72</v>
      </c>
      <c r="B320" t="s">
        <v>6628</v>
      </c>
      <c r="C320" t="s">
        <v>74</v>
      </c>
      <c r="D320" t="s">
        <v>74</v>
      </c>
      <c r="E320" t="s">
        <v>74</v>
      </c>
      <c r="F320" t="s">
        <v>6629</v>
      </c>
      <c r="G320" t="s">
        <v>74</v>
      </c>
      <c r="H320" t="s">
        <v>74</v>
      </c>
      <c r="I320" t="s">
        <v>6630</v>
      </c>
      <c r="J320" t="s">
        <v>6631</v>
      </c>
      <c r="K320" t="s">
        <v>74</v>
      </c>
      <c r="L320" t="s">
        <v>74</v>
      </c>
      <c r="M320" t="s">
        <v>78</v>
      </c>
      <c r="N320" t="s">
        <v>79</v>
      </c>
      <c r="O320" t="s">
        <v>74</v>
      </c>
      <c r="P320" t="s">
        <v>74</v>
      </c>
      <c r="Q320" t="s">
        <v>74</v>
      </c>
      <c r="R320" t="s">
        <v>74</v>
      </c>
      <c r="S320" t="s">
        <v>74</v>
      </c>
      <c r="T320" t="s">
        <v>6632</v>
      </c>
      <c r="U320" t="s">
        <v>6633</v>
      </c>
      <c r="V320" t="s">
        <v>6634</v>
      </c>
      <c r="W320" t="s">
        <v>6635</v>
      </c>
      <c r="X320" t="s">
        <v>6563</v>
      </c>
      <c r="Y320" t="s">
        <v>6636</v>
      </c>
      <c r="Z320" t="s">
        <v>6637</v>
      </c>
      <c r="AA320" t="s">
        <v>6638</v>
      </c>
      <c r="AB320" t="s">
        <v>6639</v>
      </c>
      <c r="AC320" t="s">
        <v>6640</v>
      </c>
      <c r="AD320" t="s">
        <v>6641</v>
      </c>
      <c r="AE320" t="s">
        <v>6642</v>
      </c>
      <c r="AF320" t="s">
        <v>74</v>
      </c>
      <c r="AG320">
        <v>85</v>
      </c>
      <c r="AH320">
        <v>2</v>
      </c>
      <c r="AI320">
        <v>2</v>
      </c>
      <c r="AJ320">
        <v>1</v>
      </c>
      <c r="AK320">
        <v>11</v>
      </c>
      <c r="AL320" t="s">
        <v>795</v>
      </c>
      <c r="AM320" t="s">
        <v>796</v>
      </c>
      <c r="AN320" t="s">
        <v>797</v>
      </c>
      <c r="AO320" t="s">
        <v>6643</v>
      </c>
      <c r="AP320" t="s">
        <v>6644</v>
      </c>
      <c r="AQ320" t="s">
        <v>74</v>
      </c>
      <c r="AR320" t="s">
        <v>6631</v>
      </c>
      <c r="AS320" t="s">
        <v>6645</v>
      </c>
      <c r="AT320" t="s">
        <v>707</v>
      </c>
      <c r="AU320">
        <v>2021</v>
      </c>
      <c r="AV320">
        <v>130</v>
      </c>
      <c r="AW320">
        <v>6</v>
      </c>
      <c r="AX320" t="s">
        <v>74</v>
      </c>
      <c r="AY320" t="s">
        <v>74</v>
      </c>
      <c r="AZ320" t="s">
        <v>74</v>
      </c>
      <c r="BA320" t="s">
        <v>74</v>
      </c>
      <c r="BB320">
        <v>943</v>
      </c>
      <c r="BC320">
        <v>957</v>
      </c>
      <c r="BD320" t="s">
        <v>74</v>
      </c>
      <c r="BE320" t="s">
        <v>6646</v>
      </c>
      <c r="BF320" t="str">
        <f>HYPERLINK("http://dx.doi.org/10.1111/oik.07441","http://dx.doi.org/10.1111/oik.07441")</f>
        <v>http://dx.doi.org/10.1111/oik.07441</v>
      </c>
      <c r="BG320" t="s">
        <v>74</v>
      </c>
      <c r="BH320" t="s">
        <v>6407</v>
      </c>
      <c r="BI320">
        <v>15</v>
      </c>
      <c r="BJ320" t="s">
        <v>4663</v>
      </c>
      <c r="BK320" t="s">
        <v>101</v>
      </c>
      <c r="BL320" t="s">
        <v>225</v>
      </c>
      <c r="BM320" t="s">
        <v>6647</v>
      </c>
      <c r="BN320" t="s">
        <v>74</v>
      </c>
      <c r="BO320" t="s">
        <v>74</v>
      </c>
      <c r="BP320" t="s">
        <v>74</v>
      </c>
      <c r="BQ320" t="s">
        <v>74</v>
      </c>
      <c r="BR320" t="s">
        <v>104</v>
      </c>
      <c r="BS320" t="s">
        <v>6648</v>
      </c>
      <c r="BT320" t="str">
        <f>HYPERLINK("https%3A%2F%2Fwww.webofscience.com%2Fwos%2Fwoscc%2Ffull-record%2FWOS:000634750700001","View Full Record in Web of Science")</f>
        <v>View Full Record in Web of Science</v>
      </c>
    </row>
    <row r="321" spans="1:72" x14ac:dyDescent="0.15">
      <c r="A321" t="s">
        <v>72</v>
      </c>
      <c r="B321" t="s">
        <v>6649</v>
      </c>
      <c r="C321" t="s">
        <v>74</v>
      </c>
      <c r="D321" t="s">
        <v>74</v>
      </c>
      <c r="E321" t="s">
        <v>74</v>
      </c>
      <c r="F321" t="s">
        <v>6650</v>
      </c>
      <c r="G321" t="s">
        <v>74</v>
      </c>
      <c r="H321" t="s">
        <v>74</v>
      </c>
      <c r="I321" t="s">
        <v>6651</v>
      </c>
      <c r="J321" t="s">
        <v>6652</v>
      </c>
      <c r="K321" t="s">
        <v>74</v>
      </c>
      <c r="L321" t="s">
        <v>74</v>
      </c>
      <c r="M321" t="s">
        <v>78</v>
      </c>
      <c r="N321" t="s">
        <v>79</v>
      </c>
      <c r="O321" t="s">
        <v>74</v>
      </c>
      <c r="P321" t="s">
        <v>74</v>
      </c>
      <c r="Q321" t="s">
        <v>74</v>
      </c>
      <c r="R321" t="s">
        <v>74</v>
      </c>
      <c r="S321" t="s">
        <v>74</v>
      </c>
      <c r="T321" t="s">
        <v>6653</v>
      </c>
      <c r="U321" t="s">
        <v>6654</v>
      </c>
      <c r="V321" t="s">
        <v>6655</v>
      </c>
      <c r="W321" t="s">
        <v>6656</v>
      </c>
      <c r="X321" t="s">
        <v>6657</v>
      </c>
      <c r="Y321" t="s">
        <v>6658</v>
      </c>
      <c r="Z321" t="s">
        <v>6659</v>
      </c>
      <c r="AA321" t="s">
        <v>6660</v>
      </c>
      <c r="AB321" t="s">
        <v>6661</v>
      </c>
      <c r="AC321" t="s">
        <v>6662</v>
      </c>
      <c r="AD321" t="s">
        <v>6663</v>
      </c>
      <c r="AE321" t="s">
        <v>6664</v>
      </c>
      <c r="AF321" t="s">
        <v>74</v>
      </c>
      <c r="AG321">
        <v>37</v>
      </c>
      <c r="AH321">
        <v>6</v>
      </c>
      <c r="AI321">
        <v>6</v>
      </c>
      <c r="AJ321">
        <v>4</v>
      </c>
      <c r="AK321">
        <v>20</v>
      </c>
      <c r="AL321" t="s">
        <v>795</v>
      </c>
      <c r="AM321" t="s">
        <v>796</v>
      </c>
      <c r="AN321" t="s">
        <v>797</v>
      </c>
      <c r="AO321" t="s">
        <v>6665</v>
      </c>
      <c r="AP321" t="s">
        <v>6666</v>
      </c>
      <c r="AQ321" t="s">
        <v>74</v>
      </c>
      <c r="AR321" t="s">
        <v>6667</v>
      </c>
      <c r="AS321" t="s">
        <v>6668</v>
      </c>
      <c r="AT321" t="s">
        <v>2859</v>
      </c>
      <c r="AU321">
        <v>2022</v>
      </c>
      <c r="AV321">
        <v>69</v>
      </c>
      <c r="AW321">
        <v>2</v>
      </c>
      <c r="AX321" t="s">
        <v>74</v>
      </c>
      <c r="AY321" t="s">
        <v>74</v>
      </c>
      <c r="AZ321" t="s">
        <v>74</v>
      </c>
      <c r="BA321" t="s">
        <v>74</v>
      </c>
      <c r="BB321">
        <v>676</v>
      </c>
      <c r="BC321">
        <v>686</v>
      </c>
      <c r="BD321" t="s">
        <v>74</v>
      </c>
      <c r="BE321" t="s">
        <v>6669</v>
      </c>
      <c r="BF321" t="str">
        <f>HYPERLINK("http://dx.doi.org/10.1002/bab.2143","http://dx.doi.org/10.1002/bab.2143")</f>
        <v>http://dx.doi.org/10.1002/bab.2143</v>
      </c>
      <c r="BG321" t="s">
        <v>74</v>
      </c>
      <c r="BH321" t="s">
        <v>6407</v>
      </c>
      <c r="BI321">
        <v>11</v>
      </c>
      <c r="BJ321" t="s">
        <v>6670</v>
      </c>
      <c r="BK321" t="s">
        <v>101</v>
      </c>
      <c r="BL321" t="s">
        <v>6670</v>
      </c>
      <c r="BM321" t="s">
        <v>6671</v>
      </c>
      <c r="BN321">
        <v>33660298</v>
      </c>
      <c r="BO321" t="s">
        <v>74</v>
      </c>
      <c r="BP321" t="s">
        <v>74</v>
      </c>
      <c r="BQ321" t="s">
        <v>74</v>
      </c>
      <c r="BR321" t="s">
        <v>104</v>
      </c>
      <c r="BS321" t="s">
        <v>6672</v>
      </c>
      <c r="BT321" t="str">
        <f>HYPERLINK("https%3A%2F%2Fwww.webofscience.com%2Fwos%2Fwoscc%2Ffull-record%2FWOS:000635023500001","View Full Record in Web of Science")</f>
        <v>View Full Record in Web of Science</v>
      </c>
    </row>
    <row r="322" spans="1:72" x14ac:dyDescent="0.15">
      <c r="A322" t="s">
        <v>72</v>
      </c>
      <c r="B322" t="s">
        <v>6673</v>
      </c>
      <c r="C322" t="s">
        <v>74</v>
      </c>
      <c r="D322" t="s">
        <v>74</v>
      </c>
      <c r="E322" t="s">
        <v>74</v>
      </c>
      <c r="F322" t="s">
        <v>6674</v>
      </c>
      <c r="G322" t="s">
        <v>74</v>
      </c>
      <c r="H322" t="s">
        <v>74</v>
      </c>
      <c r="I322" t="s">
        <v>6675</v>
      </c>
      <c r="J322" t="s">
        <v>6676</v>
      </c>
      <c r="K322" t="s">
        <v>74</v>
      </c>
      <c r="L322" t="s">
        <v>74</v>
      </c>
      <c r="M322" t="s">
        <v>78</v>
      </c>
      <c r="N322" t="s">
        <v>79</v>
      </c>
      <c r="O322" t="s">
        <v>74</v>
      </c>
      <c r="P322" t="s">
        <v>74</v>
      </c>
      <c r="Q322" t="s">
        <v>74</v>
      </c>
      <c r="R322" t="s">
        <v>74</v>
      </c>
      <c r="S322" t="s">
        <v>74</v>
      </c>
      <c r="T322" t="s">
        <v>74</v>
      </c>
      <c r="U322" t="s">
        <v>6677</v>
      </c>
      <c r="V322" t="s">
        <v>6678</v>
      </c>
      <c r="W322" t="s">
        <v>6679</v>
      </c>
      <c r="X322" t="s">
        <v>6680</v>
      </c>
      <c r="Y322" t="s">
        <v>6681</v>
      </c>
      <c r="Z322" t="s">
        <v>6682</v>
      </c>
      <c r="AA322" t="s">
        <v>6683</v>
      </c>
      <c r="AB322" t="s">
        <v>6684</v>
      </c>
      <c r="AC322" t="s">
        <v>6685</v>
      </c>
      <c r="AD322" t="s">
        <v>6686</v>
      </c>
      <c r="AE322" t="s">
        <v>6687</v>
      </c>
      <c r="AF322" t="s">
        <v>74</v>
      </c>
      <c r="AG322">
        <v>102</v>
      </c>
      <c r="AH322">
        <v>3</v>
      </c>
      <c r="AI322">
        <v>3</v>
      </c>
      <c r="AJ322">
        <v>1</v>
      </c>
      <c r="AK322">
        <v>23</v>
      </c>
      <c r="AL322" t="s">
        <v>795</v>
      </c>
      <c r="AM322" t="s">
        <v>796</v>
      </c>
      <c r="AN322" t="s">
        <v>797</v>
      </c>
      <c r="AO322" t="s">
        <v>6688</v>
      </c>
      <c r="AP322" t="s">
        <v>74</v>
      </c>
      <c r="AQ322" t="s">
        <v>74</v>
      </c>
      <c r="AR322" t="s">
        <v>6689</v>
      </c>
      <c r="AS322" t="s">
        <v>6690</v>
      </c>
      <c r="AT322" t="s">
        <v>127</v>
      </c>
      <c r="AU322">
        <v>2021</v>
      </c>
      <c r="AV322">
        <v>19</v>
      </c>
      <c r="AW322">
        <v>5</v>
      </c>
      <c r="AX322" t="s">
        <v>74</v>
      </c>
      <c r="AY322" t="s">
        <v>74</v>
      </c>
      <c r="AZ322" t="s">
        <v>74</v>
      </c>
      <c r="BA322" t="s">
        <v>74</v>
      </c>
      <c r="BB322">
        <v>340</v>
      </c>
      <c r="BC322">
        <v>355</v>
      </c>
      <c r="BD322" t="s">
        <v>74</v>
      </c>
      <c r="BE322" t="s">
        <v>6691</v>
      </c>
      <c r="BF322" t="str">
        <f>HYPERLINK("http://dx.doi.org/10.1002/lom3.10427","http://dx.doi.org/10.1002/lom3.10427")</f>
        <v>http://dx.doi.org/10.1002/lom3.10427</v>
      </c>
      <c r="BG322" t="s">
        <v>74</v>
      </c>
      <c r="BH322" t="s">
        <v>6407</v>
      </c>
      <c r="BI322">
        <v>16</v>
      </c>
      <c r="BJ322" t="s">
        <v>1390</v>
      </c>
      <c r="BK322" t="s">
        <v>101</v>
      </c>
      <c r="BL322" t="s">
        <v>1391</v>
      </c>
      <c r="BM322" t="s">
        <v>6692</v>
      </c>
      <c r="BN322" t="s">
        <v>74</v>
      </c>
      <c r="BO322" t="s">
        <v>74</v>
      </c>
      <c r="BP322" t="s">
        <v>74</v>
      </c>
      <c r="BQ322" t="s">
        <v>74</v>
      </c>
      <c r="BR322" t="s">
        <v>104</v>
      </c>
      <c r="BS322" t="s">
        <v>6693</v>
      </c>
      <c r="BT322" t="str">
        <f>HYPERLINK("https%3A%2F%2Fwww.webofscience.com%2Fwos%2Fwoscc%2Ffull-record%2FWOS:000634695600001","View Full Record in Web of Science")</f>
        <v>View Full Record in Web of Science</v>
      </c>
    </row>
    <row r="323" spans="1:72" x14ac:dyDescent="0.15">
      <c r="A323" t="s">
        <v>72</v>
      </c>
      <c r="B323" t="s">
        <v>6694</v>
      </c>
      <c r="C323" t="s">
        <v>74</v>
      </c>
      <c r="D323" t="s">
        <v>74</v>
      </c>
      <c r="E323" t="s">
        <v>74</v>
      </c>
      <c r="F323" t="s">
        <v>6695</v>
      </c>
      <c r="G323" t="s">
        <v>74</v>
      </c>
      <c r="H323" t="s">
        <v>74</v>
      </c>
      <c r="I323" t="s">
        <v>6696</v>
      </c>
      <c r="J323" t="s">
        <v>563</v>
      </c>
      <c r="K323" t="s">
        <v>74</v>
      </c>
      <c r="L323" t="s">
        <v>74</v>
      </c>
      <c r="M323" t="s">
        <v>78</v>
      </c>
      <c r="N323" t="s">
        <v>79</v>
      </c>
      <c r="O323" t="s">
        <v>74</v>
      </c>
      <c r="P323" t="s">
        <v>74</v>
      </c>
      <c r="Q323" t="s">
        <v>74</v>
      </c>
      <c r="R323" t="s">
        <v>74</v>
      </c>
      <c r="S323" t="s">
        <v>74</v>
      </c>
      <c r="T323" t="s">
        <v>6697</v>
      </c>
      <c r="U323" t="s">
        <v>6698</v>
      </c>
      <c r="V323" t="s">
        <v>6699</v>
      </c>
      <c r="W323" t="s">
        <v>6700</v>
      </c>
      <c r="X323" t="s">
        <v>6701</v>
      </c>
      <c r="Y323" t="s">
        <v>6702</v>
      </c>
      <c r="Z323" t="s">
        <v>6703</v>
      </c>
      <c r="AA323" t="s">
        <v>6704</v>
      </c>
      <c r="AB323" t="s">
        <v>6705</v>
      </c>
      <c r="AC323" t="s">
        <v>6706</v>
      </c>
      <c r="AD323" t="s">
        <v>6707</v>
      </c>
      <c r="AE323" t="s">
        <v>6708</v>
      </c>
      <c r="AF323" t="s">
        <v>74</v>
      </c>
      <c r="AG323">
        <v>58</v>
      </c>
      <c r="AH323">
        <v>6</v>
      </c>
      <c r="AI323">
        <v>6</v>
      </c>
      <c r="AJ323">
        <v>3</v>
      </c>
      <c r="AK323">
        <v>24</v>
      </c>
      <c r="AL323" t="s">
        <v>576</v>
      </c>
      <c r="AM323" t="s">
        <v>577</v>
      </c>
      <c r="AN323" t="s">
        <v>578</v>
      </c>
      <c r="AO323" t="s">
        <v>579</v>
      </c>
      <c r="AP323" t="s">
        <v>580</v>
      </c>
      <c r="AQ323" t="s">
        <v>74</v>
      </c>
      <c r="AR323" t="s">
        <v>581</v>
      </c>
      <c r="AS323" t="s">
        <v>582</v>
      </c>
      <c r="AT323" t="s">
        <v>6709</v>
      </c>
      <c r="AU323">
        <v>2021</v>
      </c>
      <c r="AV323">
        <v>780</v>
      </c>
      <c r="AW323" t="s">
        <v>74</v>
      </c>
      <c r="AX323" t="s">
        <v>74</v>
      </c>
      <c r="AY323" t="s">
        <v>74</v>
      </c>
      <c r="AZ323" t="s">
        <v>74</v>
      </c>
      <c r="BA323" t="s">
        <v>74</v>
      </c>
      <c r="BB323" t="s">
        <v>74</v>
      </c>
      <c r="BC323" t="s">
        <v>74</v>
      </c>
      <c r="BD323">
        <v>146653</v>
      </c>
      <c r="BE323" t="s">
        <v>6710</v>
      </c>
      <c r="BF323" t="str">
        <f>HYPERLINK("http://dx.doi.org/10.1016/j.scitotenv.2021.146653","http://dx.doi.org/10.1016/j.scitotenv.2021.146653")</f>
        <v>http://dx.doi.org/10.1016/j.scitotenv.2021.146653</v>
      </c>
      <c r="BG323" t="s">
        <v>74</v>
      </c>
      <c r="BH323" t="s">
        <v>6407</v>
      </c>
      <c r="BI323">
        <v>11</v>
      </c>
      <c r="BJ323" t="s">
        <v>224</v>
      </c>
      <c r="BK323" t="s">
        <v>101</v>
      </c>
      <c r="BL323" t="s">
        <v>225</v>
      </c>
      <c r="BM323" t="s">
        <v>6711</v>
      </c>
      <c r="BN323">
        <v>34030336</v>
      </c>
      <c r="BO323" t="s">
        <v>6712</v>
      </c>
      <c r="BP323" t="s">
        <v>74</v>
      </c>
      <c r="BQ323" t="s">
        <v>74</v>
      </c>
      <c r="BR323" t="s">
        <v>104</v>
      </c>
      <c r="BS323" t="s">
        <v>6713</v>
      </c>
      <c r="BT323" t="str">
        <f>HYPERLINK("https%3A%2F%2Fwww.webofscience.com%2Fwos%2Fwoscc%2Ffull-record%2FWOS:000653088000015","View Full Record in Web of Science")</f>
        <v>View Full Record in Web of Science</v>
      </c>
    </row>
    <row r="324" spans="1:72" x14ac:dyDescent="0.15">
      <c r="A324" t="s">
        <v>72</v>
      </c>
      <c r="B324" t="s">
        <v>6714</v>
      </c>
      <c r="C324" t="s">
        <v>74</v>
      </c>
      <c r="D324" t="s">
        <v>74</v>
      </c>
      <c r="E324" t="s">
        <v>74</v>
      </c>
      <c r="F324" t="s">
        <v>6715</v>
      </c>
      <c r="G324" t="s">
        <v>74</v>
      </c>
      <c r="H324" t="s">
        <v>74</v>
      </c>
      <c r="I324" t="s">
        <v>6716</v>
      </c>
      <c r="J324" t="s">
        <v>1798</v>
      </c>
      <c r="K324" t="s">
        <v>74</v>
      </c>
      <c r="L324" t="s">
        <v>74</v>
      </c>
      <c r="M324" t="s">
        <v>78</v>
      </c>
      <c r="N324" t="s">
        <v>1074</v>
      </c>
      <c r="O324" t="s">
        <v>74</v>
      </c>
      <c r="P324" t="s">
        <v>74</v>
      </c>
      <c r="Q324" t="s">
        <v>74</v>
      </c>
      <c r="R324" t="s">
        <v>74</v>
      </c>
      <c r="S324" t="s">
        <v>74</v>
      </c>
      <c r="T324" t="s">
        <v>6717</v>
      </c>
      <c r="U324" t="s">
        <v>6718</v>
      </c>
      <c r="V324" t="s">
        <v>6719</v>
      </c>
      <c r="W324" t="s">
        <v>6720</v>
      </c>
      <c r="X324" t="s">
        <v>6721</v>
      </c>
      <c r="Y324" t="s">
        <v>6722</v>
      </c>
      <c r="Z324" t="s">
        <v>6723</v>
      </c>
      <c r="AA324" t="s">
        <v>6724</v>
      </c>
      <c r="AB324" t="s">
        <v>6725</v>
      </c>
      <c r="AC324" t="s">
        <v>6726</v>
      </c>
      <c r="AD324" t="s">
        <v>6727</v>
      </c>
      <c r="AE324" t="s">
        <v>6728</v>
      </c>
      <c r="AF324" t="s">
        <v>74</v>
      </c>
      <c r="AG324">
        <v>96</v>
      </c>
      <c r="AH324">
        <v>34</v>
      </c>
      <c r="AI324">
        <v>34</v>
      </c>
      <c r="AJ324">
        <v>3</v>
      </c>
      <c r="AK324">
        <v>23</v>
      </c>
      <c r="AL324" t="s">
        <v>166</v>
      </c>
      <c r="AM324" t="s">
        <v>192</v>
      </c>
      <c r="AN324" t="s">
        <v>193</v>
      </c>
      <c r="AO324" t="s">
        <v>1805</v>
      </c>
      <c r="AP324" t="s">
        <v>1806</v>
      </c>
      <c r="AQ324" t="s">
        <v>74</v>
      </c>
      <c r="AR324" t="s">
        <v>1807</v>
      </c>
      <c r="AS324" t="s">
        <v>1808</v>
      </c>
      <c r="AT324" t="s">
        <v>1809</v>
      </c>
      <c r="AU324">
        <v>2022</v>
      </c>
      <c r="AV324">
        <v>32</v>
      </c>
      <c r="AW324">
        <v>1</v>
      </c>
      <c r="AX324" t="s">
        <v>74</v>
      </c>
      <c r="AY324" t="s">
        <v>74</v>
      </c>
      <c r="AZ324" t="s">
        <v>803</v>
      </c>
      <c r="BA324" t="s">
        <v>74</v>
      </c>
      <c r="BB324">
        <v>231</v>
      </c>
      <c r="BC324">
        <v>251</v>
      </c>
      <c r="BD324" t="s">
        <v>74</v>
      </c>
      <c r="BE324" t="s">
        <v>6729</v>
      </c>
      <c r="BF324" t="str">
        <f>HYPERLINK("http://dx.doi.org/10.1007/s11160-021-09641-3","http://dx.doi.org/10.1007/s11160-021-09641-3")</f>
        <v>http://dx.doi.org/10.1007/s11160-021-09641-3</v>
      </c>
      <c r="BG324" t="s">
        <v>74</v>
      </c>
      <c r="BH324" t="s">
        <v>6407</v>
      </c>
      <c r="BI324">
        <v>21</v>
      </c>
      <c r="BJ324" t="s">
        <v>1811</v>
      </c>
      <c r="BK324" t="s">
        <v>1038</v>
      </c>
      <c r="BL324" t="s">
        <v>1811</v>
      </c>
      <c r="BM324" t="s">
        <v>1812</v>
      </c>
      <c r="BN324">
        <v>33814734</v>
      </c>
      <c r="BO324" t="s">
        <v>4573</v>
      </c>
      <c r="BP324" t="s">
        <v>74</v>
      </c>
      <c r="BQ324" t="s">
        <v>74</v>
      </c>
      <c r="BR324" t="s">
        <v>104</v>
      </c>
      <c r="BS324" t="s">
        <v>6730</v>
      </c>
      <c r="BT324" t="str">
        <f>HYPERLINK("https%3A%2F%2Fwww.webofscience.com%2Fwos%2Fwoscc%2Ffull-record%2FWOS:000634725200002","View Full Record in Web of Science")</f>
        <v>View Full Record in Web of Science</v>
      </c>
    </row>
    <row r="325" spans="1:72" x14ac:dyDescent="0.15">
      <c r="A325" t="s">
        <v>72</v>
      </c>
      <c r="B325" t="s">
        <v>6731</v>
      </c>
      <c r="C325" t="s">
        <v>74</v>
      </c>
      <c r="D325" t="s">
        <v>74</v>
      </c>
      <c r="E325" t="s">
        <v>74</v>
      </c>
      <c r="F325" t="s">
        <v>6732</v>
      </c>
      <c r="G325" t="s">
        <v>74</v>
      </c>
      <c r="H325" t="s">
        <v>74</v>
      </c>
      <c r="I325" t="s">
        <v>6733</v>
      </c>
      <c r="J325" t="s">
        <v>3539</v>
      </c>
      <c r="K325" t="s">
        <v>74</v>
      </c>
      <c r="L325" t="s">
        <v>74</v>
      </c>
      <c r="M325" t="s">
        <v>78</v>
      </c>
      <c r="N325" t="s">
        <v>79</v>
      </c>
      <c r="O325" t="s">
        <v>74</v>
      </c>
      <c r="P325" t="s">
        <v>74</v>
      </c>
      <c r="Q325" t="s">
        <v>74</v>
      </c>
      <c r="R325" t="s">
        <v>74</v>
      </c>
      <c r="S325" t="s">
        <v>74</v>
      </c>
      <c r="T325" t="s">
        <v>6734</v>
      </c>
      <c r="U325" t="s">
        <v>6735</v>
      </c>
      <c r="V325" t="s">
        <v>6736</v>
      </c>
      <c r="W325" t="s">
        <v>6737</v>
      </c>
      <c r="X325" t="s">
        <v>6738</v>
      </c>
      <c r="Y325" t="s">
        <v>6739</v>
      </c>
      <c r="Z325" t="s">
        <v>6740</v>
      </c>
      <c r="AA325" t="s">
        <v>6741</v>
      </c>
      <c r="AB325" t="s">
        <v>6742</v>
      </c>
      <c r="AC325" t="s">
        <v>6743</v>
      </c>
      <c r="AD325" t="s">
        <v>6744</v>
      </c>
      <c r="AE325" t="s">
        <v>6745</v>
      </c>
      <c r="AF325" t="s">
        <v>74</v>
      </c>
      <c r="AG325">
        <v>87</v>
      </c>
      <c r="AH325">
        <v>16</v>
      </c>
      <c r="AI325">
        <v>18</v>
      </c>
      <c r="AJ325">
        <v>0</v>
      </c>
      <c r="AK325">
        <v>20</v>
      </c>
      <c r="AL325" t="s">
        <v>576</v>
      </c>
      <c r="AM325" t="s">
        <v>577</v>
      </c>
      <c r="AN325" t="s">
        <v>578</v>
      </c>
      <c r="AO325" t="s">
        <v>3552</v>
      </c>
      <c r="AP325" t="s">
        <v>3553</v>
      </c>
      <c r="AQ325" t="s">
        <v>74</v>
      </c>
      <c r="AR325" t="s">
        <v>3554</v>
      </c>
      <c r="AS325" t="s">
        <v>3555</v>
      </c>
      <c r="AT325" t="s">
        <v>1064</v>
      </c>
      <c r="AU325">
        <v>2021</v>
      </c>
      <c r="AV325">
        <v>564</v>
      </c>
      <c r="AW325" t="s">
        <v>74</v>
      </c>
      <c r="AX325" t="s">
        <v>74</v>
      </c>
      <c r="AY325" t="s">
        <v>74</v>
      </c>
      <c r="AZ325" t="s">
        <v>74</v>
      </c>
      <c r="BA325" t="s">
        <v>74</v>
      </c>
      <c r="BB325" t="s">
        <v>74</v>
      </c>
      <c r="BC325" t="s">
        <v>74</v>
      </c>
      <c r="BD325">
        <v>116876</v>
      </c>
      <c r="BE325" t="s">
        <v>6746</v>
      </c>
      <c r="BF325" t="str">
        <f>HYPERLINK("http://dx.doi.org/10.1016/j.epsl.2021.116876","http://dx.doi.org/10.1016/j.epsl.2021.116876")</f>
        <v>http://dx.doi.org/10.1016/j.epsl.2021.116876</v>
      </c>
      <c r="BG325" t="s">
        <v>74</v>
      </c>
      <c r="BH325" t="s">
        <v>6407</v>
      </c>
      <c r="BI325">
        <v>10</v>
      </c>
      <c r="BJ325" t="s">
        <v>1066</v>
      </c>
      <c r="BK325" t="s">
        <v>101</v>
      </c>
      <c r="BL325" t="s">
        <v>1066</v>
      </c>
      <c r="BM325" t="s">
        <v>3557</v>
      </c>
      <c r="BN325" t="s">
        <v>74</v>
      </c>
      <c r="BO325" t="s">
        <v>712</v>
      </c>
      <c r="BP325" t="s">
        <v>74</v>
      </c>
      <c r="BQ325" t="s">
        <v>74</v>
      </c>
      <c r="BR325" t="s">
        <v>104</v>
      </c>
      <c r="BS325" t="s">
        <v>6747</v>
      </c>
      <c r="BT325" t="str">
        <f>HYPERLINK("https%3A%2F%2Fwww.webofscience.com%2Fwos%2Fwoscc%2Ffull-record%2FWOS:000645097600001","View Full Record in Web of Science")</f>
        <v>View Full Record in Web of Science</v>
      </c>
    </row>
    <row r="326" spans="1:72" x14ac:dyDescent="0.15">
      <c r="A326" t="s">
        <v>72</v>
      </c>
      <c r="B326" t="s">
        <v>6748</v>
      </c>
      <c r="C326" t="s">
        <v>74</v>
      </c>
      <c r="D326" t="s">
        <v>74</v>
      </c>
      <c r="E326" t="s">
        <v>74</v>
      </c>
      <c r="F326" t="s">
        <v>6749</v>
      </c>
      <c r="G326" t="s">
        <v>74</v>
      </c>
      <c r="H326" t="s">
        <v>74</v>
      </c>
      <c r="I326" t="s">
        <v>6750</v>
      </c>
      <c r="J326" t="s">
        <v>2687</v>
      </c>
      <c r="K326" t="s">
        <v>74</v>
      </c>
      <c r="L326" t="s">
        <v>74</v>
      </c>
      <c r="M326" t="s">
        <v>78</v>
      </c>
      <c r="N326" t="s">
        <v>79</v>
      </c>
      <c r="O326" t="s">
        <v>74</v>
      </c>
      <c r="P326" t="s">
        <v>74</v>
      </c>
      <c r="Q326" t="s">
        <v>74</v>
      </c>
      <c r="R326" t="s">
        <v>74</v>
      </c>
      <c r="S326" t="s">
        <v>74</v>
      </c>
      <c r="T326" t="s">
        <v>6751</v>
      </c>
      <c r="U326" t="s">
        <v>6752</v>
      </c>
      <c r="V326" t="s">
        <v>6753</v>
      </c>
      <c r="W326" t="s">
        <v>6754</v>
      </c>
      <c r="X326" t="s">
        <v>6755</v>
      </c>
      <c r="Y326" t="s">
        <v>6756</v>
      </c>
      <c r="Z326" t="s">
        <v>6757</v>
      </c>
      <c r="AA326" t="s">
        <v>6758</v>
      </c>
      <c r="AB326" t="s">
        <v>6759</v>
      </c>
      <c r="AC326" t="s">
        <v>6760</v>
      </c>
      <c r="AD326" t="s">
        <v>6761</v>
      </c>
      <c r="AE326" t="s">
        <v>6762</v>
      </c>
      <c r="AF326" t="s">
        <v>74</v>
      </c>
      <c r="AG326">
        <v>97</v>
      </c>
      <c r="AH326">
        <v>14</v>
      </c>
      <c r="AI326">
        <v>14</v>
      </c>
      <c r="AJ326">
        <v>1</v>
      </c>
      <c r="AK326">
        <v>19</v>
      </c>
      <c r="AL326" t="s">
        <v>603</v>
      </c>
      <c r="AM326" t="s">
        <v>604</v>
      </c>
      <c r="AN326" t="s">
        <v>605</v>
      </c>
      <c r="AO326" t="s">
        <v>74</v>
      </c>
      <c r="AP326" t="s">
        <v>2699</v>
      </c>
      <c r="AQ326" t="s">
        <v>74</v>
      </c>
      <c r="AR326" t="s">
        <v>2700</v>
      </c>
      <c r="AS326" t="s">
        <v>2701</v>
      </c>
      <c r="AT326" t="s">
        <v>6763</v>
      </c>
      <c r="AU326">
        <v>2021</v>
      </c>
      <c r="AV326">
        <v>8</v>
      </c>
      <c r="AW326" t="s">
        <v>74</v>
      </c>
      <c r="AX326" t="s">
        <v>74</v>
      </c>
      <c r="AY326" t="s">
        <v>74</v>
      </c>
      <c r="AZ326" t="s">
        <v>74</v>
      </c>
      <c r="BA326" t="s">
        <v>74</v>
      </c>
      <c r="BB326" t="s">
        <v>74</v>
      </c>
      <c r="BC326" t="s">
        <v>74</v>
      </c>
      <c r="BD326">
        <v>623856</v>
      </c>
      <c r="BE326" t="s">
        <v>6764</v>
      </c>
      <c r="BF326" t="str">
        <f>HYPERLINK("http://dx.doi.org/10.3389/fmars.2021.623856","http://dx.doi.org/10.3389/fmars.2021.623856")</f>
        <v>http://dx.doi.org/10.3389/fmars.2021.623856</v>
      </c>
      <c r="BG326" t="s">
        <v>74</v>
      </c>
      <c r="BH326" t="s">
        <v>74</v>
      </c>
      <c r="BI326">
        <v>24</v>
      </c>
      <c r="BJ326" t="s">
        <v>1646</v>
      </c>
      <c r="BK326" t="s">
        <v>101</v>
      </c>
      <c r="BL326" t="s">
        <v>710</v>
      </c>
      <c r="BM326" t="s">
        <v>6765</v>
      </c>
      <c r="BN326" t="s">
        <v>74</v>
      </c>
      <c r="BO326" t="s">
        <v>317</v>
      </c>
      <c r="BP326" t="s">
        <v>74</v>
      </c>
      <c r="BQ326" t="s">
        <v>74</v>
      </c>
      <c r="BR326" t="s">
        <v>104</v>
      </c>
      <c r="BS326" t="s">
        <v>6766</v>
      </c>
      <c r="BT326" t="str">
        <f>HYPERLINK("https%3A%2F%2Fwww.webofscience.com%2Fwos%2Fwoscc%2Ffull-record%2FWOS:000639282100001","View Full Record in Web of Science")</f>
        <v>View Full Record in Web of Science</v>
      </c>
    </row>
    <row r="327" spans="1:72" x14ac:dyDescent="0.15">
      <c r="A327" t="s">
        <v>72</v>
      </c>
      <c r="B327" t="s">
        <v>6767</v>
      </c>
      <c r="C327" t="s">
        <v>74</v>
      </c>
      <c r="D327" t="s">
        <v>74</v>
      </c>
      <c r="E327" t="s">
        <v>74</v>
      </c>
      <c r="F327" t="s">
        <v>6768</v>
      </c>
      <c r="G327" t="s">
        <v>74</v>
      </c>
      <c r="H327" t="s">
        <v>74</v>
      </c>
      <c r="I327" t="s">
        <v>6769</v>
      </c>
      <c r="J327" t="s">
        <v>6770</v>
      </c>
      <c r="K327" t="s">
        <v>74</v>
      </c>
      <c r="L327" t="s">
        <v>74</v>
      </c>
      <c r="M327" t="s">
        <v>78</v>
      </c>
      <c r="N327" t="s">
        <v>79</v>
      </c>
      <c r="O327" t="s">
        <v>74</v>
      </c>
      <c r="P327" t="s">
        <v>74</v>
      </c>
      <c r="Q327" t="s">
        <v>74</v>
      </c>
      <c r="R327" t="s">
        <v>74</v>
      </c>
      <c r="S327" t="s">
        <v>74</v>
      </c>
      <c r="T327" t="s">
        <v>74</v>
      </c>
      <c r="U327" t="s">
        <v>6771</v>
      </c>
      <c r="V327" t="s">
        <v>6772</v>
      </c>
      <c r="W327" t="s">
        <v>6773</v>
      </c>
      <c r="X327" t="s">
        <v>6774</v>
      </c>
      <c r="Y327" t="s">
        <v>6775</v>
      </c>
      <c r="Z327" t="s">
        <v>6776</v>
      </c>
      <c r="AA327" t="s">
        <v>6777</v>
      </c>
      <c r="AB327" t="s">
        <v>6778</v>
      </c>
      <c r="AC327" t="s">
        <v>6779</v>
      </c>
      <c r="AD327" t="s">
        <v>6780</v>
      </c>
      <c r="AE327" t="s">
        <v>6781</v>
      </c>
      <c r="AF327" t="s">
        <v>74</v>
      </c>
      <c r="AG327">
        <v>36</v>
      </c>
      <c r="AH327">
        <v>9</v>
      </c>
      <c r="AI327">
        <v>10</v>
      </c>
      <c r="AJ327">
        <v>3</v>
      </c>
      <c r="AK327">
        <v>22</v>
      </c>
      <c r="AL327" t="s">
        <v>6782</v>
      </c>
      <c r="AM327" t="s">
        <v>390</v>
      </c>
      <c r="AN327" t="s">
        <v>6783</v>
      </c>
      <c r="AO327" t="s">
        <v>6784</v>
      </c>
      <c r="AP327" t="s">
        <v>74</v>
      </c>
      <c r="AQ327" t="s">
        <v>74</v>
      </c>
      <c r="AR327" t="s">
        <v>6785</v>
      </c>
      <c r="AS327" t="s">
        <v>6786</v>
      </c>
      <c r="AT327" t="s">
        <v>6763</v>
      </c>
      <c r="AU327">
        <v>2021</v>
      </c>
      <c r="AV327">
        <v>29</v>
      </c>
      <c r="AW327">
        <v>7</v>
      </c>
      <c r="AX327" t="s">
        <v>74</v>
      </c>
      <c r="AY327" t="s">
        <v>74</v>
      </c>
      <c r="AZ327" t="s">
        <v>74</v>
      </c>
      <c r="BA327" t="s">
        <v>74</v>
      </c>
      <c r="BB327">
        <v>10059</v>
      </c>
      <c r="BC327">
        <v>10076</v>
      </c>
      <c r="BD327" t="s">
        <v>74</v>
      </c>
      <c r="BE327" t="s">
        <v>6787</v>
      </c>
      <c r="BF327" t="str">
        <f>HYPERLINK("http://dx.doi.org/10.1364/OE.418926","http://dx.doi.org/10.1364/OE.418926")</f>
        <v>http://dx.doi.org/10.1364/OE.418926</v>
      </c>
      <c r="BG327" t="s">
        <v>74</v>
      </c>
      <c r="BH327" t="s">
        <v>74</v>
      </c>
      <c r="BI327">
        <v>18</v>
      </c>
      <c r="BJ327" t="s">
        <v>4182</v>
      </c>
      <c r="BK327" t="s">
        <v>101</v>
      </c>
      <c r="BL327" t="s">
        <v>4182</v>
      </c>
      <c r="BM327" t="s">
        <v>6788</v>
      </c>
      <c r="BN327">
        <v>33820141</v>
      </c>
      <c r="BO327" t="s">
        <v>317</v>
      </c>
      <c r="BP327" t="s">
        <v>74</v>
      </c>
      <c r="BQ327" t="s">
        <v>74</v>
      </c>
      <c r="BR327" t="s">
        <v>104</v>
      </c>
      <c r="BS327" t="s">
        <v>6789</v>
      </c>
      <c r="BT327" t="str">
        <f>HYPERLINK("https%3A%2F%2Fwww.webofscience.com%2Fwos%2Fwoscc%2Ffull-record%2FWOS:000635208000027","View Full Record in Web of Science")</f>
        <v>View Full Record in Web of Science</v>
      </c>
    </row>
    <row r="328" spans="1:72" x14ac:dyDescent="0.15">
      <c r="A328" t="s">
        <v>72</v>
      </c>
      <c r="B328" t="s">
        <v>6790</v>
      </c>
      <c r="C328" t="s">
        <v>74</v>
      </c>
      <c r="D328" t="s">
        <v>74</v>
      </c>
      <c r="E328" t="s">
        <v>74</v>
      </c>
      <c r="F328" t="s">
        <v>6791</v>
      </c>
      <c r="G328" t="s">
        <v>74</v>
      </c>
      <c r="H328" t="s">
        <v>74</v>
      </c>
      <c r="I328" t="s">
        <v>6792</v>
      </c>
      <c r="J328" t="s">
        <v>1980</v>
      </c>
      <c r="K328" t="s">
        <v>74</v>
      </c>
      <c r="L328" t="s">
        <v>74</v>
      </c>
      <c r="M328" t="s">
        <v>78</v>
      </c>
      <c r="N328" t="s">
        <v>79</v>
      </c>
      <c r="O328" t="s">
        <v>74</v>
      </c>
      <c r="P328" t="s">
        <v>74</v>
      </c>
      <c r="Q328" t="s">
        <v>74</v>
      </c>
      <c r="R328" t="s">
        <v>74</v>
      </c>
      <c r="S328" t="s">
        <v>74</v>
      </c>
      <c r="T328" t="s">
        <v>74</v>
      </c>
      <c r="U328" t="s">
        <v>6793</v>
      </c>
      <c r="V328" t="s">
        <v>6794</v>
      </c>
      <c r="W328" t="s">
        <v>6795</v>
      </c>
      <c r="X328" t="s">
        <v>6796</v>
      </c>
      <c r="Y328" t="s">
        <v>6797</v>
      </c>
      <c r="Z328" t="s">
        <v>6798</v>
      </c>
      <c r="AA328" t="s">
        <v>6799</v>
      </c>
      <c r="AB328" t="s">
        <v>6800</v>
      </c>
      <c r="AC328" t="s">
        <v>6801</v>
      </c>
      <c r="AD328" t="s">
        <v>6802</v>
      </c>
      <c r="AE328" t="s">
        <v>6803</v>
      </c>
      <c r="AF328" t="s">
        <v>74</v>
      </c>
      <c r="AG328">
        <v>145</v>
      </c>
      <c r="AH328">
        <v>34</v>
      </c>
      <c r="AI328">
        <v>36</v>
      </c>
      <c r="AJ328">
        <v>9</v>
      </c>
      <c r="AK328">
        <v>52</v>
      </c>
      <c r="AL328" t="s">
        <v>1269</v>
      </c>
      <c r="AM328" t="s">
        <v>1270</v>
      </c>
      <c r="AN328" t="s">
        <v>1271</v>
      </c>
      <c r="AO328" t="s">
        <v>1992</v>
      </c>
      <c r="AP328" t="s">
        <v>1993</v>
      </c>
      <c r="AQ328" t="s">
        <v>74</v>
      </c>
      <c r="AR328" t="s">
        <v>1994</v>
      </c>
      <c r="AS328" t="s">
        <v>1995</v>
      </c>
      <c r="AT328" t="s">
        <v>6763</v>
      </c>
      <c r="AU328">
        <v>2021</v>
      </c>
      <c r="AV328">
        <v>21</v>
      </c>
      <c r="AW328">
        <v>6</v>
      </c>
      <c r="AX328" t="s">
        <v>74</v>
      </c>
      <c r="AY328" t="s">
        <v>74</v>
      </c>
      <c r="AZ328" t="s">
        <v>74</v>
      </c>
      <c r="BA328" t="s">
        <v>74</v>
      </c>
      <c r="BB328">
        <v>4849</v>
      </c>
      <c r="BC328">
        <v>4868</v>
      </c>
      <c r="BD328" t="s">
        <v>74</v>
      </c>
      <c r="BE328" t="s">
        <v>6804</v>
      </c>
      <c r="BF328" t="str">
        <f>HYPERLINK("http://dx.doi.org/10.5194/acp-21-4849-2021","http://dx.doi.org/10.5194/acp-21-4849-2021")</f>
        <v>http://dx.doi.org/10.5194/acp-21-4849-2021</v>
      </c>
      <c r="BG328" t="s">
        <v>74</v>
      </c>
      <c r="BH328" t="s">
        <v>74</v>
      </c>
      <c r="BI328">
        <v>20</v>
      </c>
      <c r="BJ328" t="s">
        <v>199</v>
      </c>
      <c r="BK328" t="s">
        <v>101</v>
      </c>
      <c r="BL328" t="s">
        <v>200</v>
      </c>
      <c r="BM328" t="s">
        <v>6805</v>
      </c>
      <c r="BN328" t="s">
        <v>74</v>
      </c>
      <c r="BO328" t="s">
        <v>1280</v>
      </c>
      <c r="BP328" t="s">
        <v>74</v>
      </c>
      <c r="BQ328" t="s">
        <v>74</v>
      </c>
      <c r="BR328" t="s">
        <v>104</v>
      </c>
      <c r="BS328" t="s">
        <v>6806</v>
      </c>
      <c r="BT328" t="str">
        <f>HYPERLINK("https%3A%2F%2Fwww.webofscience.com%2Fwos%2Fwoscc%2Ffull-record%2FWOS:000635544200004","View Full Record in Web of Science")</f>
        <v>View Full Record in Web of Science</v>
      </c>
    </row>
    <row r="329" spans="1:72" x14ac:dyDescent="0.15">
      <c r="A329" t="s">
        <v>72</v>
      </c>
      <c r="B329" t="s">
        <v>6807</v>
      </c>
      <c r="C329" t="s">
        <v>74</v>
      </c>
      <c r="D329" t="s">
        <v>74</v>
      </c>
      <c r="E329" t="s">
        <v>74</v>
      </c>
      <c r="F329" t="s">
        <v>6808</v>
      </c>
      <c r="G329" t="s">
        <v>74</v>
      </c>
      <c r="H329" t="s">
        <v>74</v>
      </c>
      <c r="I329" t="s">
        <v>6809</v>
      </c>
      <c r="J329" t="s">
        <v>904</v>
      </c>
      <c r="K329" t="s">
        <v>74</v>
      </c>
      <c r="L329" t="s">
        <v>74</v>
      </c>
      <c r="M329" t="s">
        <v>78</v>
      </c>
      <c r="N329" t="s">
        <v>79</v>
      </c>
      <c r="O329" t="s">
        <v>74</v>
      </c>
      <c r="P329" t="s">
        <v>74</v>
      </c>
      <c r="Q329" t="s">
        <v>74</v>
      </c>
      <c r="R329" t="s">
        <v>74</v>
      </c>
      <c r="S329" t="s">
        <v>74</v>
      </c>
      <c r="T329" t="s">
        <v>6810</v>
      </c>
      <c r="U329" t="s">
        <v>6811</v>
      </c>
      <c r="V329" t="s">
        <v>6812</v>
      </c>
      <c r="W329" t="s">
        <v>6813</v>
      </c>
      <c r="X329" t="s">
        <v>6814</v>
      </c>
      <c r="Y329" t="s">
        <v>6815</v>
      </c>
      <c r="Z329" t="s">
        <v>6816</v>
      </c>
      <c r="AA329" t="s">
        <v>6817</v>
      </c>
      <c r="AB329" t="s">
        <v>6818</v>
      </c>
      <c r="AC329" t="s">
        <v>6819</v>
      </c>
      <c r="AD329" t="s">
        <v>6820</v>
      </c>
      <c r="AE329" t="s">
        <v>6821</v>
      </c>
      <c r="AF329" t="s">
        <v>74</v>
      </c>
      <c r="AG329">
        <v>51</v>
      </c>
      <c r="AH329">
        <v>5</v>
      </c>
      <c r="AI329">
        <v>6</v>
      </c>
      <c r="AJ329">
        <v>2</v>
      </c>
      <c r="AK329">
        <v>8</v>
      </c>
      <c r="AL329" t="s">
        <v>917</v>
      </c>
      <c r="AM329" t="s">
        <v>390</v>
      </c>
      <c r="AN329" t="s">
        <v>918</v>
      </c>
      <c r="AO329" t="s">
        <v>919</v>
      </c>
      <c r="AP329" t="s">
        <v>920</v>
      </c>
      <c r="AQ329" t="s">
        <v>74</v>
      </c>
      <c r="AR329" t="s">
        <v>921</v>
      </c>
      <c r="AS329" t="s">
        <v>922</v>
      </c>
      <c r="AT329" t="s">
        <v>6822</v>
      </c>
      <c r="AU329">
        <v>2021</v>
      </c>
      <c r="AV329">
        <v>48</v>
      </c>
      <c r="AW329">
        <v>6</v>
      </c>
      <c r="AX329" t="s">
        <v>74</v>
      </c>
      <c r="AY329" t="s">
        <v>74</v>
      </c>
      <c r="AZ329" t="s">
        <v>74</v>
      </c>
      <c r="BA329" t="s">
        <v>74</v>
      </c>
      <c r="BB329" t="s">
        <v>74</v>
      </c>
      <c r="BC329" t="s">
        <v>74</v>
      </c>
      <c r="BD329" t="s">
        <v>6823</v>
      </c>
      <c r="BE329" t="s">
        <v>6824</v>
      </c>
      <c r="BF329" t="str">
        <f>HYPERLINK("http://dx.doi.org/10.1029/2020GL091412","http://dx.doi.org/10.1029/2020GL091412")</f>
        <v>http://dx.doi.org/10.1029/2020GL091412</v>
      </c>
      <c r="BG329" t="s">
        <v>74</v>
      </c>
      <c r="BH329" t="s">
        <v>74</v>
      </c>
      <c r="BI329">
        <v>10</v>
      </c>
      <c r="BJ329" t="s">
        <v>100</v>
      </c>
      <c r="BK329" t="s">
        <v>101</v>
      </c>
      <c r="BL329" t="s">
        <v>102</v>
      </c>
      <c r="BM329" t="s">
        <v>6825</v>
      </c>
      <c r="BN329" t="s">
        <v>74</v>
      </c>
      <c r="BO329" t="s">
        <v>6826</v>
      </c>
      <c r="BP329" t="s">
        <v>74</v>
      </c>
      <c r="BQ329" t="s">
        <v>74</v>
      </c>
      <c r="BR329" t="s">
        <v>104</v>
      </c>
      <c r="BS329" t="s">
        <v>6827</v>
      </c>
      <c r="BT329" t="str">
        <f>HYPERLINK("https%3A%2F%2Fwww.webofscience.com%2Fwos%2Fwoscc%2Ffull-record%2FWOS:000635209100085","View Full Record in Web of Science")</f>
        <v>View Full Record in Web of Science</v>
      </c>
    </row>
    <row r="330" spans="1:72" x14ac:dyDescent="0.15">
      <c r="A330" t="s">
        <v>72</v>
      </c>
      <c r="B330" t="s">
        <v>6828</v>
      </c>
      <c r="C330" t="s">
        <v>74</v>
      </c>
      <c r="D330" t="s">
        <v>74</v>
      </c>
      <c r="E330" t="s">
        <v>74</v>
      </c>
      <c r="F330" t="s">
        <v>6829</v>
      </c>
      <c r="G330" t="s">
        <v>74</v>
      </c>
      <c r="H330" t="s">
        <v>74</v>
      </c>
      <c r="I330" t="s">
        <v>6830</v>
      </c>
      <c r="J330" t="s">
        <v>904</v>
      </c>
      <c r="K330" t="s">
        <v>74</v>
      </c>
      <c r="L330" t="s">
        <v>74</v>
      </c>
      <c r="M330" t="s">
        <v>78</v>
      </c>
      <c r="N330" t="s">
        <v>79</v>
      </c>
      <c r="O330" t="s">
        <v>74</v>
      </c>
      <c r="P330" t="s">
        <v>74</v>
      </c>
      <c r="Q330" t="s">
        <v>74</v>
      </c>
      <c r="R330" t="s">
        <v>74</v>
      </c>
      <c r="S330" t="s">
        <v>74</v>
      </c>
      <c r="T330" t="s">
        <v>6831</v>
      </c>
      <c r="U330" t="s">
        <v>74</v>
      </c>
      <c r="V330" t="s">
        <v>6832</v>
      </c>
      <c r="W330" t="s">
        <v>6833</v>
      </c>
      <c r="X330" t="s">
        <v>6834</v>
      </c>
      <c r="Y330" t="s">
        <v>6835</v>
      </c>
      <c r="Z330" t="s">
        <v>6836</v>
      </c>
      <c r="AA330" t="s">
        <v>74</v>
      </c>
      <c r="AB330" t="s">
        <v>6837</v>
      </c>
      <c r="AC330" t="s">
        <v>6838</v>
      </c>
      <c r="AD330" t="s">
        <v>4449</v>
      </c>
      <c r="AE330" t="s">
        <v>6839</v>
      </c>
      <c r="AF330" t="s">
        <v>74</v>
      </c>
      <c r="AG330">
        <v>52</v>
      </c>
      <c r="AH330">
        <v>10</v>
      </c>
      <c r="AI330">
        <v>10</v>
      </c>
      <c r="AJ330">
        <v>3</v>
      </c>
      <c r="AK330">
        <v>20</v>
      </c>
      <c r="AL330" t="s">
        <v>917</v>
      </c>
      <c r="AM330" t="s">
        <v>390</v>
      </c>
      <c r="AN330" t="s">
        <v>918</v>
      </c>
      <c r="AO330" t="s">
        <v>919</v>
      </c>
      <c r="AP330" t="s">
        <v>920</v>
      </c>
      <c r="AQ330" t="s">
        <v>74</v>
      </c>
      <c r="AR330" t="s">
        <v>921</v>
      </c>
      <c r="AS330" t="s">
        <v>922</v>
      </c>
      <c r="AT330" t="s">
        <v>6822</v>
      </c>
      <c r="AU330">
        <v>2021</v>
      </c>
      <c r="AV330">
        <v>48</v>
      </c>
      <c r="AW330">
        <v>6</v>
      </c>
      <c r="AX330" t="s">
        <v>74</v>
      </c>
      <c r="AY330" t="s">
        <v>74</v>
      </c>
      <c r="AZ330" t="s">
        <v>74</v>
      </c>
      <c r="BA330" t="s">
        <v>74</v>
      </c>
      <c r="BB330" t="s">
        <v>74</v>
      </c>
      <c r="BC330" t="s">
        <v>74</v>
      </c>
      <c r="BD330" t="s">
        <v>6840</v>
      </c>
      <c r="BE330" t="s">
        <v>6841</v>
      </c>
      <c r="BF330" t="str">
        <f>HYPERLINK("http://dx.doi.org/10.1029/2020GL090631","http://dx.doi.org/10.1029/2020GL090631")</f>
        <v>http://dx.doi.org/10.1029/2020GL090631</v>
      </c>
      <c r="BG330" t="s">
        <v>74</v>
      </c>
      <c r="BH330" t="s">
        <v>74</v>
      </c>
      <c r="BI330">
        <v>11</v>
      </c>
      <c r="BJ330" t="s">
        <v>100</v>
      </c>
      <c r="BK330" t="s">
        <v>101</v>
      </c>
      <c r="BL330" t="s">
        <v>102</v>
      </c>
      <c r="BM330" t="s">
        <v>6825</v>
      </c>
      <c r="BN330" t="s">
        <v>74</v>
      </c>
      <c r="BO330" t="s">
        <v>74</v>
      </c>
      <c r="BP330" t="s">
        <v>74</v>
      </c>
      <c r="BQ330" t="s">
        <v>74</v>
      </c>
      <c r="BR330" t="s">
        <v>104</v>
      </c>
      <c r="BS330" t="s">
        <v>6842</v>
      </c>
      <c r="BT330" t="str">
        <f>HYPERLINK("https%3A%2F%2Fwww.webofscience.com%2Fwos%2Fwoscc%2Ffull-record%2FWOS:000635209100087","View Full Record in Web of Science")</f>
        <v>View Full Record in Web of Science</v>
      </c>
    </row>
    <row r="331" spans="1:72" x14ac:dyDescent="0.15">
      <c r="A331" t="s">
        <v>72</v>
      </c>
      <c r="B331" t="s">
        <v>6843</v>
      </c>
      <c r="C331" t="s">
        <v>74</v>
      </c>
      <c r="D331" t="s">
        <v>74</v>
      </c>
      <c r="E331" t="s">
        <v>74</v>
      </c>
      <c r="F331" t="s">
        <v>6844</v>
      </c>
      <c r="G331" t="s">
        <v>74</v>
      </c>
      <c r="H331" t="s">
        <v>74</v>
      </c>
      <c r="I331" t="s">
        <v>6845</v>
      </c>
      <c r="J331" t="s">
        <v>904</v>
      </c>
      <c r="K331" t="s">
        <v>74</v>
      </c>
      <c r="L331" t="s">
        <v>74</v>
      </c>
      <c r="M331" t="s">
        <v>78</v>
      </c>
      <c r="N331" t="s">
        <v>79</v>
      </c>
      <c r="O331" t="s">
        <v>74</v>
      </c>
      <c r="P331" t="s">
        <v>74</v>
      </c>
      <c r="Q331" t="s">
        <v>74</v>
      </c>
      <c r="R331" t="s">
        <v>74</v>
      </c>
      <c r="S331" t="s">
        <v>74</v>
      </c>
      <c r="T331" t="s">
        <v>6846</v>
      </c>
      <c r="U331" t="s">
        <v>6847</v>
      </c>
      <c r="V331" t="s">
        <v>6848</v>
      </c>
      <c r="W331" t="s">
        <v>6849</v>
      </c>
      <c r="X331" t="s">
        <v>6850</v>
      </c>
      <c r="Y331" t="s">
        <v>6851</v>
      </c>
      <c r="Z331" t="s">
        <v>6852</v>
      </c>
      <c r="AA331" t="s">
        <v>6853</v>
      </c>
      <c r="AB331" t="s">
        <v>6854</v>
      </c>
      <c r="AC331" t="s">
        <v>6855</v>
      </c>
      <c r="AD331" t="s">
        <v>6856</v>
      </c>
      <c r="AE331" t="s">
        <v>6857</v>
      </c>
      <c r="AF331" t="s">
        <v>74</v>
      </c>
      <c r="AG331">
        <v>45</v>
      </c>
      <c r="AH331">
        <v>17</v>
      </c>
      <c r="AI331">
        <v>17</v>
      </c>
      <c r="AJ331">
        <v>1</v>
      </c>
      <c r="AK331">
        <v>2</v>
      </c>
      <c r="AL331" t="s">
        <v>917</v>
      </c>
      <c r="AM331" t="s">
        <v>390</v>
      </c>
      <c r="AN331" t="s">
        <v>918</v>
      </c>
      <c r="AO331" t="s">
        <v>919</v>
      </c>
      <c r="AP331" t="s">
        <v>920</v>
      </c>
      <c r="AQ331" t="s">
        <v>74</v>
      </c>
      <c r="AR331" t="s">
        <v>921</v>
      </c>
      <c r="AS331" t="s">
        <v>922</v>
      </c>
      <c r="AT331" t="s">
        <v>6822</v>
      </c>
      <c r="AU331">
        <v>2021</v>
      </c>
      <c r="AV331">
        <v>48</v>
      </c>
      <c r="AW331">
        <v>6</v>
      </c>
      <c r="AX331" t="s">
        <v>74</v>
      </c>
      <c r="AY331" t="s">
        <v>74</v>
      </c>
      <c r="AZ331" t="s">
        <v>74</v>
      </c>
      <c r="BA331" t="s">
        <v>74</v>
      </c>
      <c r="BB331" t="s">
        <v>74</v>
      </c>
      <c r="BC331" t="s">
        <v>74</v>
      </c>
      <c r="BD331" t="s">
        <v>6858</v>
      </c>
      <c r="BE331" t="s">
        <v>6859</v>
      </c>
      <c r="BF331" t="str">
        <f>HYPERLINK("http://dx.doi.org/10.1029/2021GL092725","http://dx.doi.org/10.1029/2021GL092725")</f>
        <v>http://dx.doi.org/10.1029/2021GL092725</v>
      </c>
      <c r="BG331" t="s">
        <v>74</v>
      </c>
      <c r="BH331" t="s">
        <v>74</v>
      </c>
      <c r="BI331">
        <v>11</v>
      </c>
      <c r="BJ331" t="s">
        <v>100</v>
      </c>
      <c r="BK331" t="s">
        <v>101</v>
      </c>
      <c r="BL331" t="s">
        <v>102</v>
      </c>
      <c r="BM331" t="s">
        <v>6825</v>
      </c>
      <c r="BN331" t="s">
        <v>74</v>
      </c>
      <c r="BO331" t="s">
        <v>1095</v>
      </c>
      <c r="BP331" t="s">
        <v>74</v>
      </c>
      <c r="BQ331" t="s">
        <v>74</v>
      </c>
      <c r="BR331" t="s">
        <v>104</v>
      </c>
      <c r="BS331" t="s">
        <v>6860</v>
      </c>
      <c r="BT331" t="str">
        <f>HYPERLINK("https%3A%2F%2Fwww.webofscience.com%2Fwos%2Fwoscc%2Ffull-record%2FWOS:000635209100046","View Full Record in Web of Science")</f>
        <v>View Full Record in Web of Science</v>
      </c>
    </row>
    <row r="332" spans="1:72" x14ac:dyDescent="0.15">
      <c r="A332" t="s">
        <v>72</v>
      </c>
      <c r="B332" t="s">
        <v>6861</v>
      </c>
      <c r="C332" t="s">
        <v>74</v>
      </c>
      <c r="D332" t="s">
        <v>74</v>
      </c>
      <c r="E332" t="s">
        <v>74</v>
      </c>
      <c r="F332" t="s">
        <v>6862</v>
      </c>
      <c r="G332" t="s">
        <v>74</v>
      </c>
      <c r="H332" t="s">
        <v>74</v>
      </c>
      <c r="I332" t="s">
        <v>6863</v>
      </c>
      <c r="J332" t="s">
        <v>904</v>
      </c>
      <c r="K332" t="s">
        <v>74</v>
      </c>
      <c r="L332" t="s">
        <v>74</v>
      </c>
      <c r="M332" t="s">
        <v>78</v>
      </c>
      <c r="N332" t="s">
        <v>79</v>
      </c>
      <c r="O332" t="s">
        <v>74</v>
      </c>
      <c r="P332" t="s">
        <v>74</v>
      </c>
      <c r="Q332" t="s">
        <v>74</v>
      </c>
      <c r="R332" t="s">
        <v>74</v>
      </c>
      <c r="S332" t="s">
        <v>74</v>
      </c>
      <c r="T332" t="s">
        <v>6864</v>
      </c>
      <c r="U332" t="s">
        <v>74</v>
      </c>
      <c r="V332" t="s">
        <v>6865</v>
      </c>
      <c r="W332" t="s">
        <v>6866</v>
      </c>
      <c r="X332" t="s">
        <v>6867</v>
      </c>
      <c r="Y332" t="s">
        <v>6868</v>
      </c>
      <c r="Z332" t="s">
        <v>6869</v>
      </c>
      <c r="AA332" t="s">
        <v>6870</v>
      </c>
      <c r="AB332" t="s">
        <v>6871</v>
      </c>
      <c r="AC332" t="s">
        <v>6872</v>
      </c>
      <c r="AD332" t="s">
        <v>6873</v>
      </c>
      <c r="AE332" t="s">
        <v>6874</v>
      </c>
      <c r="AF332" t="s">
        <v>74</v>
      </c>
      <c r="AG332">
        <v>62</v>
      </c>
      <c r="AH332">
        <v>6</v>
      </c>
      <c r="AI332">
        <v>6</v>
      </c>
      <c r="AJ332">
        <v>2</v>
      </c>
      <c r="AK332">
        <v>20</v>
      </c>
      <c r="AL332" t="s">
        <v>917</v>
      </c>
      <c r="AM332" t="s">
        <v>390</v>
      </c>
      <c r="AN332" t="s">
        <v>918</v>
      </c>
      <c r="AO332" t="s">
        <v>919</v>
      </c>
      <c r="AP332" t="s">
        <v>920</v>
      </c>
      <c r="AQ332" t="s">
        <v>74</v>
      </c>
      <c r="AR332" t="s">
        <v>921</v>
      </c>
      <c r="AS332" t="s">
        <v>922</v>
      </c>
      <c r="AT332" t="s">
        <v>6822</v>
      </c>
      <c r="AU332">
        <v>2021</v>
      </c>
      <c r="AV332">
        <v>48</v>
      </c>
      <c r="AW332">
        <v>6</v>
      </c>
      <c r="AX332" t="s">
        <v>74</v>
      </c>
      <c r="AY332" t="s">
        <v>74</v>
      </c>
      <c r="AZ332" t="s">
        <v>74</v>
      </c>
      <c r="BA332" t="s">
        <v>74</v>
      </c>
      <c r="BB332" t="s">
        <v>74</v>
      </c>
      <c r="BC332" t="s">
        <v>74</v>
      </c>
      <c r="BD332" t="s">
        <v>6875</v>
      </c>
      <c r="BE332" t="s">
        <v>6876</v>
      </c>
      <c r="BF332" t="str">
        <f>HYPERLINK("http://dx.doi.org/10.1029/2021GL092448","http://dx.doi.org/10.1029/2021GL092448")</f>
        <v>http://dx.doi.org/10.1029/2021GL092448</v>
      </c>
      <c r="BG332" t="s">
        <v>74</v>
      </c>
      <c r="BH332" t="s">
        <v>74</v>
      </c>
      <c r="BI332">
        <v>9</v>
      </c>
      <c r="BJ332" t="s">
        <v>100</v>
      </c>
      <c r="BK332" t="s">
        <v>101</v>
      </c>
      <c r="BL332" t="s">
        <v>102</v>
      </c>
      <c r="BM332" t="s">
        <v>6825</v>
      </c>
      <c r="BN332" t="s">
        <v>74</v>
      </c>
      <c r="BO332" t="s">
        <v>712</v>
      </c>
      <c r="BP332" t="s">
        <v>74</v>
      </c>
      <c r="BQ332" t="s">
        <v>74</v>
      </c>
      <c r="BR332" t="s">
        <v>104</v>
      </c>
      <c r="BS332" t="s">
        <v>6877</v>
      </c>
      <c r="BT332" t="str">
        <f>HYPERLINK("https%3A%2F%2Fwww.webofscience.com%2Fwos%2Fwoscc%2Ffull-record%2FWOS:000635209100038","View Full Record in Web of Science")</f>
        <v>View Full Record in Web of Science</v>
      </c>
    </row>
    <row r="333" spans="1:72" x14ac:dyDescent="0.15">
      <c r="A333" t="s">
        <v>72</v>
      </c>
      <c r="B333" t="s">
        <v>6878</v>
      </c>
      <c r="C333" t="s">
        <v>74</v>
      </c>
      <c r="D333" t="s">
        <v>74</v>
      </c>
      <c r="E333" t="s">
        <v>74</v>
      </c>
      <c r="F333" t="s">
        <v>6879</v>
      </c>
      <c r="G333" t="s">
        <v>74</v>
      </c>
      <c r="H333" t="s">
        <v>74</v>
      </c>
      <c r="I333" t="s">
        <v>6880</v>
      </c>
      <c r="J333" t="s">
        <v>6881</v>
      </c>
      <c r="K333" t="s">
        <v>74</v>
      </c>
      <c r="L333" t="s">
        <v>74</v>
      </c>
      <c r="M333" t="s">
        <v>78</v>
      </c>
      <c r="N333" t="s">
        <v>79</v>
      </c>
      <c r="O333" t="s">
        <v>74</v>
      </c>
      <c r="P333" t="s">
        <v>74</v>
      </c>
      <c r="Q333" t="s">
        <v>74</v>
      </c>
      <c r="R333" t="s">
        <v>74</v>
      </c>
      <c r="S333" t="s">
        <v>74</v>
      </c>
      <c r="T333" t="s">
        <v>6882</v>
      </c>
      <c r="U333" t="s">
        <v>6883</v>
      </c>
      <c r="V333" t="s">
        <v>6884</v>
      </c>
      <c r="W333" t="s">
        <v>6885</v>
      </c>
      <c r="X333" t="s">
        <v>6886</v>
      </c>
      <c r="Y333" t="s">
        <v>6887</v>
      </c>
      <c r="Z333" t="s">
        <v>6888</v>
      </c>
      <c r="AA333" t="s">
        <v>74</v>
      </c>
      <c r="AB333" t="s">
        <v>6889</v>
      </c>
      <c r="AC333" t="s">
        <v>6890</v>
      </c>
      <c r="AD333" t="s">
        <v>6891</v>
      </c>
      <c r="AE333" t="s">
        <v>6892</v>
      </c>
      <c r="AF333" t="s">
        <v>74</v>
      </c>
      <c r="AG333">
        <v>41</v>
      </c>
      <c r="AH333">
        <v>1</v>
      </c>
      <c r="AI333">
        <v>1</v>
      </c>
      <c r="AJ333">
        <v>1</v>
      </c>
      <c r="AK333">
        <v>9</v>
      </c>
      <c r="AL333" t="s">
        <v>2922</v>
      </c>
      <c r="AM333" t="s">
        <v>2923</v>
      </c>
      <c r="AN333" t="s">
        <v>2924</v>
      </c>
      <c r="AO333" t="s">
        <v>6893</v>
      </c>
      <c r="AP333" t="s">
        <v>6894</v>
      </c>
      <c r="AQ333" t="s">
        <v>74</v>
      </c>
      <c r="AR333" t="s">
        <v>6881</v>
      </c>
      <c r="AS333" t="s">
        <v>6895</v>
      </c>
      <c r="AT333" t="s">
        <v>2481</v>
      </c>
      <c r="AU333">
        <v>2021</v>
      </c>
      <c r="AV333">
        <v>60</v>
      </c>
      <c r="AW333">
        <v>3</v>
      </c>
      <c r="AX333" t="s">
        <v>74</v>
      </c>
      <c r="AY333" t="s">
        <v>74</v>
      </c>
      <c r="AZ333" t="s">
        <v>74</v>
      </c>
      <c r="BA333" t="s">
        <v>74</v>
      </c>
      <c r="BB333">
        <v>225</v>
      </c>
      <c r="BC333">
        <v>236</v>
      </c>
      <c r="BD333" t="s">
        <v>74</v>
      </c>
      <c r="BE333" t="s">
        <v>6896</v>
      </c>
      <c r="BF333" t="str">
        <f>HYPERLINK("http://dx.doi.org/10.1080/00318884.2021.1893005","http://dx.doi.org/10.1080/00318884.2021.1893005")</f>
        <v>http://dx.doi.org/10.1080/00318884.2021.1893005</v>
      </c>
      <c r="BG333" t="s">
        <v>74</v>
      </c>
      <c r="BH333" t="s">
        <v>6407</v>
      </c>
      <c r="BI333">
        <v>12</v>
      </c>
      <c r="BJ333" t="s">
        <v>6897</v>
      </c>
      <c r="BK333" t="s">
        <v>101</v>
      </c>
      <c r="BL333" t="s">
        <v>6897</v>
      </c>
      <c r="BM333" t="s">
        <v>6898</v>
      </c>
      <c r="BN333" t="s">
        <v>74</v>
      </c>
      <c r="BO333" t="s">
        <v>74</v>
      </c>
      <c r="BP333" t="s">
        <v>74</v>
      </c>
      <c r="BQ333" t="s">
        <v>74</v>
      </c>
      <c r="BR333" t="s">
        <v>104</v>
      </c>
      <c r="BS333" t="s">
        <v>6899</v>
      </c>
      <c r="BT333" t="str">
        <f>HYPERLINK("https%3A%2F%2Fwww.webofscience.com%2Fwos%2Fwoscc%2Ffull-record%2FWOS:000635411200001","View Full Record in Web of Science")</f>
        <v>View Full Record in Web of Science</v>
      </c>
    </row>
    <row r="334" spans="1:72" x14ac:dyDescent="0.15">
      <c r="A334" t="s">
        <v>72</v>
      </c>
      <c r="B334" t="s">
        <v>6900</v>
      </c>
      <c r="C334" t="s">
        <v>74</v>
      </c>
      <c r="D334" t="s">
        <v>74</v>
      </c>
      <c r="E334" t="s">
        <v>74</v>
      </c>
      <c r="F334" t="s">
        <v>6901</v>
      </c>
      <c r="G334" t="s">
        <v>74</v>
      </c>
      <c r="H334" t="s">
        <v>74</v>
      </c>
      <c r="I334" t="s">
        <v>6902</v>
      </c>
      <c r="J334" t="s">
        <v>904</v>
      </c>
      <c r="K334" t="s">
        <v>74</v>
      </c>
      <c r="L334" t="s">
        <v>74</v>
      </c>
      <c r="M334" t="s">
        <v>78</v>
      </c>
      <c r="N334" t="s">
        <v>79</v>
      </c>
      <c r="O334" t="s">
        <v>74</v>
      </c>
      <c r="P334" t="s">
        <v>74</v>
      </c>
      <c r="Q334" t="s">
        <v>74</v>
      </c>
      <c r="R334" t="s">
        <v>74</v>
      </c>
      <c r="S334" t="s">
        <v>74</v>
      </c>
      <c r="T334" t="s">
        <v>6903</v>
      </c>
      <c r="U334" t="s">
        <v>74</v>
      </c>
      <c r="V334" t="s">
        <v>6904</v>
      </c>
      <c r="W334" t="s">
        <v>6905</v>
      </c>
      <c r="X334" t="s">
        <v>6906</v>
      </c>
      <c r="Y334" t="s">
        <v>6907</v>
      </c>
      <c r="Z334" t="s">
        <v>6908</v>
      </c>
      <c r="AA334" t="s">
        <v>6909</v>
      </c>
      <c r="AB334" t="s">
        <v>6910</v>
      </c>
      <c r="AC334" t="s">
        <v>6911</v>
      </c>
      <c r="AD334" t="s">
        <v>6912</v>
      </c>
      <c r="AE334" t="s">
        <v>6913</v>
      </c>
      <c r="AF334" t="s">
        <v>74</v>
      </c>
      <c r="AG334">
        <v>38</v>
      </c>
      <c r="AH334">
        <v>25</v>
      </c>
      <c r="AI334">
        <v>26</v>
      </c>
      <c r="AJ334">
        <v>0</v>
      </c>
      <c r="AK334">
        <v>7</v>
      </c>
      <c r="AL334" t="s">
        <v>917</v>
      </c>
      <c r="AM334" t="s">
        <v>390</v>
      </c>
      <c r="AN334" t="s">
        <v>918</v>
      </c>
      <c r="AO334" t="s">
        <v>919</v>
      </c>
      <c r="AP334" t="s">
        <v>920</v>
      </c>
      <c r="AQ334" t="s">
        <v>74</v>
      </c>
      <c r="AR334" t="s">
        <v>921</v>
      </c>
      <c r="AS334" t="s">
        <v>922</v>
      </c>
      <c r="AT334" t="s">
        <v>6822</v>
      </c>
      <c r="AU334">
        <v>2021</v>
      </c>
      <c r="AV334">
        <v>48</v>
      </c>
      <c r="AW334">
        <v>6</v>
      </c>
      <c r="AX334" t="s">
        <v>74</v>
      </c>
      <c r="AY334" t="s">
        <v>74</v>
      </c>
      <c r="AZ334" t="s">
        <v>74</v>
      </c>
      <c r="BA334" t="s">
        <v>74</v>
      </c>
      <c r="BB334" t="s">
        <v>74</v>
      </c>
      <c r="BC334" t="s">
        <v>74</v>
      </c>
      <c r="BD334" t="s">
        <v>6914</v>
      </c>
      <c r="BE334" t="s">
        <v>6915</v>
      </c>
      <c r="BF334" t="str">
        <f>HYPERLINK("http://dx.doi.org/10.1029/2020GL091353","http://dx.doi.org/10.1029/2020GL091353")</f>
        <v>http://dx.doi.org/10.1029/2020GL091353</v>
      </c>
      <c r="BG334" t="s">
        <v>74</v>
      </c>
      <c r="BH334" t="s">
        <v>74</v>
      </c>
      <c r="BI334">
        <v>11</v>
      </c>
      <c r="BJ334" t="s">
        <v>100</v>
      </c>
      <c r="BK334" t="s">
        <v>101</v>
      </c>
      <c r="BL334" t="s">
        <v>102</v>
      </c>
      <c r="BM334" t="s">
        <v>6825</v>
      </c>
      <c r="BN334" t="s">
        <v>74</v>
      </c>
      <c r="BO334" t="s">
        <v>74</v>
      </c>
      <c r="BP334" t="s">
        <v>74</v>
      </c>
      <c r="BQ334" t="s">
        <v>74</v>
      </c>
      <c r="BR334" t="s">
        <v>104</v>
      </c>
      <c r="BS334" t="s">
        <v>6916</v>
      </c>
      <c r="BT334" t="str">
        <f>HYPERLINK("https%3A%2F%2Fwww.webofscience.com%2Fwos%2Fwoscc%2Ffull-record%2FWOS:000635209100034","View Full Record in Web of Science")</f>
        <v>View Full Record in Web of Science</v>
      </c>
    </row>
    <row r="335" spans="1:72" x14ac:dyDescent="0.15">
      <c r="A335" t="s">
        <v>72</v>
      </c>
      <c r="B335" t="s">
        <v>6917</v>
      </c>
      <c r="C335" t="s">
        <v>74</v>
      </c>
      <c r="D335" t="s">
        <v>74</v>
      </c>
      <c r="E335" t="s">
        <v>74</v>
      </c>
      <c r="F335" t="s">
        <v>6918</v>
      </c>
      <c r="G335" t="s">
        <v>74</v>
      </c>
      <c r="H335" t="s">
        <v>74</v>
      </c>
      <c r="I335" t="s">
        <v>6919</v>
      </c>
      <c r="J335" t="s">
        <v>6920</v>
      </c>
      <c r="K335" t="s">
        <v>74</v>
      </c>
      <c r="L335" t="s">
        <v>74</v>
      </c>
      <c r="M335" t="s">
        <v>78</v>
      </c>
      <c r="N335" t="s">
        <v>79</v>
      </c>
      <c r="O335" t="s">
        <v>74</v>
      </c>
      <c r="P335" t="s">
        <v>74</v>
      </c>
      <c r="Q335" t="s">
        <v>74</v>
      </c>
      <c r="R335" t="s">
        <v>74</v>
      </c>
      <c r="S335" t="s">
        <v>74</v>
      </c>
      <c r="T335" t="s">
        <v>6921</v>
      </c>
      <c r="U335" t="s">
        <v>6922</v>
      </c>
      <c r="V335" t="s">
        <v>6923</v>
      </c>
      <c r="W335" t="s">
        <v>6924</v>
      </c>
      <c r="X335" t="s">
        <v>6925</v>
      </c>
      <c r="Y335" t="s">
        <v>6926</v>
      </c>
      <c r="Z335" t="s">
        <v>6927</v>
      </c>
      <c r="AA335" t="s">
        <v>74</v>
      </c>
      <c r="AB335" t="s">
        <v>6928</v>
      </c>
      <c r="AC335" t="s">
        <v>6929</v>
      </c>
      <c r="AD335" t="s">
        <v>4449</v>
      </c>
      <c r="AE335" t="s">
        <v>6930</v>
      </c>
      <c r="AF335" t="s">
        <v>74</v>
      </c>
      <c r="AG335">
        <v>41</v>
      </c>
      <c r="AH335">
        <v>2</v>
      </c>
      <c r="AI335">
        <v>2</v>
      </c>
      <c r="AJ335">
        <v>0</v>
      </c>
      <c r="AK335">
        <v>5</v>
      </c>
      <c r="AL335" t="s">
        <v>3291</v>
      </c>
      <c r="AM335" t="s">
        <v>3292</v>
      </c>
      <c r="AN335" t="s">
        <v>3293</v>
      </c>
      <c r="AO335" t="s">
        <v>6931</v>
      </c>
      <c r="AP335" t="s">
        <v>6932</v>
      </c>
      <c r="AQ335" t="s">
        <v>74</v>
      </c>
      <c r="AR335" t="s">
        <v>6933</v>
      </c>
      <c r="AS335" t="s">
        <v>6934</v>
      </c>
      <c r="AT335" t="s">
        <v>3960</v>
      </c>
      <c r="AU335">
        <v>2022</v>
      </c>
      <c r="AV335">
        <v>69</v>
      </c>
      <c r="AW335">
        <v>1</v>
      </c>
      <c r="AX335" t="s">
        <v>74</v>
      </c>
      <c r="AY335" t="s">
        <v>74</v>
      </c>
      <c r="AZ335" t="s">
        <v>74</v>
      </c>
      <c r="BA335" t="s">
        <v>74</v>
      </c>
      <c r="BB335">
        <v>31</v>
      </c>
      <c r="BC335">
        <v>45</v>
      </c>
      <c r="BD335" t="s">
        <v>74</v>
      </c>
      <c r="BE335" t="s">
        <v>6935</v>
      </c>
      <c r="BF335" t="str">
        <f>HYPERLINK("http://dx.doi.org/10.1007/s10228-021-00810-9","http://dx.doi.org/10.1007/s10228-021-00810-9")</f>
        <v>http://dx.doi.org/10.1007/s10228-021-00810-9</v>
      </c>
      <c r="BG335" t="s">
        <v>74</v>
      </c>
      <c r="BH335" t="s">
        <v>6407</v>
      </c>
      <c r="BI335">
        <v>15</v>
      </c>
      <c r="BJ335" t="s">
        <v>6936</v>
      </c>
      <c r="BK335" t="s">
        <v>101</v>
      </c>
      <c r="BL335" t="s">
        <v>6936</v>
      </c>
      <c r="BM335" t="s">
        <v>6937</v>
      </c>
      <c r="BN335" t="s">
        <v>74</v>
      </c>
      <c r="BO335" t="s">
        <v>74</v>
      </c>
      <c r="BP335" t="s">
        <v>74</v>
      </c>
      <c r="BQ335" t="s">
        <v>74</v>
      </c>
      <c r="BR335" t="s">
        <v>104</v>
      </c>
      <c r="BS335" t="s">
        <v>6938</v>
      </c>
      <c r="BT335" t="str">
        <f>HYPERLINK("https%3A%2F%2Fwww.webofscience.com%2Fwos%2Fwoscc%2Ffull-record%2FWOS:000634310500002","View Full Record in Web of Science")</f>
        <v>View Full Record in Web of Science</v>
      </c>
    </row>
    <row r="336" spans="1:72" x14ac:dyDescent="0.15">
      <c r="A336" t="s">
        <v>72</v>
      </c>
      <c r="B336" t="s">
        <v>6939</v>
      </c>
      <c r="C336" t="s">
        <v>74</v>
      </c>
      <c r="D336" t="s">
        <v>74</v>
      </c>
      <c r="E336" t="s">
        <v>74</v>
      </c>
      <c r="F336" t="s">
        <v>6940</v>
      </c>
      <c r="G336" t="s">
        <v>74</v>
      </c>
      <c r="H336" t="s">
        <v>74</v>
      </c>
      <c r="I336" t="s">
        <v>6941</v>
      </c>
      <c r="J336" t="s">
        <v>1666</v>
      </c>
      <c r="K336" t="s">
        <v>74</v>
      </c>
      <c r="L336" t="s">
        <v>74</v>
      </c>
      <c r="M336" t="s">
        <v>78</v>
      </c>
      <c r="N336" t="s">
        <v>79</v>
      </c>
      <c r="O336" t="s">
        <v>74</v>
      </c>
      <c r="P336" t="s">
        <v>74</v>
      </c>
      <c r="Q336" t="s">
        <v>74</v>
      </c>
      <c r="R336" t="s">
        <v>74</v>
      </c>
      <c r="S336" t="s">
        <v>74</v>
      </c>
      <c r="T336" t="s">
        <v>6942</v>
      </c>
      <c r="U336" t="s">
        <v>6943</v>
      </c>
      <c r="V336" t="s">
        <v>6944</v>
      </c>
      <c r="W336" t="s">
        <v>6945</v>
      </c>
      <c r="X336" t="s">
        <v>6946</v>
      </c>
      <c r="Y336" t="s">
        <v>6947</v>
      </c>
      <c r="Z336" t="s">
        <v>6948</v>
      </c>
      <c r="AA336" t="s">
        <v>6949</v>
      </c>
      <c r="AB336" t="s">
        <v>6950</v>
      </c>
      <c r="AC336" t="s">
        <v>6951</v>
      </c>
      <c r="AD336" t="s">
        <v>6952</v>
      </c>
      <c r="AE336" t="s">
        <v>6953</v>
      </c>
      <c r="AF336" t="s">
        <v>74</v>
      </c>
      <c r="AG336">
        <v>151</v>
      </c>
      <c r="AH336">
        <v>10</v>
      </c>
      <c r="AI336">
        <v>10</v>
      </c>
      <c r="AJ336">
        <v>6</v>
      </c>
      <c r="AK336">
        <v>17</v>
      </c>
      <c r="AL336" t="s">
        <v>1058</v>
      </c>
      <c r="AM336" t="s">
        <v>891</v>
      </c>
      <c r="AN336" t="s">
        <v>1059</v>
      </c>
      <c r="AO336" t="s">
        <v>1679</v>
      </c>
      <c r="AP336" t="s">
        <v>1680</v>
      </c>
      <c r="AQ336" t="s">
        <v>74</v>
      </c>
      <c r="AR336" t="s">
        <v>1681</v>
      </c>
      <c r="AS336" t="s">
        <v>1682</v>
      </c>
      <c r="AT336" t="s">
        <v>4706</v>
      </c>
      <c r="AU336">
        <v>2021</v>
      </c>
      <c r="AV336">
        <v>259</v>
      </c>
      <c r="AW336" t="s">
        <v>74</v>
      </c>
      <c r="AX336" t="s">
        <v>74</v>
      </c>
      <c r="AY336" t="s">
        <v>74</v>
      </c>
      <c r="AZ336" t="s">
        <v>74</v>
      </c>
      <c r="BA336" t="s">
        <v>74</v>
      </c>
      <c r="BB336" t="s">
        <v>74</v>
      </c>
      <c r="BC336" t="s">
        <v>74</v>
      </c>
      <c r="BD336">
        <v>106905</v>
      </c>
      <c r="BE336" t="s">
        <v>6954</v>
      </c>
      <c r="BF336" t="str">
        <f>HYPERLINK("http://dx.doi.org/10.1016/j.quascirev.2021.106905","http://dx.doi.org/10.1016/j.quascirev.2021.106905")</f>
        <v>http://dx.doi.org/10.1016/j.quascirev.2021.106905</v>
      </c>
      <c r="BG336" t="s">
        <v>74</v>
      </c>
      <c r="BH336" t="s">
        <v>6407</v>
      </c>
      <c r="BI336">
        <v>18</v>
      </c>
      <c r="BJ336" t="s">
        <v>1685</v>
      </c>
      <c r="BK336" t="s">
        <v>101</v>
      </c>
      <c r="BL336" t="s">
        <v>1686</v>
      </c>
      <c r="BM336" t="s">
        <v>5452</v>
      </c>
      <c r="BN336" t="s">
        <v>74</v>
      </c>
      <c r="BO336" t="s">
        <v>227</v>
      </c>
      <c r="BP336" t="s">
        <v>74</v>
      </c>
      <c r="BQ336" t="s">
        <v>74</v>
      </c>
      <c r="BR336" t="s">
        <v>104</v>
      </c>
      <c r="BS336" t="s">
        <v>6955</v>
      </c>
      <c r="BT336" t="str">
        <f>HYPERLINK("https%3A%2F%2Fwww.webofscience.com%2Fwos%2Fwoscc%2Ffull-record%2FWOS:000644423800008","View Full Record in Web of Science")</f>
        <v>View Full Record in Web of Science</v>
      </c>
    </row>
    <row r="337" spans="1:72" x14ac:dyDescent="0.15">
      <c r="A337" t="s">
        <v>72</v>
      </c>
      <c r="B337" t="s">
        <v>6956</v>
      </c>
      <c r="C337" t="s">
        <v>74</v>
      </c>
      <c r="D337" t="s">
        <v>74</v>
      </c>
      <c r="E337" t="s">
        <v>74</v>
      </c>
      <c r="F337" t="s">
        <v>6957</v>
      </c>
      <c r="G337" t="s">
        <v>74</v>
      </c>
      <c r="H337" t="s">
        <v>74</v>
      </c>
      <c r="I337" t="s">
        <v>6958</v>
      </c>
      <c r="J337" t="s">
        <v>1833</v>
      </c>
      <c r="K337" t="s">
        <v>74</v>
      </c>
      <c r="L337" t="s">
        <v>74</v>
      </c>
      <c r="M337" t="s">
        <v>78</v>
      </c>
      <c r="N337" t="s">
        <v>79</v>
      </c>
      <c r="O337" t="s">
        <v>74</v>
      </c>
      <c r="P337" t="s">
        <v>74</v>
      </c>
      <c r="Q337" t="s">
        <v>74</v>
      </c>
      <c r="R337" t="s">
        <v>74</v>
      </c>
      <c r="S337" t="s">
        <v>74</v>
      </c>
      <c r="T337" t="s">
        <v>6959</v>
      </c>
      <c r="U337" t="s">
        <v>6960</v>
      </c>
      <c r="V337" t="s">
        <v>6961</v>
      </c>
      <c r="W337" t="s">
        <v>6962</v>
      </c>
      <c r="X337" t="s">
        <v>6963</v>
      </c>
      <c r="Y337" t="s">
        <v>6964</v>
      </c>
      <c r="Z337" t="s">
        <v>6965</v>
      </c>
      <c r="AA337" t="s">
        <v>6966</v>
      </c>
      <c r="AB337" t="s">
        <v>6967</v>
      </c>
      <c r="AC337" t="s">
        <v>6968</v>
      </c>
      <c r="AD337" t="s">
        <v>6969</v>
      </c>
      <c r="AE337" t="s">
        <v>6970</v>
      </c>
      <c r="AF337" t="s">
        <v>74</v>
      </c>
      <c r="AG337">
        <v>108</v>
      </c>
      <c r="AH337">
        <v>11</v>
      </c>
      <c r="AI337">
        <v>12</v>
      </c>
      <c r="AJ337">
        <v>2</v>
      </c>
      <c r="AK337">
        <v>20</v>
      </c>
      <c r="AL337" t="s">
        <v>917</v>
      </c>
      <c r="AM337" t="s">
        <v>390</v>
      </c>
      <c r="AN337" t="s">
        <v>918</v>
      </c>
      <c r="AO337" t="s">
        <v>1846</v>
      </c>
      <c r="AP337" t="s">
        <v>1847</v>
      </c>
      <c r="AQ337" t="s">
        <v>74</v>
      </c>
      <c r="AR337" t="s">
        <v>1848</v>
      </c>
      <c r="AS337" t="s">
        <v>1849</v>
      </c>
      <c r="AT337" t="s">
        <v>6971</v>
      </c>
      <c r="AU337">
        <v>2021</v>
      </c>
      <c r="AV337">
        <v>126</v>
      </c>
      <c r="AW337">
        <v>6</v>
      </c>
      <c r="AX337" t="s">
        <v>74</v>
      </c>
      <c r="AY337" t="s">
        <v>74</v>
      </c>
      <c r="AZ337" t="s">
        <v>74</v>
      </c>
      <c r="BA337" t="s">
        <v>74</v>
      </c>
      <c r="BB337" t="s">
        <v>74</v>
      </c>
      <c r="BC337" t="s">
        <v>74</v>
      </c>
      <c r="BD337" t="s">
        <v>6972</v>
      </c>
      <c r="BE337" t="s">
        <v>6973</v>
      </c>
      <c r="BF337" t="str">
        <f>HYPERLINK("http://dx.doi.org/10.1029/2020JD033583","http://dx.doi.org/10.1029/2020JD033583")</f>
        <v>http://dx.doi.org/10.1029/2020JD033583</v>
      </c>
      <c r="BG337" t="s">
        <v>74</v>
      </c>
      <c r="BH337" t="s">
        <v>74</v>
      </c>
      <c r="BI337">
        <v>20</v>
      </c>
      <c r="BJ337" t="s">
        <v>129</v>
      </c>
      <c r="BK337" t="s">
        <v>101</v>
      </c>
      <c r="BL337" t="s">
        <v>129</v>
      </c>
      <c r="BM337" t="s">
        <v>6974</v>
      </c>
      <c r="BN337" t="s">
        <v>74</v>
      </c>
      <c r="BO337" t="s">
        <v>6975</v>
      </c>
      <c r="BP337" t="s">
        <v>74</v>
      </c>
      <c r="BQ337" t="s">
        <v>74</v>
      </c>
      <c r="BR337" t="s">
        <v>104</v>
      </c>
      <c r="BS337" t="s">
        <v>6976</v>
      </c>
      <c r="BT337" t="str">
        <f>HYPERLINK("https%3A%2F%2Fwww.webofscience.com%2Fwos%2Fwoscc%2Ffull-record%2FWOS:000634788300022","View Full Record in Web of Science")</f>
        <v>View Full Record in Web of Science</v>
      </c>
    </row>
    <row r="338" spans="1:72" x14ac:dyDescent="0.15">
      <c r="A338" t="s">
        <v>72</v>
      </c>
      <c r="B338" t="s">
        <v>6977</v>
      </c>
      <c r="C338" t="s">
        <v>74</v>
      </c>
      <c r="D338" t="s">
        <v>74</v>
      </c>
      <c r="E338" t="s">
        <v>74</v>
      </c>
      <c r="F338" t="s">
        <v>6978</v>
      </c>
      <c r="G338" t="s">
        <v>74</v>
      </c>
      <c r="H338" t="s">
        <v>74</v>
      </c>
      <c r="I338" t="s">
        <v>6979</v>
      </c>
      <c r="J338" t="s">
        <v>1833</v>
      </c>
      <c r="K338" t="s">
        <v>74</v>
      </c>
      <c r="L338" t="s">
        <v>74</v>
      </c>
      <c r="M338" t="s">
        <v>78</v>
      </c>
      <c r="N338" t="s">
        <v>79</v>
      </c>
      <c r="O338" t="s">
        <v>74</v>
      </c>
      <c r="P338" t="s">
        <v>74</v>
      </c>
      <c r="Q338" t="s">
        <v>74</v>
      </c>
      <c r="R338" t="s">
        <v>74</v>
      </c>
      <c r="S338" t="s">
        <v>74</v>
      </c>
      <c r="T338" t="s">
        <v>6980</v>
      </c>
      <c r="U338" t="s">
        <v>6981</v>
      </c>
      <c r="V338" t="s">
        <v>6982</v>
      </c>
      <c r="W338" t="s">
        <v>6983</v>
      </c>
      <c r="X338" t="s">
        <v>6984</v>
      </c>
      <c r="Y338" t="s">
        <v>6985</v>
      </c>
      <c r="Z338" t="s">
        <v>6986</v>
      </c>
      <c r="AA338" t="s">
        <v>6987</v>
      </c>
      <c r="AB338" t="s">
        <v>6988</v>
      </c>
      <c r="AC338" t="s">
        <v>6989</v>
      </c>
      <c r="AD338" t="s">
        <v>6990</v>
      </c>
      <c r="AE338" t="s">
        <v>6991</v>
      </c>
      <c r="AF338" t="s">
        <v>74</v>
      </c>
      <c r="AG338">
        <v>64</v>
      </c>
      <c r="AH338">
        <v>15</v>
      </c>
      <c r="AI338">
        <v>15</v>
      </c>
      <c r="AJ338">
        <v>11</v>
      </c>
      <c r="AK338">
        <v>106</v>
      </c>
      <c r="AL338" t="s">
        <v>917</v>
      </c>
      <c r="AM338" t="s">
        <v>390</v>
      </c>
      <c r="AN338" t="s">
        <v>918</v>
      </c>
      <c r="AO338" t="s">
        <v>1846</v>
      </c>
      <c r="AP338" t="s">
        <v>1847</v>
      </c>
      <c r="AQ338" t="s">
        <v>74</v>
      </c>
      <c r="AR338" t="s">
        <v>1848</v>
      </c>
      <c r="AS338" t="s">
        <v>1849</v>
      </c>
      <c r="AT338" t="s">
        <v>6971</v>
      </c>
      <c r="AU338">
        <v>2021</v>
      </c>
      <c r="AV338">
        <v>126</v>
      </c>
      <c r="AW338">
        <v>6</v>
      </c>
      <c r="AX338" t="s">
        <v>74</v>
      </c>
      <c r="AY338" t="s">
        <v>74</v>
      </c>
      <c r="AZ338" t="s">
        <v>74</v>
      </c>
      <c r="BA338" t="s">
        <v>74</v>
      </c>
      <c r="BB338" t="s">
        <v>74</v>
      </c>
      <c r="BC338" t="s">
        <v>74</v>
      </c>
      <c r="BD338" t="s">
        <v>6992</v>
      </c>
      <c r="BE338" t="s">
        <v>6993</v>
      </c>
      <c r="BF338" t="str">
        <f>HYPERLINK("http://dx.doi.org/10.1029/2020JD033892","http://dx.doi.org/10.1029/2020JD033892")</f>
        <v>http://dx.doi.org/10.1029/2020JD033892</v>
      </c>
      <c r="BG338" t="s">
        <v>74</v>
      </c>
      <c r="BH338" t="s">
        <v>74</v>
      </c>
      <c r="BI338">
        <v>15</v>
      </c>
      <c r="BJ338" t="s">
        <v>129</v>
      </c>
      <c r="BK338" t="s">
        <v>101</v>
      </c>
      <c r="BL338" t="s">
        <v>129</v>
      </c>
      <c r="BM338" t="s">
        <v>6974</v>
      </c>
      <c r="BN338" t="s">
        <v>74</v>
      </c>
      <c r="BO338" t="s">
        <v>74</v>
      </c>
      <c r="BP338" t="s">
        <v>74</v>
      </c>
      <c r="BQ338" t="s">
        <v>74</v>
      </c>
      <c r="BR338" t="s">
        <v>104</v>
      </c>
      <c r="BS338" t="s">
        <v>6994</v>
      </c>
      <c r="BT338" t="str">
        <f>HYPERLINK("https%3A%2F%2Fwww.webofscience.com%2Fwos%2Fwoscc%2Ffull-record%2FWOS:000634788300031","View Full Record in Web of Science")</f>
        <v>View Full Record in Web of Science</v>
      </c>
    </row>
    <row r="339" spans="1:72" x14ac:dyDescent="0.15">
      <c r="A339" t="s">
        <v>72</v>
      </c>
      <c r="B339" t="s">
        <v>6995</v>
      </c>
      <c r="C339" t="s">
        <v>74</v>
      </c>
      <c r="D339" t="s">
        <v>74</v>
      </c>
      <c r="E339" t="s">
        <v>74</v>
      </c>
      <c r="F339" t="s">
        <v>6996</v>
      </c>
      <c r="G339" t="s">
        <v>74</v>
      </c>
      <c r="H339" t="s">
        <v>74</v>
      </c>
      <c r="I339" t="s">
        <v>6997</v>
      </c>
      <c r="J339" t="s">
        <v>1833</v>
      </c>
      <c r="K339" t="s">
        <v>74</v>
      </c>
      <c r="L339" t="s">
        <v>74</v>
      </c>
      <c r="M339" t="s">
        <v>78</v>
      </c>
      <c r="N339" t="s">
        <v>79</v>
      </c>
      <c r="O339" t="s">
        <v>74</v>
      </c>
      <c r="P339" t="s">
        <v>74</v>
      </c>
      <c r="Q339" t="s">
        <v>74</v>
      </c>
      <c r="R339" t="s">
        <v>74</v>
      </c>
      <c r="S339" t="s">
        <v>74</v>
      </c>
      <c r="T339" t="s">
        <v>74</v>
      </c>
      <c r="U339" t="s">
        <v>74</v>
      </c>
      <c r="V339" t="s">
        <v>6998</v>
      </c>
      <c r="W339" t="s">
        <v>6999</v>
      </c>
      <c r="X339" t="s">
        <v>7000</v>
      </c>
      <c r="Y339" t="s">
        <v>7001</v>
      </c>
      <c r="Z339" t="s">
        <v>7002</v>
      </c>
      <c r="AA339" t="s">
        <v>74</v>
      </c>
      <c r="AB339" t="s">
        <v>7003</v>
      </c>
      <c r="AC339" t="s">
        <v>7004</v>
      </c>
      <c r="AD339" t="s">
        <v>7005</v>
      </c>
      <c r="AE339" t="s">
        <v>7006</v>
      </c>
      <c r="AF339" t="s">
        <v>74</v>
      </c>
      <c r="AG339">
        <v>62</v>
      </c>
      <c r="AH339">
        <v>14</v>
      </c>
      <c r="AI339">
        <v>14</v>
      </c>
      <c r="AJ339">
        <v>2</v>
      </c>
      <c r="AK339">
        <v>9</v>
      </c>
      <c r="AL339" t="s">
        <v>917</v>
      </c>
      <c r="AM339" t="s">
        <v>390</v>
      </c>
      <c r="AN339" t="s">
        <v>918</v>
      </c>
      <c r="AO339" t="s">
        <v>1846</v>
      </c>
      <c r="AP339" t="s">
        <v>1847</v>
      </c>
      <c r="AQ339" t="s">
        <v>74</v>
      </c>
      <c r="AR339" t="s">
        <v>1848</v>
      </c>
      <c r="AS339" t="s">
        <v>1849</v>
      </c>
      <c r="AT339" t="s">
        <v>6971</v>
      </c>
      <c r="AU339">
        <v>2021</v>
      </c>
      <c r="AV339">
        <v>126</v>
      </c>
      <c r="AW339">
        <v>6</v>
      </c>
      <c r="AX339" t="s">
        <v>74</v>
      </c>
      <c r="AY339" t="s">
        <v>74</v>
      </c>
      <c r="AZ339" t="s">
        <v>74</v>
      </c>
      <c r="BA339" t="s">
        <v>74</v>
      </c>
      <c r="BB339" t="s">
        <v>74</v>
      </c>
      <c r="BC339" t="s">
        <v>74</v>
      </c>
      <c r="BD339" t="s">
        <v>7007</v>
      </c>
      <c r="BE339" t="s">
        <v>7008</v>
      </c>
      <c r="BF339" t="str">
        <f>HYPERLINK("http://dx.doi.org/10.1029/2020JD033607","http://dx.doi.org/10.1029/2020JD033607")</f>
        <v>http://dx.doi.org/10.1029/2020JD033607</v>
      </c>
      <c r="BG339" t="s">
        <v>74</v>
      </c>
      <c r="BH339" t="s">
        <v>74</v>
      </c>
      <c r="BI339">
        <v>20</v>
      </c>
      <c r="BJ339" t="s">
        <v>129</v>
      </c>
      <c r="BK339" t="s">
        <v>101</v>
      </c>
      <c r="BL339" t="s">
        <v>129</v>
      </c>
      <c r="BM339" t="s">
        <v>6974</v>
      </c>
      <c r="BN339" t="s">
        <v>74</v>
      </c>
      <c r="BO339" t="s">
        <v>496</v>
      </c>
      <c r="BP339" t="s">
        <v>74</v>
      </c>
      <c r="BQ339" t="s">
        <v>74</v>
      </c>
      <c r="BR339" t="s">
        <v>104</v>
      </c>
      <c r="BS339" t="s">
        <v>7009</v>
      </c>
      <c r="BT339" t="str">
        <f>HYPERLINK("https%3A%2F%2Fwww.webofscience.com%2Fwos%2Fwoscc%2Ffull-record%2FWOS:000634788300013","View Full Record in Web of Science")</f>
        <v>View Full Record in Web of Science</v>
      </c>
    </row>
    <row r="340" spans="1:72" x14ac:dyDescent="0.15">
      <c r="A340" t="s">
        <v>72</v>
      </c>
      <c r="B340" t="s">
        <v>7010</v>
      </c>
      <c r="C340" t="s">
        <v>74</v>
      </c>
      <c r="D340" t="s">
        <v>74</v>
      </c>
      <c r="E340" t="s">
        <v>74</v>
      </c>
      <c r="F340" t="s">
        <v>7011</v>
      </c>
      <c r="G340" t="s">
        <v>74</v>
      </c>
      <c r="H340" t="s">
        <v>74</v>
      </c>
      <c r="I340" t="s">
        <v>7012</v>
      </c>
      <c r="J340" t="s">
        <v>1833</v>
      </c>
      <c r="K340" t="s">
        <v>74</v>
      </c>
      <c r="L340" t="s">
        <v>74</v>
      </c>
      <c r="M340" t="s">
        <v>78</v>
      </c>
      <c r="N340" t="s">
        <v>79</v>
      </c>
      <c r="O340" t="s">
        <v>74</v>
      </c>
      <c r="P340" t="s">
        <v>74</v>
      </c>
      <c r="Q340" t="s">
        <v>74</v>
      </c>
      <c r="R340" t="s">
        <v>74</v>
      </c>
      <c r="S340" t="s">
        <v>74</v>
      </c>
      <c r="T340" t="s">
        <v>7013</v>
      </c>
      <c r="U340" t="s">
        <v>7014</v>
      </c>
      <c r="V340" t="s">
        <v>7015</v>
      </c>
      <c r="W340" t="s">
        <v>7016</v>
      </c>
      <c r="X340" t="s">
        <v>7017</v>
      </c>
      <c r="Y340" t="s">
        <v>7018</v>
      </c>
      <c r="Z340" t="s">
        <v>7019</v>
      </c>
      <c r="AA340" t="s">
        <v>7020</v>
      </c>
      <c r="AB340" t="s">
        <v>7021</v>
      </c>
      <c r="AC340" t="s">
        <v>7022</v>
      </c>
      <c r="AD340" t="s">
        <v>7023</v>
      </c>
      <c r="AE340" t="s">
        <v>7024</v>
      </c>
      <c r="AF340" t="s">
        <v>74</v>
      </c>
      <c r="AG340">
        <v>63</v>
      </c>
      <c r="AH340">
        <v>2</v>
      </c>
      <c r="AI340">
        <v>2</v>
      </c>
      <c r="AJ340">
        <v>0</v>
      </c>
      <c r="AK340">
        <v>3</v>
      </c>
      <c r="AL340" t="s">
        <v>917</v>
      </c>
      <c r="AM340" t="s">
        <v>390</v>
      </c>
      <c r="AN340" t="s">
        <v>918</v>
      </c>
      <c r="AO340" t="s">
        <v>1846</v>
      </c>
      <c r="AP340" t="s">
        <v>1847</v>
      </c>
      <c r="AQ340" t="s">
        <v>74</v>
      </c>
      <c r="AR340" t="s">
        <v>1848</v>
      </c>
      <c r="AS340" t="s">
        <v>1849</v>
      </c>
      <c r="AT340" t="s">
        <v>6971</v>
      </c>
      <c r="AU340">
        <v>2021</v>
      </c>
      <c r="AV340">
        <v>126</v>
      </c>
      <c r="AW340">
        <v>6</v>
      </c>
      <c r="AX340" t="s">
        <v>74</v>
      </c>
      <c r="AY340" t="s">
        <v>74</v>
      </c>
      <c r="AZ340" t="s">
        <v>74</v>
      </c>
      <c r="BA340" t="s">
        <v>74</v>
      </c>
      <c r="BB340" t="s">
        <v>74</v>
      </c>
      <c r="BC340" t="s">
        <v>74</v>
      </c>
      <c r="BD340" t="s">
        <v>7025</v>
      </c>
      <c r="BE340" t="s">
        <v>7026</v>
      </c>
      <c r="BF340" t="str">
        <f>HYPERLINK("http://dx.doi.org/10.1029/2020JD033572","http://dx.doi.org/10.1029/2020JD033572")</f>
        <v>http://dx.doi.org/10.1029/2020JD033572</v>
      </c>
      <c r="BG340" t="s">
        <v>74</v>
      </c>
      <c r="BH340" t="s">
        <v>74</v>
      </c>
      <c r="BI340">
        <v>14</v>
      </c>
      <c r="BJ340" t="s">
        <v>129</v>
      </c>
      <c r="BK340" t="s">
        <v>101</v>
      </c>
      <c r="BL340" t="s">
        <v>129</v>
      </c>
      <c r="BM340" t="s">
        <v>6974</v>
      </c>
      <c r="BN340" t="s">
        <v>74</v>
      </c>
      <c r="BO340" t="s">
        <v>74</v>
      </c>
      <c r="BP340" t="s">
        <v>74</v>
      </c>
      <c r="BQ340" t="s">
        <v>74</v>
      </c>
      <c r="BR340" t="s">
        <v>104</v>
      </c>
      <c r="BS340" t="s">
        <v>7027</v>
      </c>
      <c r="BT340" t="str">
        <f>HYPERLINK("https%3A%2F%2Fwww.webofscience.com%2Fwos%2Fwoscc%2Ffull-record%2FWOS:000634788300021","View Full Record in Web of Science")</f>
        <v>View Full Record in Web of Science</v>
      </c>
    </row>
    <row r="341" spans="1:72" x14ac:dyDescent="0.15">
      <c r="A341" t="s">
        <v>72</v>
      </c>
      <c r="B341" t="s">
        <v>7028</v>
      </c>
      <c r="C341" t="s">
        <v>74</v>
      </c>
      <c r="D341" t="s">
        <v>74</v>
      </c>
      <c r="E341" t="s">
        <v>74</v>
      </c>
      <c r="F341" t="s">
        <v>7029</v>
      </c>
      <c r="G341" t="s">
        <v>74</v>
      </c>
      <c r="H341" t="s">
        <v>74</v>
      </c>
      <c r="I341" t="s">
        <v>7030</v>
      </c>
      <c r="J341" t="s">
        <v>1833</v>
      </c>
      <c r="K341" t="s">
        <v>74</v>
      </c>
      <c r="L341" t="s">
        <v>74</v>
      </c>
      <c r="M341" t="s">
        <v>78</v>
      </c>
      <c r="N341" t="s">
        <v>79</v>
      </c>
      <c r="O341" t="s">
        <v>74</v>
      </c>
      <c r="P341" t="s">
        <v>74</v>
      </c>
      <c r="Q341" t="s">
        <v>74</v>
      </c>
      <c r="R341" t="s">
        <v>74</v>
      </c>
      <c r="S341" t="s">
        <v>74</v>
      </c>
      <c r="T341" t="s">
        <v>7031</v>
      </c>
      <c r="U341" t="s">
        <v>7032</v>
      </c>
      <c r="V341" t="s">
        <v>7033</v>
      </c>
      <c r="W341" t="s">
        <v>7034</v>
      </c>
      <c r="X341" t="s">
        <v>7035</v>
      </c>
      <c r="Y341" t="s">
        <v>7036</v>
      </c>
      <c r="Z341" t="s">
        <v>7037</v>
      </c>
      <c r="AA341" t="s">
        <v>7038</v>
      </c>
      <c r="AB341" t="s">
        <v>7039</v>
      </c>
      <c r="AC341" t="s">
        <v>7040</v>
      </c>
      <c r="AD341" t="s">
        <v>7041</v>
      </c>
      <c r="AE341" t="s">
        <v>7042</v>
      </c>
      <c r="AF341" t="s">
        <v>74</v>
      </c>
      <c r="AG341">
        <v>50</v>
      </c>
      <c r="AH341">
        <v>4</v>
      </c>
      <c r="AI341">
        <v>6</v>
      </c>
      <c r="AJ341">
        <v>3</v>
      </c>
      <c r="AK341">
        <v>26</v>
      </c>
      <c r="AL341" t="s">
        <v>917</v>
      </c>
      <c r="AM341" t="s">
        <v>390</v>
      </c>
      <c r="AN341" t="s">
        <v>918</v>
      </c>
      <c r="AO341" t="s">
        <v>1846</v>
      </c>
      <c r="AP341" t="s">
        <v>1847</v>
      </c>
      <c r="AQ341" t="s">
        <v>74</v>
      </c>
      <c r="AR341" t="s">
        <v>1848</v>
      </c>
      <c r="AS341" t="s">
        <v>1849</v>
      </c>
      <c r="AT341" t="s">
        <v>6971</v>
      </c>
      <c r="AU341">
        <v>2021</v>
      </c>
      <c r="AV341">
        <v>126</v>
      </c>
      <c r="AW341">
        <v>6</v>
      </c>
      <c r="AX341" t="s">
        <v>74</v>
      </c>
      <c r="AY341" t="s">
        <v>74</v>
      </c>
      <c r="AZ341" t="s">
        <v>74</v>
      </c>
      <c r="BA341" t="s">
        <v>74</v>
      </c>
      <c r="BB341" t="s">
        <v>74</v>
      </c>
      <c r="BC341" t="s">
        <v>74</v>
      </c>
      <c r="BD341" t="s">
        <v>7043</v>
      </c>
      <c r="BE341" t="s">
        <v>7044</v>
      </c>
      <c r="BF341" t="str">
        <f>HYPERLINK("http://dx.doi.org/10.1029/2020JD034301","http://dx.doi.org/10.1029/2020JD034301")</f>
        <v>http://dx.doi.org/10.1029/2020JD034301</v>
      </c>
      <c r="BG341" t="s">
        <v>74</v>
      </c>
      <c r="BH341" t="s">
        <v>74</v>
      </c>
      <c r="BI341">
        <v>16</v>
      </c>
      <c r="BJ341" t="s">
        <v>129</v>
      </c>
      <c r="BK341" t="s">
        <v>101</v>
      </c>
      <c r="BL341" t="s">
        <v>129</v>
      </c>
      <c r="BM341" t="s">
        <v>6974</v>
      </c>
      <c r="BN341" t="s">
        <v>74</v>
      </c>
      <c r="BO341" t="s">
        <v>74</v>
      </c>
      <c r="BP341" t="s">
        <v>74</v>
      </c>
      <c r="BQ341" t="s">
        <v>74</v>
      </c>
      <c r="BR341" t="s">
        <v>104</v>
      </c>
      <c r="BS341" t="s">
        <v>7045</v>
      </c>
      <c r="BT341" t="str">
        <f>HYPERLINK("https%3A%2F%2Fwww.webofscience.com%2Fwos%2Fwoscc%2Ffull-record%2FWOS:000634788300011","View Full Record in Web of Science")</f>
        <v>View Full Record in Web of Science</v>
      </c>
    </row>
    <row r="342" spans="1:72" x14ac:dyDescent="0.15">
      <c r="A342" t="s">
        <v>72</v>
      </c>
      <c r="B342" t="s">
        <v>7046</v>
      </c>
      <c r="C342" t="s">
        <v>74</v>
      </c>
      <c r="D342" t="s">
        <v>74</v>
      </c>
      <c r="E342" t="s">
        <v>74</v>
      </c>
      <c r="F342" t="s">
        <v>7047</v>
      </c>
      <c r="G342" t="s">
        <v>74</v>
      </c>
      <c r="H342" t="s">
        <v>74</v>
      </c>
      <c r="I342" t="s">
        <v>7048</v>
      </c>
      <c r="J342" t="s">
        <v>1714</v>
      </c>
      <c r="K342" t="s">
        <v>74</v>
      </c>
      <c r="L342" t="s">
        <v>74</v>
      </c>
      <c r="M342" t="s">
        <v>78</v>
      </c>
      <c r="N342" t="s">
        <v>79</v>
      </c>
      <c r="O342" t="s">
        <v>74</v>
      </c>
      <c r="P342" t="s">
        <v>74</v>
      </c>
      <c r="Q342" t="s">
        <v>74</v>
      </c>
      <c r="R342" t="s">
        <v>74</v>
      </c>
      <c r="S342" t="s">
        <v>74</v>
      </c>
      <c r="T342" t="s">
        <v>7049</v>
      </c>
      <c r="U342" t="s">
        <v>7050</v>
      </c>
      <c r="V342" t="s">
        <v>7051</v>
      </c>
      <c r="W342" t="s">
        <v>7052</v>
      </c>
      <c r="X342" t="s">
        <v>7053</v>
      </c>
      <c r="Y342" t="s">
        <v>7054</v>
      </c>
      <c r="Z342" t="s">
        <v>7055</v>
      </c>
      <c r="AA342" t="s">
        <v>7056</v>
      </c>
      <c r="AB342" t="s">
        <v>7057</v>
      </c>
      <c r="AC342" t="s">
        <v>7058</v>
      </c>
      <c r="AD342" t="s">
        <v>7059</v>
      </c>
      <c r="AE342" t="s">
        <v>7060</v>
      </c>
      <c r="AF342" t="s">
        <v>74</v>
      </c>
      <c r="AG342">
        <v>31</v>
      </c>
      <c r="AH342">
        <v>5</v>
      </c>
      <c r="AI342">
        <v>5</v>
      </c>
      <c r="AJ342">
        <v>1</v>
      </c>
      <c r="AK342">
        <v>10</v>
      </c>
      <c r="AL342" t="s">
        <v>576</v>
      </c>
      <c r="AM342" t="s">
        <v>577</v>
      </c>
      <c r="AN342" t="s">
        <v>578</v>
      </c>
      <c r="AO342" t="s">
        <v>1726</v>
      </c>
      <c r="AP342" t="s">
        <v>1727</v>
      </c>
      <c r="AQ342" t="s">
        <v>74</v>
      </c>
      <c r="AR342" t="s">
        <v>1714</v>
      </c>
      <c r="AS342" t="s">
        <v>1728</v>
      </c>
      <c r="AT342" t="s">
        <v>1364</v>
      </c>
      <c r="AU342">
        <v>2021</v>
      </c>
      <c r="AV342">
        <v>203</v>
      </c>
      <c r="AW342" t="s">
        <v>74</v>
      </c>
      <c r="AX342" t="s">
        <v>74</v>
      </c>
      <c r="AY342" t="s">
        <v>74</v>
      </c>
      <c r="AZ342" t="s">
        <v>74</v>
      </c>
      <c r="BA342" t="s">
        <v>74</v>
      </c>
      <c r="BB342" t="s">
        <v>74</v>
      </c>
      <c r="BC342" t="s">
        <v>74</v>
      </c>
      <c r="BD342">
        <v>105289</v>
      </c>
      <c r="BE342" t="s">
        <v>7061</v>
      </c>
      <c r="BF342" t="str">
        <f>HYPERLINK("http://dx.doi.org/10.1016/j.catena.2021.105289","http://dx.doi.org/10.1016/j.catena.2021.105289")</f>
        <v>http://dx.doi.org/10.1016/j.catena.2021.105289</v>
      </c>
      <c r="BG342" t="s">
        <v>74</v>
      </c>
      <c r="BH342" t="s">
        <v>6407</v>
      </c>
      <c r="BI342">
        <v>10</v>
      </c>
      <c r="BJ342" t="s">
        <v>1730</v>
      </c>
      <c r="BK342" t="s">
        <v>101</v>
      </c>
      <c r="BL342" t="s">
        <v>1731</v>
      </c>
      <c r="BM342" t="s">
        <v>1732</v>
      </c>
      <c r="BN342" t="s">
        <v>74</v>
      </c>
      <c r="BO342" t="s">
        <v>74</v>
      </c>
      <c r="BP342" t="s">
        <v>74</v>
      </c>
      <c r="BQ342" t="s">
        <v>74</v>
      </c>
      <c r="BR342" t="s">
        <v>104</v>
      </c>
      <c r="BS342" t="s">
        <v>7062</v>
      </c>
      <c r="BT342" t="str">
        <f>HYPERLINK("https%3A%2F%2Fwww.webofscience.com%2Fwos%2Fwoscc%2Ffull-record%2FWOS:000654354000007","View Full Record in Web of Science")</f>
        <v>View Full Record in Web of Science</v>
      </c>
    </row>
    <row r="343" spans="1:72" x14ac:dyDescent="0.15">
      <c r="A343" t="s">
        <v>72</v>
      </c>
      <c r="B343" t="s">
        <v>7063</v>
      </c>
      <c r="C343" t="s">
        <v>74</v>
      </c>
      <c r="D343" t="s">
        <v>74</v>
      </c>
      <c r="E343" t="s">
        <v>74</v>
      </c>
      <c r="F343" t="s">
        <v>7064</v>
      </c>
      <c r="G343" t="s">
        <v>74</v>
      </c>
      <c r="H343" t="s">
        <v>74</v>
      </c>
      <c r="I343" t="s">
        <v>7065</v>
      </c>
      <c r="J343" t="s">
        <v>7066</v>
      </c>
      <c r="K343" t="s">
        <v>74</v>
      </c>
      <c r="L343" t="s">
        <v>74</v>
      </c>
      <c r="M343" t="s">
        <v>78</v>
      </c>
      <c r="N343" t="s">
        <v>79</v>
      </c>
      <c r="O343" t="s">
        <v>74</v>
      </c>
      <c r="P343" t="s">
        <v>74</v>
      </c>
      <c r="Q343" t="s">
        <v>74</v>
      </c>
      <c r="R343" t="s">
        <v>74</v>
      </c>
      <c r="S343" t="s">
        <v>74</v>
      </c>
      <c r="T343" t="s">
        <v>7067</v>
      </c>
      <c r="U343" t="s">
        <v>7068</v>
      </c>
      <c r="V343" t="s">
        <v>7069</v>
      </c>
      <c r="W343" t="s">
        <v>7070</v>
      </c>
      <c r="X343" t="s">
        <v>2691</v>
      </c>
      <c r="Y343" t="s">
        <v>7071</v>
      </c>
      <c r="Z343" t="s">
        <v>7072</v>
      </c>
      <c r="AA343" t="s">
        <v>7073</v>
      </c>
      <c r="AB343" t="s">
        <v>7074</v>
      </c>
      <c r="AC343" t="s">
        <v>7075</v>
      </c>
      <c r="AD343" t="s">
        <v>7076</v>
      </c>
      <c r="AE343" t="s">
        <v>7077</v>
      </c>
      <c r="AF343" t="s">
        <v>74</v>
      </c>
      <c r="AG343">
        <v>84</v>
      </c>
      <c r="AH343">
        <v>3</v>
      </c>
      <c r="AI343">
        <v>3</v>
      </c>
      <c r="AJ343">
        <v>3</v>
      </c>
      <c r="AK343">
        <v>8</v>
      </c>
      <c r="AL343" t="s">
        <v>576</v>
      </c>
      <c r="AM343" t="s">
        <v>577</v>
      </c>
      <c r="AN343" t="s">
        <v>578</v>
      </c>
      <c r="AO343" t="s">
        <v>7078</v>
      </c>
      <c r="AP343" t="s">
        <v>7079</v>
      </c>
      <c r="AQ343" t="s">
        <v>74</v>
      </c>
      <c r="AR343" t="s">
        <v>7080</v>
      </c>
      <c r="AS343" t="s">
        <v>7081</v>
      </c>
      <c r="AT343" t="s">
        <v>127</v>
      </c>
      <c r="AU343">
        <v>2021</v>
      </c>
      <c r="AV343">
        <v>200</v>
      </c>
      <c r="AW343" t="s">
        <v>74</v>
      </c>
      <c r="AX343" t="s">
        <v>74</v>
      </c>
      <c r="AY343" t="s">
        <v>74</v>
      </c>
      <c r="AZ343" t="s">
        <v>74</v>
      </c>
      <c r="BA343" t="s">
        <v>74</v>
      </c>
      <c r="BB343" t="s">
        <v>74</v>
      </c>
      <c r="BC343" t="s">
        <v>74</v>
      </c>
      <c r="BD343">
        <v>103474</v>
      </c>
      <c r="BE343" t="s">
        <v>7082</v>
      </c>
      <c r="BF343" t="str">
        <f>HYPERLINK("http://dx.doi.org/10.1016/j.gloplacha.2021.103474","http://dx.doi.org/10.1016/j.gloplacha.2021.103474")</f>
        <v>http://dx.doi.org/10.1016/j.gloplacha.2021.103474</v>
      </c>
      <c r="BG343" t="s">
        <v>74</v>
      </c>
      <c r="BH343" t="s">
        <v>6407</v>
      </c>
      <c r="BI343">
        <v>12</v>
      </c>
      <c r="BJ343" t="s">
        <v>1685</v>
      </c>
      <c r="BK343" t="s">
        <v>101</v>
      </c>
      <c r="BL343" t="s">
        <v>1686</v>
      </c>
      <c r="BM343" t="s">
        <v>7083</v>
      </c>
      <c r="BN343" t="s">
        <v>74</v>
      </c>
      <c r="BO343" t="s">
        <v>1095</v>
      </c>
      <c r="BP343" t="s">
        <v>74</v>
      </c>
      <c r="BQ343" t="s">
        <v>74</v>
      </c>
      <c r="BR343" t="s">
        <v>104</v>
      </c>
      <c r="BS343" t="s">
        <v>7084</v>
      </c>
      <c r="BT343" t="str">
        <f>HYPERLINK("https%3A%2F%2Fwww.webofscience.com%2Fwos%2Fwoscc%2Ffull-record%2FWOS:000640389200002","View Full Record in Web of Science")</f>
        <v>View Full Record in Web of Science</v>
      </c>
    </row>
    <row r="344" spans="1:72" x14ac:dyDescent="0.15">
      <c r="A344" t="s">
        <v>72</v>
      </c>
      <c r="B344" t="s">
        <v>7085</v>
      </c>
      <c r="C344" t="s">
        <v>74</v>
      </c>
      <c r="D344" t="s">
        <v>74</v>
      </c>
      <c r="E344" t="s">
        <v>74</v>
      </c>
      <c r="F344" t="s">
        <v>7086</v>
      </c>
      <c r="G344" t="s">
        <v>74</v>
      </c>
      <c r="H344" t="s">
        <v>74</v>
      </c>
      <c r="I344" t="s">
        <v>7087</v>
      </c>
      <c r="J344" t="s">
        <v>1761</v>
      </c>
      <c r="K344" t="s">
        <v>74</v>
      </c>
      <c r="L344" t="s">
        <v>74</v>
      </c>
      <c r="M344" t="s">
        <v>78</v>
      </c>
      <c r="N344" t="s">
        <v>79</v>
      </c>
      <c r="O344" t="s">
        <v>74</v>
      </c>
      <c r="P344" t="s">
        <v>74</v>
      </c>
      <c r="Q344" t="s">
        <v>74</v>
      </c>
      <c r="R344" t="s">
        <v>74</v>
      </c>
      <c r="S344" t="s">
        <v>74</v>
      </c>
      <c r="T344" t="s">
        <v>74</v>
      </c>
      <c r="U344" t="s">
        <v>7088</v>
      </c>
      <c r="V344" t="s">
        <v>7089</v>
      </c>
      <c r="W344" t="s">
        <v>7090</v>
      </c>
      <c r="X344" t="s">
        <v>7091</v>
      </c>
      <c r="Y344" t="s">
        <v>7092</v>
      </c>
      <c r="Z344" t="s">
        <v>7093</v>
      </c>
      <c r="AA344" t="s">
        <v>7094</v>
      </c>
      <c r="AB344" t="s">
        <v>7095</v>
      </c>
      <c r="AC344" t="s">
        <v>7096</v>
      </c>
      <c r="AD344" t="s">
        <v>7097</v>
      </c>
      <c r="AE344" t="s">
        <v>7098</v>
      </c>
      <c r="AF344" t="s">
        <v>74</v>
      </c>
      <c r="AG344">
        <v>48</v>
      </c>
      <c r="AH344">
        <v>7</v>
      </c>
      <c r="AI344">
        <v>8</v>
      </c>
      <c r="AJ344">
        <v>1</v>
      </c>
      <c r="AK344">
        <v>13</v>
      </c>
      <c r="AL344" t="s">
        <v>1269</v>
      </c>
      <c r="AM344" t="s">
        <v>1270</v>
      </c>
      <c r="AN344" t="s">
        <v>1271</v>
      </c>
      <c r="AO344" t="s">
        <v>1773</v>
      </c>
      <c r="AP344" t="s">
        <v>1774</v>
      </c>
      <c r="AQ344" t="s">
        <v>74</v>
      </c>
      <c r="AR344" t="s">
        <v>1761</v>
      </c>
      <c r="AS344" t="s">
        <v>1775</v>
      </c>
      <c r="AT344" t="s">
        <v>7099</v>
      </c>
      <c r="AU344">
        <v>2021</v>
      </c>
      <c r="AV344">
        <v>15</v>
      </c>
      <c r="AW344">
        <v>3</v>
      </c>
      <c r="AX344" t="s">
        <v>74</v>
      </c>
      <c r="AY344" t="s">
        <v>74</v>
      </c>
      <c r="AZ344" t="s">
        <v>74</v>
      </c>
      <c r="BA344" t="s">
        <v>74</v>
      </c>
      <c r="BB344">
        <v>1551</v>
      </c>
      <c r="BC344">
        <v>1565</v>
      </c>
      <c r="BD344" t="s">
        <v>74</v>
      </c>
      <c r="BE344" t="s">
        <v>7100</v>
      </c>
      <c r="BF344" t="str">
        <f>HYPERLINK("http://dx.doi.org/10.5194/tc-15-1551-2021","http://dx.doi.org/10.5194/tc-15-1551-2021")</f>
        <v>http://dx.doi.org/10.5194/tc-15-1551-2021</v>
      </c>
      <c r="BG344" t="s">
        <v>74</v>
      </c>
      <c r="BH344" t="s">
        <v>74</v>
      </c>
      <c r="BI344">
        <v>15</v>
      </c>
      <c r="BJ344" t="s">
        <v>1685</v>
      </c>
      <c r="BK344" t="s">
        <v>101</v>
      </c>
      <c r="BL344" t="s">
        <v>1686</v>
      </c>
      <c r="BM344" t="s">
        <v>7101</v>
      </c>
      <c r="BN344" t="s">
        <v>74</v>
      </c>
      <c r="BO344" t="s">
        <v>1280</v>
      </c>
      <c r="BP344" t="s">
        <v>74</v>
      </c>
      <c r="BQ344" t="s">
        <v>74</v>
      </c>
      <c r="BR344" t="s">
        <v>104</v>
      </c>
      <c r="BS344" t="s">
        <v>7102</v>
      </c>
      <c r="BT344" t="str">
        <f>HYPERLINK("https%3A%2F%2Fwww.webofscience.com%2Fwos%2Fwoscc%2Ffull-record%2FWOS:000635424700002","View Full Record in Web of Science")</f>
        <v>View Full Record in Web of Science</v>
      </c>
    </row>
    <row r="345" spans="1:72" x14ac:dyDescent="0.15">
      <c r="A345" t="s">
        <v>72</v>
      </c>
      <c r="B345" t="s">
        <v>7103</v>
      </c>
      <c r="C345" t="s">
        <v>74</v>
      </c>
      <c r="D345" t="s">
        <v>74</v>
      </c>
      <c r="E345" t="s">
        <v>74</v>
      </c>
      <c r="F345" t="s">
        <v>7104</v>
      </c>
      <c r="G345" t="s">
        <v>74</v>
      </c>
      <c r="H345" t="s">
        <v>74</v>
      </c>
      <c r="I345" t="s">
        <v>7105</v>
      </c>
      <c r="J345" t="s">
        <v>2890</v>
      </c>
      <c r="K345" t="s">
        <v>74</v>
      </c>
      <c r="L345" t="s">
        <v>74</v>
      </c>
      <c r="M345" t="s">
        <v>78</v>
      </c>
      <c r="N345" t="s">
        <v>79</v>
      </c>
      <c r="O345" t="s">
        <v>74</v>
      </c>
      <c r="P345" t="s">
        <v>74</v>
      </c>
      <c r="Q345" t="s">
        <v>74</v>
      </c>
      <c r="R345" t="s">
        <v>74</v>
      </c>
      <c r="S345" t="s">
        <v>74</v>
      </c>
      <c r="T345" t="s">
        <v>74</v>
      </c>
      <c r="U345" t="s">
        <v>74</v>
      </c>
      <c r="V345" t="s">
        <v>7106</v>
      </c>
      <c r="W345" t="s">
        <v>7107</v>
      </c>
      <c r="X345" t="s">
        <v>7108</v>
      </c>
      <c r="Y345" t="s">
        <v>7109</v>
      </c>
      <c r="Z345" t="s">
        <v>7110</v>
      </c>
      <c r="AA345" t="s">
        <v>7111</v>
      </c>
      <c r="AB345" t="s">
        <v>7112</v>
      </c>
      <c r="AC345" t="s">
        <v>7113</v>
      </c>
      <c r="AD345" t="s">
        <v>7114</v>
      </c>
      <c r="AE345" t="s">
        <v>7115</v>
      </c>
      <c r="AF345" t="s">
        <v>74</v>
      </c>
      <c r="AG345">
        <v>99</v>
      </c>
      <c r="AH345">
        <v>11</v>
      </c>
      <c r="AI345">
        <v>12</v>
      </c>
      <c r="AJ345">
        <v>1</v>
      </c>
      <c r="AK345">
        <v>25</v>
      </c>
      <c r="AL345" t="s">
        <v>1269</v>
      </c>
      <c r="AM345" t="s">
        <v>1270</v>
      </c>
      <c r="AN345" t="s">
        <v>1271</v>
      </c>
      <c r="AO345" t="s">
        <v>2902</v>
      </c>
      <c r="AP345" t="s">
        <v>2903</v>
      </c>
      <c r="AQ345" t="s">
        <v>74</v>
      </c>
      <c r="AR345" t="s">
        <v>2904</v>
      </c>
      <c r="AS345" t="s">
        <v>2905</v>
      </c>
      <c r="AT345" t="s">
        <v>7099</v>
      </c>
      <c r="AU345">
        <v>2021</v>
      </c>
      <c r="AV345">
        <v>17</v>
      </c>
      <c r="AW345">
        <v>2</v>
      </c>
      <c r="AX345" t="s">
        <v>74</v>
      </c>
      <c r="AY345" t="s">
        <v>74</v>
      </c>
      <c r="AZ345" t="s">
        <v>74</v>
      </c>
      <c r="BA345" t="s">
        <v>74</v>
      </c>
      <c r="BB345">
        <v>703</v>
      </c>
      <c r="BC345">
        <v>719</v>
      </c>
      <c r="BD345" t="s">
        <v>74</v>
      </c>
      <c r="BE345" t="s">
        <v>7116</v>
      </c>
      <c r="BF345" t="str">
        <f>HYPERLINK("http://dx.doi.org/10.5194/cp-17-703-2021","http://dx.doi.org/10.5194/cp-17-703-2021")</f>
        <v>http://dx.doi.org/10.5194/cp-17-703-2021</v>
      </c>
      <c r="BG345" t="s">
        <v>74</v>
      </c>
      <c r="BH345" t="s">
        <v>74</v>
      </c>
      <c r="BI345">
        <v>17</v>
      </c>
      <c r="BJ345" t="s">
        <v>2907</v>
      </c>
      <c r="BK345" t="s">
        <v>101</v>
      </c>
      <c r="BL345" t="s">
        <v>2908</v>
      </c>
      <c r="BM345" t="s">
        <v>7117</v>
      </c>
      <c r="BN345" t="s">
        <v>74</v>
      </c>
      <c r="BO345" t="s">
        <v>1779</v>
      </c>
      <c r="BP345" t="s">
        <v>74</v>
      </c>
      <c r="BQ345" t="s">
        <v>74</v>
      </c>
      <c r="BR345" t="s">
        <v>104</v>
      </c>
      <c r="BS345" t="s">
        <v>7118</v>
      </c>
      <c r="BT345" t="str">
        <f>HYPERLINK("https%3A%2F%2Fwww.webofscience.com%2Fwos%2Fwoscc%2Ffull-record%2FWOS:000635418800001","View Full Record in Web of Science")</f>
        <v>View Full Record in Web of Science</v>
      </c>
    </row>
    <row r="346" spans="1:72" x14ac:dyDescent="0.15">
      <c r="A346" t="s">
        <v>72</v>
      </c>
      <c r="B346" t="s">
        <v>7119</v>
      </c>
      <c r="C346" t="s">
        <v>74</v>
      </c>
      <c r="D346" t="s">
        <v>74</v>
      </c>
      <c r="E346" t="s">
        <v>74</v>
      </c>
      <c r="F346" t="s">
        <v>7120</v>
      </c>
      <c r="G346" t="s">
        <v>74</v>
      </c>
      <c r="H346" t="s">
        <v>74</v>
      </c>
      <c r="I346" t="s">
        <v>7121</v>
      </c>
      <c r="J346" t="s">
        <v>615</v>
      </c>
      <c r="K346" t="s">
        <v>74</v>
      </c>
      <c r="L346" t="s">
        <v>74</v>
      </c>
      <c r="M346" t="s">
        <v>78</v>
      </c>
      <c r="N346" t="s">
        <v>79</v>
      </c>
      <c r="O346" t="s">
        <v>74</v>
      </c>
      <c r="P346" t="s">
        <v>74</v>
      </c>
      <c r="Q346" t="s">
        <v>74</v>
      </c>
      <c r="R346" t="s">
        <v>74</v>
      </c>
      <c r="S346" t="s">
        <v>74</v>
      </c>
      <c r="T346" t="s">
        <v>7122</v>
      </c>
      <c r="U346" t="s">
        <v>7123</v>
      </c>
      <c r="V346" t="s">
        <v>7124</v>
      </c>
      <c r="W346" t="s">
        <v>7125</v>
      </c>
      <c r="X346" t="s">
        <v>7126</v>
      </c>
      <c r="Y346" t="s">
        <v>7127</v>
      </c>
      <c r="Z346" t="s">
        <v>7128</v>
      </c>
      <c r="AA346" t="s">
        <v>7129</v>
      </c>
      <c r="AB346" t="s">
        <v>7130</v>
      </c>
      <c r="AC346" t="s">
        <v>7131</v>
      </c>
      <c r="AD346" t="s">
        <v>7132</v>
      </c>
      <c r="AE346" t="s">
        <v>7133</v>
      </c>
      <c r="AF346" t="s">
        <v>74</v>
      </c>
      <c r="AG346">
        <v>147</v>
      </c>
      <c r="AH346">
        <v>1</v>
      </c>
      <c r="AI346">
        <v>1</v>
      </c>
      <c r="AJ346">
        <v>2</v>
      </c>
      <c r="AK346">
        <v>26</v>
      </c>
      <c r="AL346" t="s">
        <v>625</v>
      </c>
      <c r="AM346" t="s">
        <v>167</v>
      </c>
      <c r="AN346" t="s">
        <v>626</v>
      </c>
      <c r="AO346" t="s">
        <v>627</v>
      </c>
      <c r="AP346" t="s">
        <v>628</v>
      </c>
      <c r="AQ346" t="s">
        <v>74</v>
      </c>
      <c r="AR346" t="s">
        <v>629</v>
      </c>
      <c r="AS346" t="s">
        <v>630</v>
      </c>
      <c r="AT346" t="s">
        <v>7099</v>
      </c>
      <c r="AU346">
        <v>2021</v>
      </c>
      <c r="AV346">
        <v>57</v>
      </c>
      <c r="AW346" t="s">
        <v>74</v>
      </c>
      <c r="AX346" t="s">
        <v>74</v>
      </c>
      <c r="AY346" t="s">
        <v>74</v>
      </c>
      <c r="AZ346" t="s">
        <v>74</v>
      </c>
      <c r="BA346" t="s">
        <v>74</v>
      </c>
      <c r="BB346" t="s">
        <v>74</v>
      </c>
      <c r="BC346" t="s">
        <v>74</v>
      </c>
      <c r="BD346" t="s">
        <v>7134</v>
      </c>
      <c r="BE346" t="s">
        <v>7135</v>
      </c>
      <c r="BF346" t="str">
        <f>HYPERLINK("http://dx.doi.org/10.1017/S0032247421000024","http://dx.doi.org/10.1017/S0032247421000024")</f>
        <v>http://dx.doi.org/10.1017/S0032247421000024</v>
      </c>
      <c r="BG346" t="s">
        <v>74</v>
      </c>
      <c r="BH346" t="s">
        <v>74</v>
      </c>
      <c r="BI346">
        <v>11</v>
      </c>
      <c r="BJ346" t="s">
        <v>633</v>
      </c>
      <c r="BK346" t="s">
        <v>101</v>
      </c>
      <c r="BL346" t="s">
        <v>225</v>
      </c>
      <c r="BM346" t="s">
        <v>7136</v>
      </c>
      <c r="BN346" t="s">
        <v>74</v>
      </c>
      <c r="BO346" t="s">
        <v>74</v>
      </c>
      <c r="BP346" t="s">
        <v>74</v>
      </c>
      <c r="BQ346" t="s">
        <v>74</v>
      </c>
      <c r="BR346" t="s">
        <v>104</v>
      </c>
      <c r="BS346" t="s">
        <v>7137</v>
      </c>
      <c r="BT346" t="str">
        <f>HYPERLINK("https%3A%2F%2Fwww.webofscience.com%2Fwos%2Fwoscc%2Ffull-record%2FWOS:000632656100001","View Full Record in Web of Science")</f>
        <v>View Full Record in Web of Science</v>
      </c>
    </row>
    <row r="347" spans="1:72" x14ac:dyDescent="0.15">
      <c r="A347" t="s">
        <v>72</v>
      </c>
      <c r="B347" t="s">
        <v>7138</v>
      </c>
      <c r="C347" t="s">
        <v>74</v>
      </c>
      <c r="D347" t="s">
        <v>74</v>
      </c>
      <c r="E347" t="s">
        <v>74</v>
      </c>
      <c r="F347" t="s">
        <v>7139</v>
      </c>
      <c r="G347" t="s">
        <v>74</v>
      </c>
      <c r="H347" t="s">
        <v>74</v>
      </c>
      <c r="I347" t="s">
        <v>7140</v>
      </c>
      <c r="J347" t="s">
        <v>7141</v>
      </c>
      <c r="K347" t="s">
        <v>74</v>
      </c>
      <c r="L347" t="s">
        <v>74</v>
      </c>
      <c r="M347" t="s">
        <v>78</v>
      </c>
      <c r="N347" t="s">
        <v>79</v>
      </c>
      <c r="O347" t="s">
        <v>74</v>
      </c>
      <c r="P347" t="s">
        <v>74</v>
      </c>
      <c r="Q347" t="s">
        <v>74</v>
      </c>
      <c r="R347" t="s">
        <v>74</v>
      </c>
      <c r="S347" t="s">
        <v>74</v>
      </c>
      <c r="T347" t="s">
        <v>7142</v>
      </c>
      <c r="U347" t="s">
        <v>74</v>
      </c>
      <c r="V347" t="s">
        <v>7143</v>
      </c>
      <c r="W347" t="s">
        <v>7144</v>
      </c>
      <c r="X347" t="s">
        <v>7145</v>
      </c>
      <c r="Y347" t="s">
        <v>7146</v>
      </c>
      <c r="Z347" t="s">
        <v>7147</v>
      </c>
      <c r="AA347" t="s">
        <v>7148</v>
      </c>
      <c r="AB347" t="s">
        <v>7149</v>
      </c>
      <c r="AC347" t="s">
        <v>7150</v>
      </c>
      <c r="AD347" t="s">
        <v>7150</v>
      </c>
      <c r="AE347" t="s">
        <v>7151</v>
      </c>
      <c r="AF347" t="s">
        <v>74</v>
      </c>
      <c r="AG347">
        <v>72</v>
      </c>
      <c r="AH347">
        <v>9</v>
      </c>
      <c r="AI347">
        <v>9</v>
      </c>
      <c r="AJ347">
        <v>7</v>
      </c>
      <c r="AK347">
        <v>42</v>
      </c>
      <c r="AL347" t="s">
        <v>795</v>
      </c>
      <c r="AM347" t="s">
        <v>796</v>
      </c>
      <c r="AN347" t="s">
        <v>797</v>
      </c>
      <c r="AO347" t="s">
        <v>7152</v>
      </c>
      <c r="AP347" t="s">
        <v>7153</v>
      </c>
      <c r="AQ347" t="s">
        <v>74</v>
      </c>
      <c r="AR347" t="s">
        <v>7154</v>
      </c>
      <c r="AS347" t="s">
        <v>7155</v>
      </c>
      <c r="AT347" t="s">
        <v>707</v>
      </c>
      <c r="AU347">
        <v>2021</v>
      </c>
      <c r="AV347">
        <v>31</v>
      </c>
      <c r="AW347">
        <v>4</v>
      </c>
      <c r="AX347" t="s">
        <v>74</v>
      </c>
      <c r="AY347" t="s">
        <v>74</v>
      </c>
      <c r="AZ347" t="s">
        <v>74</v>
      </c>
      <c r="BA347" t="s">
        <v>74</v>
      </c>
      <c r="BB347" t="s">
        <v>74</v>
      </c>
      <c r="BC347" t="s">
        <v>74</v>
      </c>
      <c r="BD347" t="s">
        <v>7156</v>
      </c>
      <c r="BE347" t="s">
        <v>7157</v>
      </c>
      <c r="BF347" t="str">
        <f>HYPERLINK("http://dx.doi.org/10.1002/eap.2306","http://dx.doi.org/10.1002/eap.2306")</f>
        <v>http://dx.doi.org/10.1002/eap.2306</v>
      </c>
      <c r="BG347" t="s">
        <v>74</v>
      </c>
      <c r="BH347" t="s">
        <v>6407</v>
      </c>
      <c r="BI347">
        <v>13</v>
      </c>
      <c r="BJ347" t="s">
        <v>633</v>
      </c>
      <c r="BK347" t="s">
        <v>101</v>
      </c>
      <c r="BL347" t="s">
        <v>225</v>
      </c>
      <c r="BM347" t="s">
        <v>7158</v>
      </c>
      <c r="BN347">
        <v>33595860</v>
      </c>
      <c r="BO347" t="s">
        <v>398</v>
      </c>
      <c r="BP347" t="s">
        <v>74</v>
      </c>
      <c r="BQ347" t="s">
        <v>74</v>
      </c>
      <c r="BR347" t="s">
        <v>104</v>
      </c>
      <c r="BS347" t="s">
        <v>7159</v>
      </c>
      <c r="BT347" t="str">
        <f>HYPERLINK("https%3A%2F%2Fwww.webofscience.com%2Fwos%2Fwoscc%2Ffull-record%2FWOS:000632877600001","View Full Record in Web of Science")</f>
        <v>View Full Record in Web of Science</v>
      </c>
    </row>
    <row r="348" spans="1:72" x14ac:dyDescent="0.15">
      <c r="A348" t="s">
        <v>72</v>
      </c>
      <c r="B348" t="s">
        <v>7160</v>
      </c>
      <c r="C348" t="s">
        <v>74</v>
      </c>
      <c r="D348" t="s">
        <v>74</v>
      </c>
      <c r="E348" t="s">
        <v>74</v>
      </c>
      <c r="F348" t="s">
        <v>7161</v>
      </c>
      <c r="G348" t="s">
        <v>74</v>
      </c>
      <c r="H348" t="s">
        <v>74</v>
      </c>
      <c r="I348" t="s">
        <v>7162</v>
      </c>
      <c r="J348" t="s">
        <v>7163</v>
      </c>
      <c r="K348" t="s">
        <v>74</v>
      </c>
      <c r="L348" t="s">
        <v>74</v>
      </c>
      <c r="M348" t="s">
        <v>78</v>
      </c>
      <c r="N348" t="s">
        <v>79</v>
      </c>
      <c r="O348" t="s">
        <v>74</v>
      </c>
      <c r="P348" t="s">
        <v>74</v>
      </c>
      <c r="Q348" t="s">
        <v>74</v>
      </c>
      <c r="R348" t="s">
        <v>74</v>
      </c>
      <c r="S348" t="s">
        <v>74</v>
      </c>
      <c r="T348" t="s">
        <v>7164</v>
      </c>
      <c r="U348" t="s">
        <v>7165</v>
      </c>
      <c r="V348" t="s">
        <v>7166</v>
      </c>
      <c r="W348" t="s">
        <v>7167</v>
      </c>
      <c r="X348" t="s">
        <v>7168</v>
      </c>
      <c r="Y348" t="s">
        <v>7169</v>
      </c>
      <c r="Z348" t="s">
        <v>7170</v>
      </c>
      <c r="AA348" t="s">
        <v>74</v>
      </c>
      <c r="AB348" t="s">
        <v>74</v>
      </c>
      <c r="AC348" t="s">
        <v>7171</v>
      </c>
      <c r="AD348" t="s">
        <v>7172</v>
      </c>
      <c r="AE348" t="s">
        <v>7173</v>
      </c>
      <c r="AF348" t="s">
        <v>74</v>
      </c>
      <c r="AG348">
        <v>38</v>
      </c>
      <c r="AH348">
        <v>5</v>
      </c>
      <c r="AI348">
        <v>5</v>
      </c>
      <c r="AJ348">
        <v>0</v>
      </c>
      <c r="AK348">
        <v>4</v>
      </c>
      <c r="AL348" t="s">
        <v>1160</v>
      </c>
      <c r="AM348" t="s">
        <v>891</v>
      </c>
      <c r="AN348" t="s">
        <v>1161</v>
      </c>
      <c r="AO348" t="s">
        <v>7174</v>
      </c>
      <c r="AP348" t="s">
        <v>7175</v>
      </c>
      <c r="AQ348" t="s">
        <v>74</v>
      </c>
      <c r="AR348" t="s">
        <v>7176</v>
      </c>
      <c r="AS348" t="s">
        <v>7177</v>
      </c>
      <c r="AT348" t="s">
        <v>707</v>
      </c>
      <c r="AU348">
        <v>2021</v>
      </c>
      <c r="AV348">
        <v>225</v>
      </c>
      <c r="AW348">
        <v>3</v>
      </c>
      <c r="AX348" t="s">
        <v>74</v>
      </c>
      <c r="AY348" t="s">
        <v>74</v>
      </c>
      <c r="AZ348" t="s">
        <v>74</v>
      </c>
      <c r="BA348" t="s">
        <v>74</v>
      </c>
      <c r="BB348">
        <v>1952</v>
      </c>
      <c r="BC348">
        <v>1962</v>
      </c>
      <c r="BD348" t="s">
        <v>74</v>
      </c>
      <c r="BE348" t="s">
        <v>7178</v>
      </c>
      <c r="BF348" t="str">
        <f>HYPERLINK("http://dx.doi.org/10.1093/gji/ggab069","http://dx.doi.org/10.1093/gji/ggab069")</f>
        <v>http://dx.doi.org/10.1093/gji/ggab069</v>
      </c>
      <c r="BG348" t="s">
        <v>74</v>
      </c>
      <c r="BH348" t="s">
        <v>6407</v>
      </c>
      <c r="BI348">
        <v>11</v>
      </c>
      <c r="BJ348" t="s">
        <v>1066</v>
      </c>
      <c r="BK348" t="s">
        <v>101</v>
      </c>
      <c r="BL348" t="s">
        <v>1066</v>
      </c>
      <c r="BM348" t="s">
        <v>7179</v>
      </c>
      <c r="BN348" t="s">
        <v>74</v>
      </c>
      <c r="BO348" t="s">
        <v>5474</v>
      </c>
      <c r="BP348" t="s">
        <v>74</v>
      </c>
      <c r="BQ348" t="s">
        <v>74</v>
      </c>
      <c r="BR348" t="s">
        <v>104</v>
      </c>
      <c r="BS348" t="s">
        <v>7180</v>
      </c>
      <c r="BT348" t="str">
        <f>HYPERLINK("https%3A%2F%2Fwww.webofscience.com%2Fwos%2Fwoscc%2Ffull-record%2FWOS:000680830400029","View Full Record in Web of Science")</f>
        <v>View Full Record in Web of Science</v>
      </c>
    </row>
    <row r="349" spans="1:72" x14ac:dyDescent="0.15">
      <c r="A349" t="s">
        <v>72</v>
      </c>
      <c r="B349" t="s">
        <v>7181</v>
      </c>
      <c r="C349" t="s">
        <v>74</v>
      </c>
      <c r="D349" t="s">
        <v>74</v>
      </c>
      <c r="E349" t="s">
        <v>74</v>
      </c>
      <c r="F349" t="s">
        <v>7182</v>
      </c>
      <c r="G349" t="s">
        <v>74</v>
      </c>
      <c r="H349" t="s">
        <v>74</v>
      </c>
      <c r="I349" t="s">
        <v>7183</v>
      </c>
      <c r="J349" t="s">
        <v>4013</v>
      </c>
      <c r="K349" t="s">
        <v>74</v>
      </c>
      <c r="L349" t="s">
        <v>74</v>
      </c>
      <c r="M349" t="s">
        <v>78</v>
      </c>
      <c r="N349" t="s">
        <v>79</v>
      </c>
      <c r="O349" t="s">
        <v>74</v>
      </c>
      <c r="P349" t="s">
        <v>74</v>
      </c>
      <c r="Q349" t="s">
        <v>74</v>
      </c>
      <c r="R349" t="s">
        <v>74</v>
      </c>
      <c r="S349" t="s">
        <v>74</v>
      </c>
      <c r="T349" t="s">
        <v>7184</v>
      </c>
      <c r="U349" t="s">
        <v>7185</v>
      </c>
      <c r="V349" t="s">
        <v>7186</v>
      </c>
      <c r="W349" t="s">
        <v>7187</v>
      </c>
      <c r="X349" t="s">
        <v>7188</v>
      </c>
      <c r="Y349" t="s">
        <v>7189</v>
      </c>
      <c r="Z349" t="s">
        <v>7190</v>
      </c>
      <c r="AA349" t="s">
        <v>7191</v>
      </c>
      <c r="AB349" t="s">
        <v>7192</v>
      </c>
      <c r="AC349" t="s">
        <v>7193</v>
      </c>
      <c r="AD349" t="s">
        <v>7194</v>
      </c>
      <c r="AE349" t="s">
        <v>7195</v>
      </c>
      <c r="AF349" t="s">
        <v>74</v>
      </c>
      <c r="AG349">
        <v>120</v>
      </c>
      <c r="AH349">
        <v>5</v>
      </c>
      <c r="AI349">
        <v>5</v>
      </c>
      <c r="AJ349">
        <v>0</v>
      </c>
      <c r="AK349">
        <v>1</v>
      </c>
      <c r="AL349" t="s">
        <v>1058</v>
      </c>
      <c r="AM349" t="s">
        <v>891</v>
      </c>
      <c r="AN349" t="s">
        <v>1059</v>
      </c>
      <c r="AO349" t="s">
        <v>4026</v>
      </c>
      <c r="AP349" t="s">
        <v>4027</v>
      </c>
      <c r="AQ349" t="s">
        <v>74</v>
      </c>
      <c r="AR349" t="s">
        <v>4028</v>
      </c>
      <c r="AS349" t="s">
        <v>4029</v>
      </c>
      <c r="AT349" t="s">
        <v>1364</v>
      </c>
      <c r="AU349">
        <v>2021</v>
      </c>
      <c r="AV349">
        <v>109</v>
      </c>
      <c r="AW349" t="s">
        <v>74</v>
      </c>
      <c r="AX349" t="s">
        <v>74</v>
      </c>
      <c r="AY349" t="s">
        <v>74</v>
      </c>
      <c r="AZ349" t="s">
        <v>74</v>
      </c>
      <c r="BA349" t="s">
        <v>74</v>
      </c>
      <c r="BB349" t="s">
        <v>74</v>
      </c>
      <c r="BC349" t="s">
        <v>74</v>
      </c>
      <c r="BD349">
        <v>103239</v>
      </c>
      <c r="BE349" t="s">
        <v>7196</v>
      </c>
      <c r="BF349" t="str">
        <f>HYPERLINK("http://dx.doi.org/10.1016/j.jsames.2021.103239","http://dx.doi.org/10.1016/j.jsames.2021.103239")</f>
        <v>http://dx.doi.org/10.1016/j.jsames.2021.103239</v>
      </c>
      <c r="BG349" t="s">
        <v>74</v>
      </c>
      <c r="BH349" t="s">
        <v>6407</v>
      </c>
      <c r="BI349">
        <v>14</v>
      </c>
      <c r="BJ349" t="s">
        <v>100</v>
      </c>
      <c r="BK349" t="s">
        <v>101</v>
      </c>
      <c r="BL349" t="s">
        <v>102</v>
      </c>
      <c r="BM349" t="s">
        <v>7197</v>
      </c>
      <c r="BN349" t="s">
        <v>74</v>
      </c>
      <c r="BO349" t="s">
        <v>74</v>
      </c>
      <c r="BP349" t="s">
        <v>74</v>
      </c>
      <c r="BQ349" t="s">
        <v>74</v>
      </c>
      <c r="BR349" t="s">
        <v>104</v>
      </c>
      <c r="BS349" t="s">
        <v>7198</v>
      </c>
      <c r="BT349" t="str">
        <f>HYPERLINK("https%3A%2F%2Fwww.webofscience.com%2Fwos%2Fwoscc%2Ffull-record%2FWOS:000670293000002","View Full Record in Web of Science")</f>
        <v>View Full Record in Web of Science</v>
      </c>
    </row>
    <row r="350" spans="1:72" x14ac:dyDescent="0.15">
      <c r="A350" t="s">
        <v>72</v>
      </c>
      <c r="B350" t="s">
        <v>7199</v>
      </c>
      <c r="C350" t="s">
        <v>74</v>
      </c>
      <c r="D350" t="s">
        <v>74</v>
      </c>
      <c r="E350" t="s">
        <v>74</v>
      </c>
      <c r="F350" t="s">
        <v>7200</v>
      </c>
      <c r="G350" t="s">
        <v>74</v>
      </c>
      <c r="H350" t="s">
        <v>74</v>
      </c>
      <c r="I350" t="s">
        <v>7201</v>
      </c>
      <c r="J350" t="s">
        <v>563</v>
      </c>
      <c r="K350" t="s">
        <v>74</v>
      </c>
      <c r="L350" t="s">
        <v>74</v>
      </c>
      <c r="M350" t="s">
        <v>78</v>
      </c>
      <c r="N350" t="s">
        <v>79</v>
      </c>
      <c r="O350" t="s">
        <v>74</v>
      </c>
      <c r="P350" t="s">
        <v>74</v>
      </c>
      <c r="Q350" t="s">
        <v>74</v>
      </c>
      <c r="R350" t="s">
        <v>74</v>
      </c>
      <c r="S350" t="s">
        <v>74</v>
      </c>
      <c r="T350" t="s">
        <v>7202</v>
      </c>
      <c r="U350" t="s">
        <v>7203</v>
      </c>
      <c r="V350" t="s">
        <v>7204</v>
      </c>
      <c r="W350" t="s">
        <v>7205</v>
      </c>
      <c r="X350" t="s">
        <v>7206</v>
      </c>
      <c r="Y350" t="s">
        <v>7207</v>
      </c>
      <c r="Z350" t="s">
        <v>7208</v>
      </c>
      <c r="AA350" t="s">
        <v>7209</v>
      </c>
      <c r="AB350" t="s">
        <v>7210</v>
      </c>
      <c r="AC350" t="s">
        <v>7211</v>
      </c>
      <c r="AD350" t="s">
        <v>7212</v>
      </c>
      <c r="AE350" t="s">
        <v>7213</v>
      </c>
      <c r="AF350" t="s">
        <v>74</v>
      </c>
      <c r="AG350">
        <v>80</v>
      </c>
      <c r="AH350">
        <v>9</v>
      </c>
      <c r="AI350">
        <v>9</v>
      </c>
      <c r="AJ350">
        <v>2</v>
      </c>
      <c r="AK350">
        <v>18</v>
      </c>
      <c r="AL350" t="s">
        <v>576</v>
      </c>
      <c r="AM350" t="s">
        <v>577</v>
      </c>
      <c r="AN350" t="s">
        <v>578</v>
      </c>
      <c r="AO350" t="s">
        <v>579</v>
      </c>
      <c r="AP350" t="s">
        <v>580</v>
      </c>
      <c r="AQ350" t="s">
        <v>74</v>
      </c>
      <c r="AR350" t="s">
        <v>581</v>
      </c>
      <c r="AS350" t="s">
        <v>582</v>
      </c>
      <c r="AT350" t="s">
        <v>7214</v>
      </c>
      <c r="AU350">
        <v>2021</v>
      </c>
      <c r="AV350">
        <v>779</v>
      </c>
      <c r="AW350" t="s">
        <v>74</v>
      </c>
      <c r="AX350" t="s">
        <v>74</v>
      </c>
      <c r="AY350" t="s">
        <v>74</v>
      </c>
      <c r="AZ350" t="s">
        <v>74</v>
      </c>
      <c r="BA350" t="s">
        <v>74</v>
      </c>
      <c r="BB350" t="s">
        <v>74</v>
      </c>
      <c r="BC350" t="s">
        <v>74</v>
      </c>
      <c r="BD350">
        <v>146570</v>
      </c>
      <c r="BE350" t="s">
        <v>7215</v>
      </c>
      <c r="BF350" t="str">
        <f>HYPERLINK("http://dx.doi.org/10.1016/j.scitotenv.2021.146570","http://dx.doi.org/10.1016/j.scitotenv.2021.146570")</f>
        <v>http://dx.doi.org/10.1016/j.scitotenv.2021.146570</v>
      </c>
      <c r="BG350" t="s">
        <v>74</v>
      </c>
      <c r="BH350" t="s">
        <v>6407</v>
      </c>
      <c r="BI350">
        <v>9</v>
      </c>
      <c r="BJ350" t="s">
        <v>224</v>
      </c>
      <c r="BK350" t="s">
        <v>101</v>
      </c>
      <c r="BL350" t="s">
        <v>225</v>
      </c>
      <c r="BM350" t="s">
        <v>7216</v>
      </c>
      <c r="BN350">
        <v>34030267</v>
      </c>
      <c r="BO350" t="s">
        <v>1492</v>
      </c>
      <c r="BP350" t="s">
        <v>74</v>
      </c>
      <c r="BQ350" t="s">
        <v>74</v>
      </c>
      <c r="BR350" t="s">
        <v>104</v>
      </c>
      <c r="BS350" t="s">
        <v>7217</v>
      </c>
      <c r="BT350" t="str">
        <f>HYPERLINK("https%3A%2F%2Fwww.webofscience.com%2Fwos%2Fwoscc%2Ffull-record%2FWOS:000655692000006","View Full Record in Web of Science")</f>
        <v>View Full Record in Web of Science</v>
      </c>
    </row>
    <row r="351" spans="1:72" x14ac:dyDescent="0.15">
      <c r="A351" t="s">
        <v>72</v>
      </c>
      <c r="B351" t="s">
        <v>7218</v>
      </c>
      <c r="C351" t="s">
        <v>74</v>
      </c>
      <c r="D351" t="s">
        <v>74</v>
      </c>
      <c r="E351" t="s">
        <v>74</v>
      </c>
      <c r="F351" t="s">
        <v>7219</v>
      </c>
      <c r="G351" t="s">
        <v>74</v>
      </c>
      <c r="H351" t="s">
        <v>74</v>
      </c>
      <c r="I351" t="s">
        <v>7220</v>
      </c>
      <c r="J351" t="s">
        <v>7221</v>
      </c>
      <c r="K351" t="s">
        <v>74</v>
      </c>
      <c r="L351" t="s">
        <v>74</v>
      </c>
      <c r="M351" t="s">
        <v>78</v>
      </c>
      <c r="N351" t="s">
        <v>79</v>
      </c>
      <c r="O351" t="s">
        <v>74</v>
      </c>
      <c r="P351" t="s">
        <v>74</v>
      </c>
      <c r="Q351" t="s">
        <v>74</v>
      </c>
      <c r="R351" t="s">
        <v>74</v>
      </c>
      <c r="S351" t="s">
        <v>74</v>
      </c>
      <c r="T351" t="s">
        <v>7222</v>
      </c>
      <c r="U351" t="s">
        <v>7223</v>
      </c>
      <c r="V351" t="s">
        <v>7224</v>
      </c>
      <c r="W351" t="s">
        <v>7225</v>
      </c>
      <c r="X351" t="s">
        <v>7226</v>
      </c>
      <c r="Y351" t="s">
        <v>7227</v>
      </c>
      <c r="Z351" t="s">
        <v>7228</v>
      </c>
      <c r="AA351" t="s">
        <v>7229</v>
      </c>
      <c r="AB351" t="s">
        <v>7230</v>
      </c>
      <c r="AC351" t="s">
        <v>7231</v>
      </c>
      <c r="AD351" t="s">
        <v>7232</v>
      </c>
      <c r="AE351" t="s">
        <v>7233</v>
      </c>
      <c r="AF351" t="s">
        <v>74</v>
      </c>
      <c r="AG351">
        <v>62</v>
      </c>
      <c r="AH351">
        <v>7</v>
      </c>
      <c r="AI351">
        <v>8</v>
      </c>
      <c r="AJ351">
        <v>2</v>
      </c>
      <c r="AK351">
        <v>17</v>
      </c>
      <c r="AL351" t="s">
        <v>890</v>
      </c>
      <c r="AM351" t="s">
        <v>891</v>
      </c>
      <c r="AN351" t="s">
        <v>892</v>
      </c>
      <c r="AO351" t="s">
        <v>7234</v>
      </c>
      <c r="AP351" t="s">
        <v>7235</v>
      </c>
      <c r="AQ351" t="s">
        <v>74</v>
      </c>
      <c r="AR351" t="s">
        <v>7236</v>
      </c>
      <c r="AS351" t="s">
        <v>7237</v>
      </c>
      <c r="AT351" t="s">
        <v>127</v>
      </c>
      <c r="AU351">
        <v>2021</v>
      </c>
      <c r="AV351">
        <v>151</v>
      </c>
      <c r="AW351" t="s">
        <v>74</v>
      </c>
      <c r="AX351" t="s">
        <v>74</v>
      </c>
      <c r="AY351" t="s">
        <v>74</v>
      </c>
      <c r="AZ351" t="s">
        <v>74</v>
      </c>
      <c r="BA351" t="s">
        <v>74</v>
      </c>
      <c r="BB351" t="s">
        <v>74</v>
      </c>
      <c r="BC351" t="s">
        <v>74</v>
      </c>
      <c r="BD351">
        <v>103981</v>
      </c>
      <c r="BE351" t="s">
        <v>7238</v>
      </c>
      <c r="BF351" t="str">
        <f>HYPERLINK("http://dx.doi.org/10.1016/j.advwatres.2021.103891","http://dx.doi.org/10.1016/j.advwatres.2021.103891")</f>
        <v>http://dx.doi.org/10.1016/j.advwatres.2021.103891</v>
      </c>
      <c r="BG351" t="s">
        <v>74</v>
      </c>
      <c r="BH351" t="s">
        <v>6407</v>
      </c>
      <c r="BI351">
        <v>16</v>
      </c>
      <c r="BJ351" t="s">
        <v>7239</v>
      </c>
      <c r="BK351" t="s">
        <v>101</v>
      </c>
      <c r="BL351" t="s">
        <v>7239</v>
      </c>
      <c r="BM351" t="s">
        <v>7240</v>
      </c>
      <c r="BN351" t="s">
        <v>74</v>
      </c>
      <c r="BO351" t="s">
        <v>74</v>
      </c>
      <c r="BP351" t="s">
        <v>74</v>
      </c>
      <c r="BQ351" t="s">
        <v>74</v>
      </c>
      <c r="BR351" t="s">
        <v>104</v>
      </c>
      <c r="BS351" t="s">
        <v>7241</v>
      </c>
      <c r="BT351" t="str">
        <f>HYPERLINK("https%3A%2F%2Fwww.webofscience.com%2Fwos%2Fwoscc%2Ffull-record%2FWOS:000642482900006","View Full Record in Web of Science")</f>
        <v>View Full Record in Web of Science</v>
      </c>
    </row>
    <row r="352" spans="1:72" x14ac:dyDescent="0.15">
      <c r="A352" t="s">
        <v>72</v>
      </c>
      <c r="B352" t="s">
        <v>7242</v>
      </c>
      <c r="C352" t="s">
        <v>74</v>
      </c>
      <c r="D352" t="s">
        <v>74</v>
      </c>
      <c r="E352" t="s">
        <v>74</v>
      </c>
      <c r="F352" t="s">
        <v>7243</v>
      </c>
      <c r="G352" t="s">
        <v>74</v>
      </c>
      <c r="H352" t="s">
        <v>74</v>
      </c>
      <c r="I352" t="s">
        <v>7244</v>
      </c>
      <c r="J352" t="s">
        <v>2021</v>
      </c>
      <c r="K352" t="s">
        <v>74</v>
      </c>
      <c r="L352" t="s">
        <v>74</v>
      </c>
      <c r="M352" t="s">
        <v>78</v>
      </c>
      <c r="N352" t="s">
        <v>79</v>
      </c>
      <c r="O352" t="s">
        <v>74</v>
      </c>
      <c r="P352" t="s">
        <v>74</v>
      </c>
      <c r="Q352" t="s">
        <v>74</v>
      </c>
      <c r="R352" t="s">
        <v>74</v>
      </c>
      <c r="S352" t="s">
        <v>74</v>
      </c>
      <c r="T352" t="s">
        <v>74</v>
      </c>
      <c r="U352" t="s">
        <v>7245</v>
      </c>
      <c r="V352" t="s">
        <v>7246</v>
      </c>
      <c r="W352" t="s">
        <v>7247</v>
      </c>
      <c r="X352" t="s">
        <v>7248</v>
      </c>
      <c r="Y352" t="s">
        <v>7249</v>
      </c>
      <c r="Z352" t="s">
        <v>7250</v>
      </c>
      <c r="AA352" t="s">
        <v>7251</v>
      </c>
      <c r="AB352" t="s">
        <v>74</v>
      </c>
      <c r="AC352" t="s">
        <v>7252</v>
      </c>
      <c r="AD352" t="s">
        <v>7253</v>
      </c>
      <c r="AE352" t="s">
        <v>7254</v>
      </c>
      <c r="AF352" t="s">
        <v>74</v>
      </c>
      <c r="AG352">
        <v>78</v>
      </c>
      <c r="AH352">
        <v>12</v>
      </c>
      <c r="AI352">
        <v>12</v>
      </c>
      <c r="AJ352">
        <v>2</v>
      </c>
      <c r="AK352">
        <v>11</v>
      </c>
      <c r="AL352" t="s">
        <v>861</v>
      </c>
      <c r="AM352" t="s">
        <v>862</v>
      </c>
      <c r="AN352" t="s">
        <v>863</v>
      </c>
      <c r="AO352" t="s">
        <v>2033</v>
      </c>
      <c r="AP352" t="s">
        <v>74</v>
      </c>
      <c r="AQ352" t="s">
        <v>74</v>
      </c>
      <c r="AR352" t="s">
        <v>2034</v>
      </c>
      <c r="AS352" t="s">
        <v>2035</v>
      </c>
      <c r="AT352" t="s">
        <v>7255</v>
      </c>
      <c r="AU352">
        <v>2021</v>
      </c>
      <c r="AV352">
        <v>11</v>
      </c>
      <c r="AW352">
        <v>1</v>
      </c>
      <c r="AX352" t="s">
        <v>74</v>
      </c>
      <c r="AY352" t="s">
        <v>74</v>
      </c>
      <c r="AZ352" t="s">
        <v>74</v>
      </c>
      <c r="BA352" t="s">
        <v>74</v>
      </c>
      <c r="BB352" t="s">
        <v>74</v>
      </c>
      <c r="BC352" t="s">
        <v>74</v>
      </c>
      <c r="BD352">
        <v>6834</v>
      </c>
      <c r="BE352" t="s">
        <v>7256</v>
      </c>
      <c r="BF352" t="str">
        <f>HYPERLINK("http://dx.doi.org/10.1038/s41598-021-86406-9","http://dx.doi.org/10.1038/s41598-021-86406-9")</f>
        <v>http://dx.doi.org/10.1038/s41598-021-86406-9</v>
      </c>
      <c r="BG352" t="s">
        <v>74</v>
      </c>
      <c r="BH352" t="s">
        <v>74</v>
      </c>
      <c r="BI352">
        <v>12</v>
      </c>
      <c r="BJ352" t="s">
        <v>555</v>
      </c>
      <c r="BK352" t="s">
        <v>101</v>
      </c>
      <c r="BL352" t="s">
        <v>556</v>
      </c>
      <c r="BM352" t="s">
        <v>7257</v>
      </c>
      <c r="BN352">
        <v>33767313</v>
      </c>
      <c r="BO352" t="s">
        <v>558</v>
      </c>
      <c r="BP352" t="s">
        <v>74</v>
      </c>
      <c r="BQ352" t="s">
        <v>74</v>
      </c>
      <c r="BR352" t="s">
        <v>104</v>
      </c>
      <c r="BS352" t="s">
        <v>7258</v>
      </c>
      <c r="BT352" t="str">
        <f>HYPERLINK("https%3A%2F%2Fwww.webofscience.com%2Fwos%2Fwoscc%2Ffull-record%2FWOS:000635698500021","View Full Record in Web of Science")</f>
        <v>View Full Record in Web of Science</v>
      </c>
    </row>
    <row r="353" spans="1:72" x14ac:dyDescent="0.15">
      <c r="A353" t="s">
        <v>72</v>
      </c>
      <c r="B353" t="s">
        <v>7259</v>
      </c>
      <c r="C353" t="s">
        <v>74</v>
      </c>
      <c r="D353" t="s">
        <v>74</v>
      </c>
      <c r="E353" t="s">
        <v>74</v>
      </c>
      <c r="F353" t="s">
        <v>7260</v>
      </c>
      <c r="G353" t="s">
        <v>74</v>
      </c>
      <c r="H353" t="s">
        <v>74</v>
      </c>
      <c r="I353" t="s">
        <v>7261</v>
      </c>
      <c r="J353" t="s">
        <v>2687</v>
      </c>
      <c r="K353" t="s">
        <v>74</v>
      </c>
      <c r="L353" t="s">
        <v>74</v>
      </c>
      <c r="M353" t="s">
        <v>78</v>
      </c>
      <c r="N353" t="s">
        <v>79</v>
      </c>
      <c r="O353" t="s">
        <v>74</v>
      </c>
      <c r="P353" t="s">
        <v>74</v>
      </c>
      <c r="Q353" t="s">
        <v>74</v>
      </c>
      <c r="R353" t="s">
        <v>74</v>
      </c>
      <c r="S353" t="s">
        <v>74</v>
      </c>
      <c r="T353" t="s">
        <v>7262</v>
      </c>
      <c r="U353" t="s">
        <v>7263</v>
      </c>
      <c r="V353" t="s">
        <v>7264</v>
      </c>
      <c r="W353" t="s">
        <v>7265</v>
      </c>
      <c r="X353" t="s">
        <v>7266</v>
      </c>
      <c r="Y353" t="s">
        <v>7267</v>
      </c>
      <c r="Z353" t="s">
        <v>7268</v>
      </c>
      <c r="AA353" t="s">
        <v>7269</v>
      </c>
      <c r="AB353" t="s">
        <v>7270</v>
      </c>
      <c r="AC353" t="s">
        <v>7271</v>
      </c>
      <c r="AD353" t="s">
        <v>7272</v>
      </c>
      <c r="AE353" t="s">
        <v>7273</v>
      </c>
      <c r="AF353" t="s">
        <v>74</v>
      </c>
      <c r="AG353">
        <v>88</v>
      </c>
      <c r="AH353">
        <v>20</v>
      </c>
      <c r="AI353">
        <v>21</v>
      </c>
      <c r="AJ353">
        <v>1</v>
      </c>
      <c r="AK353">
        <v>12</v>
      </c>
      <c r="AL353" t="s">
        <v>603</v>
      </c>
      <c r="AM353" t="s">
        <v>604</v>
      </c>
      <c r="AN353" t="s">
        <v>605</v>
      </c>
      <c r="AO353" t="s">
        <v>74</v>
      </c>
      <c r="AP353" t="s">
        <v>2699</v>
      </c>
      <c r="AQ353" t="s">
        <v>74</v>
      </c>
      <c r="AR353" t="s">
        <v>2700</v>
      </c>
      <c r="AS353" t="s">
        <v>2701</v>
      </c>
      <c r="AT353" t="s">
        <v>7255</v>
      </c>
      <c r="AU353">
        <v>2021</v>
      </c>
      <c r="AV353">
        <v>8</v>
      </c>
      <c r="AW353" t="s">
        <v>74</v>
      </c>
      <c r="AX353" t="s">
        <v>74</v>
      </c>
      <c r="AY353" t="s">
        <v>74</v>
      </c>
      <c r="AZ353" t="s">
        <v>74</v>
      </c>
      <c r="BA353" t="s">
        <v>74</v>
      </c>
      <c r="BB353" t="s">
        <v>74</v>
      </c>
      <c r="BC353" t="s">
        <v>74</v>
      </c>
      <c r="BD353">
        <v>604043</v>
      </c>
      <c r="BE353" t="s">
        <v>7274</v>
      </c>
      <c r="BF353" t="str">
        <f>HYPERLINK("http://dx.doi.org/10.3389/fmars.2021.604043","http://dx.doi.org/10.3389/fmars.2021.604043")</f>
        <v>http://dx.doi.org/10.3389/fmars.2021.604043</v>
      </c>
      <c r="BG353" t="s">
        <v>74</v>
      </c>
      <c r="BH353" t="s">
        <v>74</v>
      </c>
      <c r="BI353">
        <v>18</v>
      </c>
      <c r="BJ353" t="s">
        <v>1646</v>
      </c>
      <c r="BK353" t="s">
        <v>101</v>
      </c>
      <c r="BL353" t="s">
        <v>710</v>
      </c>
      <c r="BM353" t="s">
        <v>7275</v>
      </c>
      <c r="BN353" t="s">
        <v>74</v>
      </c>
      <c r="BO353" t="s">
        <v>317</v>
      </c>
      <c r="BP353" t="s">
        <v>74</v>
      </c>
      <c r="BQ353" t="s">
        <v>74</v>
      </c>
      <c r="BR353" t="s">
        <v>104</v>
      </c>
      <c r="BS353" t="s">
        <v>7276</v>
      </c>
      <c r="BT353" t="str">
        <f>HYPERLINK("https%3A%2F%2Fwww.webofscience.com%2Fwos%2Fwoscc%2Ffull-record%2FWOS:000637885500001","View Full Record in Web of Science")</f>
        <v>View Full Record in Web of Science</v>
      </c>
    </row>
    <row r="354" spans="1:72" x14ac:dyDescent="0.15">
      <c r="A354" t="s">
        <v>72</v>
      </c>
      <c r="B354" t="s">
        <v>7277</v>
      </c>
      <c r="C354" t="s">
        <v>74</v>
      </c>
      <c r="D354" t="s">
        <v>74</v>
      </c>
      <c r="E354" t="s">
        <v>74</v>
      </c>
      <c r="F354" t="s">
        <v>7278</v>
      </c>
      <c r="G354" t="s">
        <v>74</v>
      </c>
      <c r="H354" t="s">
        <v>74</v>
      </c>
      <c r="I354" t="s">
        <v>7279</v>
      </c>
      <c r="J354" t="s">
        <v>590</v>
      </c>
      <c r="K354" t="s">
        <v>74</v>
      </c>
      <c r="L354" t="s">
        <v>74</v>
      </c>
      <c r="M354" t="s">
        <v>78</v>
      </c>
      <c r="N354" t="s">
        <v>79</v>
      </c>
      <c r="O354" t="s">
        <v>74</v>
      </c>
      <c r="P354" t="s">
        <v>74</v>
      </c>
      <c r="Q354" t="s">
        <v>74</v>
      </c>
      <c r="R354" t="s">
        <v>74</v>
      </c>
      <c r="S354" t="s">
        <v>74</v>
      </c>
      <c r="T354" t="s">
        <v>7280</v>
      </c>
      <c r="U354" t="s">
        <v>74</v>
      </c>
      <c r="V354" t="s">
        <v>7281</v>
      </c>
      <c r="W354" t="s">
        <v>7282</v>
      </c>
      <c r="X354" t="s">
        <v>7283</v>
      </c>
      <c r="Y354" t="s">
        <v>7284</v>
      </c>
      <c r="Z354" t="s">
        <v>7285</v>
      </c>
      <c r="AA354" t="s">
        <v>7286</v>
      </c>
      <c r="AB354" t="s">
        <v>7287</v>
      </c>
      <c r="AC354" t="s">
        <v>7288</v>
      </c>
      <c r="AD354" t="s">
        <v>7289</v>
      </c>
      <c r="AE354" t="s">
        <v>7290</v>
      </c>
      <c r="AF354" t="s">
        <v>74</v>
      </c>
      <c r="AG354">
        <v>72</v>
      </c>
      <c r="AH354">
        <v>4</v>
      </c>
      <c r="AI354">
        <v>4</v>
      </c>
      <c r="AJ354">
        <v>2</v>
      </c>
      <c r="AK354">
        <v>9</v>
      </c>
      <c r="AL354" t="s">
        <v>603</v>
      </c>
      <c r="AM354" t="s">
        <v>604</v>
      </c>
      <c r="AN354" t="s">
        <v>605</v>
      </c>
      <c r="AO354" t="s">
        <v>74</v>
      </c>
      <c r="AP354" t="s">
        <v>606</v>
      </c>
      <c r="AQ354" t="s">
        <v>74</v>
      </c>
      <c r="AR354" t="s">
        <v>607</v>
      </c>
      <c r="AS354" t="s">
        <v>608</v>
      </c>
      <c r="AT354" t="s">
        <v>7255</v>
      </c>
      <c r="AU354">
        <v>2021</v>
      </c>
      <c r="AV354">
        <v>9</v>
      </c>
      <c r="AW354" t="s">
        <v>74</v>
      </c>
      <c r="AX354" t="s">
        <v>74</v>
      </c>
      <c r="AY354" t="s">
        <v>74</v>
      </c>
      <c r="AZ354" t="s">
        <v>74</v>
      </c>
      <c r="BA354" t="s">
        <v>74</v>
      </c>
      <c r="BB354" t="s">
        <v>74</v>
      </c>
      <c r="BC354" t="s">
        <v>74</v>
      </c>
      <c r="BD354">
        <v>630070</v>
      </c>
      <c r="BE354" t="s">
        <v>7291</v>
      </c>
      <c r="BF354" t="str">
        <f>HYPERLINK("http://dx.doi.org/10.3389/feart.2021.630070","http://dx.doi.org/10.3389/feart.2021.630070")</f>
        <v>http://dx.doi.org/10.3389/feart.2021.630070</v>
      </c>
      <c r="BG354" t="s">
        <v>74</v>
      </c>
      <c r="BH354" t="s">
        <v>74</v>
      </c>
      <c r="BI354">
        <v>16</v>
      </c>
      <c r="BJ354" t="s">
        <v>100</v>
      </c>
      <c r="BK354" t="s">
        <v>101</v>
      </c>
      <c r="BL354" t="s">
        <v>102</v>
      </c>
      <c r="BM354" t="s">
        <v>7292</v>
      </c>
      <c r="BN354" t="s">
        <v>74</v>
      </c>
      <c r="BO354" t="s">
        <v>298</v>
      </c>
      <c r="BP354" t="s">
        <v>74</v>
      </c>
      <c r="BQ354" t="s">
        <v>74</v>
      </c>
      <c r="BR354" t="s">
        <v>104</v>
      </c>
      <c r="BS354" t="s">
        <v>7293</v>
      </c>
      <c r="BT354" t="str">
        <f>HYPERLINK("https%3A%2F%2Fwww.webofscience.com%2Fwos%2Fwoscc%2Ffull-record%2FWOS:000637715700001","View Full Record in Web of Science")</f>
        <v>View Full Record in Web of Science</v>
      </c>
    </row>
    <row r="355" spans="1:72" x14ac:dyDescent="0.15">
      <c r="A355" t="s">
        <v>72</v>
      </c>
      <c r="B355" t="s">
        <v>7294</v>
      </c>
      <c r="C355" t="s">
        <v>74</v>
      </c>
      <c r="D355" t="s">
        <v>74</v>
      </c>
      <c r="E355" t="s">
        <v>74</v>
      </c>
      <c r="F355" t="s">
        <v>7295</v>
      </c>
      <c r="G355" t="s">
        <v>74</v>
      </c>
      <c r="H355" t="s">
        <v>74</v>
      </c>
      <c r="I355" t="s">
        <v>7296</v>
      </c>
      <c r="J355" t="s">
        <v>7297</v>
      </c>
      <c r="K355" t="s">
        <v>74</v>
      </c>
      <c r="L355" t="s">
        <v>74</v>
      </c>
      <c r="M355" t="s">
        <v>78</v>
      </c>
      <c r="N355" t="s">
        <v>79</v>
      </c>
      <c r="O355" t="s">
        <v>74</v>
      </c>
      <c r="P355" t="s">
        <v>74</v>
      </c>
      <c r="Q355" t="s">
        <v>74</v>
      </c>
      <c r="R355" t="s">
        <v>74</v>
      </c>
      <c r="S355" t="s">
        <v>74</v>
      </c>
      <c r="T355" t="s">
        <v>7298</v>
      </c>
      <c r="U355" t="s">
        <v>7299</v>
      </c>
      <c r="V355" t="s">
        <v>7300</v>
      </c>
      <c r="W355" t="s">
        <v>7301</v>
      </c>
      <c r="X355" t="s">
        <v>7302</v>
      </c>
      <c r="Y355" t="s">
        <v>7303</v>
      </c>
      <c r="Z355" t="s">
        <v>7304</v>
      </c>
      <c r="AA355" t="s">
        <v>74</v>
      </c>
      <c r="AB355" t="s">
        <v>74</v>
      </c>
      <c r="AC355" t="s">
        <v>7305</v>
      </c>
      <c r="AD355" t="s">
        <v>7306</v>
      </c>
      <c r="AE355" t="s">
        <v>7307</v>
      </c>
      <c r="AF355" t="s">
        <v>74</v>
      </c>
      <c r="AG355">
        <v>42</v>
      </c>
      <c r="AH355">
        <v>0</v>
      </c>
      <c r="AI355">
        <v>0</v>
      </c>
      <c r="AJ355">
        <v>1</v>
      </c>
      <c r="AK355">
        <v>4</v>
      </c>
      <c r="AL355" t="s">
        <v>1590</v>
      </c>
      <c r="AM355" t="s">
        <v>1591</v>
      </c>
      <c r="AN355" t="s">
        <v>1592</v>
      </c>
      <c r="AO355" t="s">
        <v>7308</v>
      </c>
      <c r="AP355" t="s">
        <v>7309</v>
      </c>
      <c r="AQ355" t="s">
        <v>74</v>
      </c>
      <c r="AR355" t="s">
        <v>7310</v>
      </c>
      <c r="AS355" t="s">
        <v>7311</v>
      </c>
      <c r="AT355" t="s">
        <v>7312</v>
      </c>
      <c r="AU355">
        <v>2022</v>
      </c>
      <c r="AV355">
        <v>40</v>
      </c>
      <c r="AW355">
        <v>18</v>
      </c>
      <c r="AX355" t="s">
        <v>74</v>
      </c>
      <c r="AY355" t="s">
        <v>74</v>
      </c>
      <c r="AZ355" t="s">
        <v>74</v>
      </c>
      <c r="BA355" t="s">
        <v>74</v>
      </c>
      <c r="BB355">
        <v>8206</v>
      </c>
      <c r="BC355">
        <v>8215</v>
      </c>
      <c r="BD355" t="s">
        <v>74</v>
      </c>
      <c r="BE355" t="s">
        <v>7313</v>
      </c>
      <c r="BF355" t="str">
        <f>HYPERLINK("http://dx.doi.org/10.1080/07391102.2021.1908168","http://dx.doi.org/10.1080/07391102.2021.1908168")</f>
        <v>http://dx.doi.org/10.1080/07391102.2021.1908168</v>
      </c>
      <c r="BG355" t="s">
        <v>74</v>
      </c>
      <c r="BH355" t="s">
        <v>6407</v>
      </c>
      <c r="BI355">
        <v>10</v>
      </c>
      <c r="BJ355" t="s">
        <v>7314</v>
      </c>
      <c r="BK355" t="s">
        <v>101</v>
      </c>
      <c r="BL355" t="s">
        <v>7314</v>
      </c>
      <c r="BM355" t="s">
        <v>7315</v>
      </c>
      <c r="BN355">
        <v>33847251</v>
      </c>
      <c r="BO355" t="s">
        <v>74</v>
      </c>
      <c r="BP355" t="s">
        <v>74</v>
      </c>
      <c r="BQ355" t="s">
        <v>74</v>
      </c>
      <c r="BR355" t="s">
        <v>104</v>
      </c>
      <c r="BS355" t="s">
        <v>7316</v>
      </c>
      <c r="BT355" t="str">
        <f>HYPERLINK("https%3A%2F%2Fwww.webofscience.com%2Fwos%2Fwoscc%2Ffull-record%2FWOS:000639896500001","View Full Record in Web of Science")</f>
        <v>View Full Record in Web of Science</v>
      </c>
    </row>
    <row r="356" spans="1:72" x14ac:dyDescent="0.15">
      <c r="A356" t="s">
        <v>72</v>
      </c>
      <c r="B356" t="s">
        <v>7317</v>
      </c>
      <c r="C356" t="s">
        <v>74</v>
      </c>
      <c r="D356" t="s">
        <v>74</v>
      </c>
      <c r="E356" t="s">
        <v>74</v>
      </c>
      <c r="F356" t="s">
        <v>7318</v>
      </c>
      <c r="G356" t="s">
        <v>74</v>
      </c>
      <c r="H356" t="s">
        <v>74</v>
      </c>
      <c r="I356" t="s">
        <v>7319</v>
      </c>
      <c r="J356" t="s">
        <v>7320</v>
      </c>
      <c r="K356" t="s">
        <v>74</v>
      </c>
      <c r="L356" t="s">
        <v>74</v>
      </c>
      <c r="M356" t="s">
        <v>78</v>
      </c>
      <c r="N356" t="s">
        <v>79</v>
      </c>
      <c r="O356" t="s">
        <v>74</v>
      </c>
      <c r="P356" t="s">
        <v>74</v>
      </c>
      <c r="Q356" t="s">
        <v>74</v>
      </c>
      <c r="R356" t="s">
        <v>74</v>
      </c>
      <c r="S356" t="s">
        <v>74</v>
      </c>
      <c r="T356" t="s">
        <v>74</v>
      </c>
      <c r="U356" t="s">
        <v>7321</v>
      </c>
      <c r="V356" t="s">
        <v>7322</v>
      </c>
      <c r="W356" t="s">
        <v>7323</v>
      </c>
      <c r="X356" t="s">
        <v>7324</v>
      </c>
      <c r="Y356" t="s">
        <v>7325</v>
      </c>
      <c r="Z356" t="s">
        <v>6618</v>
      </c>
      <c r="AA356" t="s">
        <v>7326</v>
      </c>
      <c r="AB356" t="s">
        <v>7327</v>
      </c>
      <c r="AC356" t="s">
        <v>7328</v>
      </c>
      <c r="AD356" t="s">
        <v>7329</v>
      </c>
      <c r="AE356" t="s">
        <v>7330</v>
      </c>
      <c r="AF356" t="s">
        <v>74</v>
      </c>
      <c r="AG356">
        <v>82</v>
      </c>
      <c r="AH356">
        <v>10</v>
      </c>
      <c r="AI356">
        <v>10</v>
      </c>
      <c r="AJ356">
        <v>5</v>
      </c>
      <c r="AK356">
        <v>16</v>
      </c>
      <c r="AL356" t="s">
        <v>861</v>
      </c>
      <c r="AM356" t="s">
        <v>862</v>
      </c>
      <c r="AN356" t="s">
        <v>863</v>
      </c>
      <c r="AO356" t="s">
        <v>74</v>
      </c>
      <c r="AP356" t="s">
        <v>7331</v>
      </c>
      <c r="AQ356" t="s">
        <v>74</v>
      </c>
      <c r="AR356" t="s">
        <v>7332</v>
      </c>
      <c r="AS356" t="s">
        <v>7333</v>
      </c>
      <c r="AT356" t="s">
        <v>7255</v>
      </c>
      <c r="AU356">
        <v>2021</v>
      </c>
      <c r="AV356">
        <v>4</v>
      </c>
      <c r="AW356">
        <v>1</v>
      </c>
      <c r="AX356" t="s">
        <v>74</v>
      </c>
      <c r="AY356" t="s">
        <v>74</v>
      </c>
      <c r="AZ356" t="s">
        <v>74</v>
      </c>
      <c r="BA356" t="s">
        <v>74</v>
      </c>
      <c r="BB356" t="s">
        <v>74</v>
      </c>
      <c r="BC356" t="s">
        <v>74</v>
      </c>
      <c r="BD356">
        <v>403</v>
      </c>
      <c r="BE356" t="s">
        <v>7334</v>
      </c>
      <c r="BF356" t="str">
        <f>HYPERLINK("http://dx.doi.org/10.1038/s42003-021-01951-3","http://dx.doi.org/10.1038/s42003-021-01951-3")</f>
        <v>http://dx.doi.org/10.1038/s42003-021-01951-3</v>
      </c>
      <c r="BG356" t="s">
        <v>74</v>
      </c>
      <c r="BH356" t="s">
        <v>74</v>
      </c>
      <c r="BI356">
        <v>10</v>
      </c>
      <c r="BJ356" t="s">
        <v>7335</v>
      </c>
      <c r="BK356" t="s">
        <v>101</v>
      </c>
      <c r="BL356" t="s">
        <v>7336</v>
      </c>
      <c r="BM356" t="s">
        <v>7337</v>
      </c>
      <c r="BN356">
        <v>33767327</v>
      </c>
      <c r="BO356" t="s">
        <v>5570</v>
      </c>
      <c r="BP356" t="s">
        <v>74</v>
      </c>
      <c r="BQ356" t="s">
        <v>74</v>
      </c>
      <c r="BR356" t="s">
        <v>104</v>
      </c>
      <c r="BS356" t="s">
        <v>7338</v>
      </c>
      <c r="BT356" t="str">
        <f>HYPERLINK("https%3A%2F%2Fwww.webofscience.com%2Fwos%2Fwoscc%2Ffull-record%2FWOS:000635256600008","View Full Record in Web of Science")</f>
        <v>View Full Record in Web of Science</v>
      </c>
    </row>
    <row r="357" spans="1:72" x14ac:dyDescent="0.15">
      <c r="A357" t="s">
        <v>72</v>
      </c>
      <c r="B357" t="s">
        <v>7339</v>
      </c>
      <c r="C357" t="s">
        <v>74</v>
      </c>
      <c r="D357" t="s">
        <v>74</v>
      </c>
      <c r="E357" t="s">
        <v>74</v>
      </c>
      <c r="F357" t="s">
        <v>7340</v>
      </c>
      <c r="G357" t="s">
        <v>74</v>
      </c>
      <c r="H357" t="s">
        <v>74</v>
      </c>
      <c r="I357" t="s">
        <v>7341</v>
      </c>
      <c r="J357" t="s">
        <v>1761</v>
      </c>
      <c r="K357" t="s">
        <v>74</v>
      </c>
      <c r="L357" t="s">
        <v>74</v>
      </c>
      <c r="M357" t="s">
        <v>78</v>
      </c>
      <c r="N357" t="s">
        <v>79</v>
      </c>
      <c r="O357" t="s">
        <v>74</v>
      </c>
      <c r="P357" t="s">
        <v>74</v>
      </c>
      <c r="Q357" t="s">
        <v>74</v>
      </c>
      <c r="R357" t="s">
        <v>74</v>
      </c>
      <c r="S357" t="s">
        <v>74</v>
      </c>
      <c r="T357" t="s">
        <v>74</v>
      </c>
      <c r="U357" t="s">
        <v>7342</v>
      </c>
      <c r="V357" t="s">
        <v>7343</v>
      </c>
      <c r="W357" t="s">
        <v>7344</v>
      </c>
      <c r="X357" t="s">
        <v>7345</v>
      </c>
      <c r="Y357" t="s">
        <v>7346</v>
      </c>
      <c r="Z357" t="s">
        <v>7347</v>
      </c>
      <c r="AA357" t="s">
        <v>7348</v>
      </c>
      <c r="AB357" t="s">
        <v>7349</v>
      </c>
      <c r="AC357" t="s">
        <v>7350</v>
      </c>
      <c r="AD357" t="s">
        <v>7351</v>
      </c>
      <c r="AE357" t="s">
        <v>7352</v>
      </c>
      <c r="AF357" t="s">
        <v>74</v>
      </c>
      <c r="AG357">
        <v>75</v>
      </c>
      <c r="AH357">
        <v>37</v>
      </c>
      <c r="AI357">
        <v>40</v>
      </c>
      <c r="AJ357">
        <v>3</v>
      </c>
      <c r="AK357">
        <v>20</v>
      </c>
      <c r="AL357" t="s">
        <v>1269</v>
      </c>
      <c r="AM357" t="s">
        <v>1270</v>
      </c>
      <c r="AN357" t="s">
        <v>1271</v>
      </c>
      <c r="AO357" t="s">
        <v>1773</v>
      </c>
      <c r="AP357" t="s">
        <v>1774</v>
      </c>
      <c r="AQ357" t="s">
        <v>74</v>
      </c>
      <c r="AR357" t="s">
        <v>1761</v>
      </c>
      <c r="AS357" t="s">
        <v>1775</v>
      </c>
      <c r="AT357" t="s">
        <v>7255</v>
      </c>
      <c r="AU357">
        <v>2021</v>
      </c>
      <c r="AV357">
        <v>15</v>
      </c>
      <c r="AW357">
        <v>3</v>
      </c>
      <c r="AX357" t="s">
        <v>74</v>
      </c>
      <c r="AY357" t="s">
        <v>74</v>
      </c>
      <c r="AZ357" t="s">
        <v>74</v>
      </c>
      <c r="BA357" t="s">
        <v>74</v>
      </c>
      <c r="BB357">
        <v>1501</v>
      </c>
      <c r="BC357">
        <v>1516</v>
      </c>
      <c r="BD357" t="s">
        <v>74</v>
      </c>
      <c r="BE357" t="s">
        <v>7353</v>
      </c>
      <c r="BF357" t="str">
        <f>HYPERLINK("http://dx.doi.org/10.5194/tc-15-1501-2021","http://dx.doi.org/10.5194/tc-15-1501-2021")</f>
        <v>http://dx.doi.org/10.5194/tc-15-1501-2021</v>
      </c>
      <c r="BG357" t="s">
        <v>74</v>
      </c>
      <c r="BH357" t="s">
        <v>74</v>
      </c>
      <c r="BI357">
        <v>16</v>
      </c>
      <c r="BJ357" t="s">
        <v>1685</v>
      </c>
      <c r="BK357" t="s">
        <v>101</v>
      </c>
      <c r="BL357" t="s">
        <v>1686</v>
      </c>
      <c r="BM357" t="s">
        <v>7354</v>
      </c>
      <c r="BN357" t="s">
        <v>74</v>
      </c>
      <c r="BO357" t="s">
        <v>7355</v>
      </c>
      <c r="BP357" t="s">
        <v>74</v>
      </c>
      <c r="BQ357" t="s">
        <v>74</v>
      </c>
      <c r="BR357" t="s">
        <v>104</v>
      </c>
      <c r="BS357" t="s">
        <v>7356</v>
      </c>
      <c r="BT357" t="str">
        <f>HYPERLINK("https%3A%2F%2Fwww.webofscience.com%2Fwos%2Fwoscc%2Ffull-record%2FWOS:000634741800001","View Full Record in Web of Science")</f>
        <v>View Full Record in Web of Science</v>
      </c>
    </row>
    <row r="358" spans="1:72" x14ac:dyDescent="0.15">
      <c r="A358" t="s">
        <v>72</v>
      </c>
      <c r="B358" t="s">
        <v>7357</v>
      </c>
      <c r="C358" t="s">
        <v>74</v>
      </c>
      <c r="D358" t="s">
        <v>74</v>
      </c>
      <c r="E358" t="s">
        <v>74</v>
      </c>
      <c r="F358" t="s">
        <v>7358</v>
      </c>
      <c r="G358" t="s">
        <v>74</v>
      </c>
      <c r="H358" t="s">
        <v>74</v>
      </c>
      <c r="I358" t="s">
        <v>7359</v>
      </c>
      <c r="J358" t="s">
        <v>1761</v>
      </c>
      <c r="K358" t="s">
        <v>74</v>
      </c>
      <c r="L358" t="s">
        <v>74</v>
      </c>
      <c r="M358" t="s">
        <v>78</v>
      </c>
      <c r="N358" t="s">
        <v>79</v>
      </c>
      <c r="O358" t="s">
        <v>74</v>
      </c>
      <c r="P358" t="s">
        <v>74</v>
      </c>
      <c r="Q358" t="s">
        <v>74</v>
      </c>
      <c r="R358" t="s">
        <v>74</v>
      </c>
      <c r="S358" t="s">
        <v>74</v>
      </c>
      <c r="T358" t="s">
        <v>74</v>
      </c>
      <c r="U358" t="s">
        <v>7360</v>
      </c>
      <c r="V358" t="s">
        <v>7361</v>
      </c>
      <c r="W358" t="s">
        <v>7362</v>
      </c>
      <c r="X358" t="s">
        <v>7363</v>
      </c>
      <c r="Y358" t="s">
        <v>7364</v>
      </c>
      <c r="Z358" t="s">
        <v>7365</v>
      </c>
      <c r="AA358" t="s">
        <v>7366</v>
      </c>
      <c r="AB358" t="s">
        <v>7367</v>
      </c>
      <c r="AC358" t="s">
        <v>7368</v>
      </c>
      <c r="AD358" t="s">
        <v>7369</v>
      </c>
      <c r="AE358" t="s">
        <v>7370</v>
      </c>
      <c r="AF358" t="s">
        <v>74</v>
      </c>
      <c r="AG358">
        <v>48</v>
      </c>
      <c r="AH358">
        <v>7</v>
      </c>
      <c r="AI358">
        <v>7</v>
      </c>
      <c r="AJ358">
        <v>0</v>
      </c>
      <c r="AK358">
        <v>4</v>
      </c>
      <c r="AL358" t="s">
        <v>1269</v>
      </c>
      <c r="AM358" t="s">
        <v>1270</v>
      </c>
      <c r="AN358" t="s">
        <v>1271</v>
      </c>
      <c r="AO358" t="s">
        <v>1773</v>
      </c>
      <c r="AP358" t="s">
        <v>1774</v>
      </c>
      <c r="AQ358" t="s">
        <v>74</v>
      </c>
      <c r="AR358" t="s">
        <v>1761</v>
      </c>
      <c r="AS358" t="s">
        <v>1775</v>
      </c>
      <c r="AT358" t="s">
        <v>7255</v>
      </c>
      <c r="AU358">
        <v>2021</v>
      </c>
      <c r="AV358">
        <v>15</v>
      </c>
      <c r="AW358">
        <v>3</v>
      </c>
      <c r="AX358" t="s">
        <v>74</v>
      </c>
      <c r="AY358" t="s">
        <v>74</v>
      </c>
      <c r="AZ358" t="s">
        <v>74</v>
      </c>
      <c r="BA358" t="s">
        <v>74</v>
      </c>
      <c r="BB358">
        <v>1517</v>
      </c>
      <c r="BC358">
        <v>1535</v>
      </c>
      <c r="BD358" t="s">
        <v>74</v>
      </c>
      <c r="BE358" t="s">
        <v>7371</v>
      </c>
      <c r="BF358" t="str">
        <f>HYPERLINK("http://dx.doi.org/10.5194/tc-15-1517-2021","http://dx.doi.org/10.5194/tc-15-1517-2021")</f>
        <v>http://dx.doi.org/10.5194/tc-15-1517-2021</v>
      </c>
      <c r="BG358" t="s">
        <v>74</v>
      </c>
      <c r="BH358" t="s">
        <v>74</v>
      </c>
      <c r="BI358">
        <v>19</v>
      </c>
      <c r="BJ358" t="s">
        <v>1685</v>
      </c>
      <c r="BK358" t="s">
        <v>101</v>
      </c>
      <c r="BL358" t="s">
        <v>1686</v>
      </c>
      <c r="BM358" t="s">
        <v>7354</v>
      </c>
      <c r="BN358" t="s">
        <v>74</v>
      </c>
      <c r="BO358" t="s">
        <v>1998</v>
      </c>
      <c r="BP358" t="s">
        <v>74</v>
      </c>
      <c r="BQ358" t="s">
        <v>74</v>
      </c>
      <c r="BR358" t="s">
        <v>104</v>
      </c>
      <c r="BS358" t="s">
        <v>7372</v>
      </c>
      <c r="BT358" t="str">
        <f>HYPERLINK("https%3A%2F%2Fwww.webofscience.com%2Fwos%2Fwoscc%2Ffull-record%2FWOS:000634741800002","View Full Record in Web of Science")</f>
        <v>View Full Record in Web of Science</v>
      </c>
    </row>
    <row r="359" spans="1:72" x14ac:dyDescent="0.15">
      <c r="A359" t="s">
        <v>72</v>
      </c>
      <c r="B359" t="s">
        <v>7373</v>
      </c>
      <c r="C359" t="s">
        <v>74</v>
      </c>
      <c r="D359" t="s">
        <v>74</v>
      </c>
      <c r="E359" t="s">
        <v>74</v>
      </c>
      <c r="F359" t="s">
        <v>7374</v>
      </c>
      <c r="G359" t="s">
        <v>74</v>
      </c>
      <c r="H359" t="s">
        <v>74</v>
      </c>
      <c r="I359" t="s">
        <v>7375</v>
      </c>
      <c r="J359" t="s">
        <v>1421</v>
      </c>
      <c r="K359" t="s">
        <v>74</v>
      </c>
      <c r="L359" t="s">
        <v>74</v>
      </c>
      <c r="M359" t="s">
        <v>78</v>
      </c>
      <c r="N359" t="s">
        <v>79</v>
      </c>
      <c r="O359" t="s">
        <v>74</v>
      </c>
      <c r="P359" t="s">
        <v>74</v>
      </c>
      <c r="Q359" t="s">
        <v>74</v>
      </c>
      <c r="R359" t="s">
        <v>74</v>
      </c>
      <c r="S359" t="s">
        <v>74</v>
      </c>
      <c r="T359" t="s">
        <v>7376</v>
      </c>
      <c r="U359" t="s">
        <v>7377</v>
      </c>
      <c r="V359" t="s">
        <v>7378</v>
      </c>
      <c r="W359" t="s">
        <v>7379</v>
      </c>
      <c r="X359" t="s">
        <v>7380</v>
      </c>
      <c r="Y359" t="s">
        <v>7381</v>
      </c>
      <c r="Z359" t="s">
        <v>7382</v>
      </c>
      <c r="AA359" t="s">
        <v>7383</v>
      </c>
      <c r="AB359" t="s">
        <v>7384</v>
      </c>
      <c r="AC359" t="s">
        <v>74</v>
      </c>
      <c r="AD359" t="s">
        <v>74</v>
      </c>
      <c r="AE359" t="s">
        <v>74</v>
      </c>
      <c r="AF359" t="s">
        <v>74</v>
      </c>
      <c r="AG359">
        <v>42</v>
      </c>
      <c r="AH359">
        <v>1</v>
      </c>
      <c r="AI359">
        <v>1</v>
      </c>
      <c r="AJ359">
        <v>0</v>
      </c>
      <c r="AK359">
        <v>5</v>
      </c>
      <c r="AL359" t="s">
        <v>166</v>
      </c>
      <c r="AM359" t="s">
        <v>167</v>
      </c>
      <c r="AN359" t="s">
        <v>168</v>
      </c>
      <c r="AO359" t="s">
        <v>1433</v>
      </c>
      <c r="AP359" t="s">
        <v>1434</v>
      </c>
      <c r="AQ359" t="s">
        <v>74</v>
      </c>
      <c r="AR359" t="s">
        <v>1435</v>
      </c>
      <c r="AS359" t="s">
        <v>1436</v>
      </c>
      <c r="AT359" t="s">
        <v>127</v>
      </c>
      <c r="AU359">
        <v>2021</v>
      </c>
      <c r="AV359">
        <v>44</v>
      </c>
      <c r="AW359">
        <v>5</v>
      </c>
      <c r="AX359" t="s">
        <v>74</v>
      </c>
      <c r="AY359" t="s">
        <v>74</v>
      </c>
      <c r="AZ359" t="s">
        <v>74</v>
      </c>
      <c r="BA359" t="s">
        <v>74</v>
      </c>
      <c r="BB359">
        <v>1015</v>
      </c>
      <c r="BC359">
        <v>1020</v>
      </c>
      <c r="BD359" t="s">
        <v>74</v>
      </c>
      <c r="BE359" t="s">
        <v>7385</v>
      </c>
      <c r="BF359" t="str">
        <f>HYPERLINK("http://dx.doi.org/10.1007/s00300-021-02849-w","http://dx.doi.org/10.1007/s00300-021-02849-w")</f>
        <v>http://dx.doi.org/10.1007/s00300-021-02849-w</v>
      </c>
      <c r="BG359" t="s">
        <v>74</v>
      </c>
      <c r="BH359" t="s">
        <v>6407</v>
      </c>
      <c r="BI359">
        <v>6</v>
      </c>
      <c r="BJ359" t="s">
        <v>1438</v>
      </c>
      <c r="BK359" t="s">
        <v>101</v>
      </c>
      <c r="BL359" t="s">
        <v>1439</v>
      </c>
      <c r="BM359" t="s">
        <v>2150</v>
      </c>
      <c r="BN359" t="s">
        <v>74</v>
      </c>
      <c r="BO359" t="s">
        <v>496</v>
      </c>
      <c r="BP359" t="s">
        <v>74</v>
      </c>
      <c r="BQ359" t="s">
        <v>74</v>
      </c>
      <c r="BR359" t="s">
        <v>104</v>
      </c>
      <c r="BS359" t="s">
        <v>7386</v>
      </c>
      <c r="BT359" t="str">
        <f>HYPERLINK("https%3A%2F%2Fwww.webofscience.com%2Fwos%2Fwoscc%2Ffull-record%2FWOS:000632746800002","View Full Record in Web of Science")</f>
        <v>View Full Record in Web of Science</v>
      </c>
    </row>
    <row r="360" spans="1:72" x14ac:dyDescent="0.15">
      <c r="A360" t="s">
        <v>72</v>
      </c>
      <c r="B360" t="s">
        <v>7387</v>
      </c>
      <c r="C360" t="s">
        <v>74</v>
      </c>
      <c r="D360" t="s">
        <v>74</v>
      </c>
      <c r="E360" t="s">
        <v>74</v>
      </c>
      <c r="F360" t="s">
        <v>7388</v>
      </c>
      <c r="G360" t="s">
        <v>74</v>
      </c>
      <c r="H360" t="s">
        <v>74</v>
      </c>
      <c r="I360" t="s">
        <v>7389</v>
      </c>
      <c r="J360" t="s">
        <v>615</v>
      </c>
      <c r="K360" t="s">
        <v>74</v>
      </c>
      <c r="L360" t="s">
        <v>74</v>
      </c>
      <c r="M360" t="s">
        <v>78</v>
      </c>
      <c r="N360" t="s">
        <v>79</v>
      </c>
      <c r="O360" t="s">
        <v>74</v>
      </c>
      <c r="P360" t="s">
        <v>74</v>
      </c>
      <c r="Q360" t="s">
        <v>74</v>
      </c>
      <c r="R360" t="s">
        <v>74</v>
      </c>
      <c r="S360" t="s">
        <v>74</v>
      </c>
      <c r="T360" t="s">
        <v>7390</v>
      </c>
      <c r="U360" t="s">
        <v>7391</v>
      </c>
      <c r="V360" t="s">
        <v>7392</v>
      </c>
      <c r="W360" t="s">
        <v>7393</v>
      </c>
      <c r="X360" t="s">
        <v>7394</v>
      </c>
      <c r="Y360" t="s">
        <v>7395</v>
      </c>
      <c r="Z360" t="s">
        <v>7396</v>
      </c>
      <c r="AA360" t="s">
        <v>74</v>
      </c>
      <c r="AB360" t="s">
        <v>74</v>
      </c>
      <c r="AC360" t="s">
        <v>7397</v>
      </c>
      <c r="AD360" t="s">
        <v>7398</v>
      </c>
      <c r="AE360" t="s">
        <v>7399</v>
      </c>
      <c r="AF360" t="s">
        <v>74</v>
      </c>
      <c r="AG360">
        <v>47</v>
      </c>
      <c r="AH360">
        <v>1</v>
      </c>
      <c r="AI360">
        <v>1</v>
      </c>
      <c r="AJ360">
        <v>1</v>
      </c>
      <c r="AK360">
        <v>9</v>
      </c>
      <c r="AL360" t="s">
        <v>625</v>
      </c>
      <c r="AM360" t="s">
        <v>167</v>
      </c>
      <c r="AN360" t="s">
        <v>626</v>
      </c>
      <c r="AO360" t="s">
        <v>627</v>
      </c>
      <c r="AP360" t="s">
        <v>628</v>
      </c>
      <c r="AQ360" t="s">
        <v>74</v>
      </c>
      <c r="AR360" t="s">
        <v>629</v>
      </c>
      <c r="AS360" t="s">
        <v>630</v>
      </c>
      <c r="AT360" t="s">
        <v>7255</v>
      </c>
      <c r="AU360">
        <v>2021</v>
      </c>
      <c r="AV360">
        <v>57</v>
      </c>
      <c r="AW360" t="s">
        <v>74</v>
      </c>
      <c r="AX360" t="s">
        <v>74</v>
      </c>
      <c r="AY360" t="s">
        <v>74</v>
      </c>
      <c r="AZ360" t="s">
        <v>74</v>
      </c>
      <c r="BA360" t="s">
        <v>74</v>
      </c>
      <c r="BB360" t="s">
        <v>74</v>
      </c>
      <c r="BC360" t="s">
        <v>74</v>
      </c>
      <c r="BD360" t="s">
        <v>7400</v>
      </c>
      <c r="BE360" t="s">
        <v>7401</v>
      </c>
      <c r="BF360" t="str">
        <f>HYPERLINK("http://dx.doi.org/10.1017/S0032247421000048","http://dx.doi.org/10.1017/S0032247421000048")</f>
        <v>http://dx.doi.org/10.1017/S0032247421000048</v>
      </c>
      <c r="BG360" t="s">
        <v>74</v>
      </c>
      <c r="BH360" t="s">
        <v>74</v>
      </c>
      <c r="BI360">
        <v>14</v>
      </c>
      <c r="BJ360" t="s">
        <v>633</v>
      </c>
      <c r="BK360" t="s">
        <v>101</v>
      </c>
      <c r="BL360" t="s">
        <v>225</v>
      </c>
      <c r="BM360" t="s">
        <v>7402</v>
      </c>
      <c r="BN360" t="s">
        <v>74</v>
      </c>
      <c r="BO360" t="s">
        <v>74</v>
      </c>
      <c r="BP360" t="s">
        <v>74</v>
      </c>
      <c r="BQ360" t="s">
        <v>74</v>
      </c>
      <c r="BR360" t="s">
        <v>104</v>
      </c>
      <c r="BS360" t="s">
        <v>7403</v>
      </c>
      <c r="BT360" t="str">
        <f>HYPERLINK("https%3A%2F%2Fwww.webofscience.com%2Fwos%2Fwoscc%2Ffull-record%2FWOS:000632235000001","View Full Record in Web of Science")</f>
        <v>View Full Record in Web of Science</v>
      </c>
    </row>
    <row r="361" spans="1:72" x14ac:dyDescent="0.15">
      <c r="A361" t="s">
        <v>72</v>
      </c>
      <c r="B361" t="s">
        <v>7404</v>
      </c>
      <c r="C361" t="s">
        <v>74</v>
      </c>
      <c r="D361" t="s">
        <v>74</v>
      </c>
      <c r="E361" t="s">
        <v>74</v>
      </c>
      <c r="F361" t="s">
        <v>7405</v>
      </c>
      <c r="G361" t="s">
        <v>74</v>
      </c>
      <c r="H361" t="s">
        <v>74</v>
      </c>
      <c r="I361" t="s">
        <v>7406</v>
      </c>
      <c r="J361" t="s">
        <v>7407</v>
      </c>
      <c r="K361" t="s">
        <v>74</v>
      </c>
      <c r="L361" t="s">
        <v>74</v>
      </c>
      <c r="M361" t="s">
        <v>78</v>
      </c>
      <c r="N361" t="s">
        <v>79</v>
      </c>
      <c r="O361" t="s">
        <v>74</v>
      </c>
      <c r="P361" t="s">
        <v>74</v>
      </c>
      <c r="Q361" t="s">
        <v>74</v>
      </c>
      <c r="R361" t="s">
        <v>74</v>
      </c>
      <c r="S361" t="s">
        <v>74</v>
      </c>
      <c r="T361" t="s">
        <v>7408</v>
      </c>
      <c r="U361" t="s">
        <v>7409</v>
      </c>
      <c r="V361" t="s">
        <v>7410</v>
      </c>
      <c r="W361" t="s">
        <v>7411</v>
      </c>
      <c r="X361" t="s">
        <v>7412</v>
      </c>
      <c r="Y361" t="s">
        <v>7413</v>
      </c>
      <c r="Z361" t="s">
        <v>7414</v>
      </c>
      <c r="AA361" t="s">
        <v>7415</v>
      </c>
      <c r="AB361" t="s">
        <v>7416</v>
      </c>
      <c r="AC361" t="s">
        <v>7417</v>
      </c>
      <c r="AD361" t="s">
        <v>7418</v>
      </c>
      <c r="AE361" t="s">
        <v>7419</v>
      </c>
      <c r="AF361" t="s">
        <v>74</v>
      </c>
      <c r="AG361">
        <v>64</v>
      </c>
      <c r="AH361">
        <v>4</v>
      </c>
      <c r="AI361">
        <v>4</v>
      </c>
      <c r="AJ361">
        <v>0</v>
      </c>
      <c r="AK361">
        <v>9</v>
      </c>
      <c r="AL361" t="s">
        <v>486</v>
      </c>
      <c r="AM361" t="s">
        <v>487</v>
      </c>
      <c r="AN361" t="s">
        <v>488</v>
      </c>
      <c r="AO361" t="s">
        <v>7420</v>
      </c>
      <c r="AP361" t="s">
        <v>7421</v>
      </c>
      <c r="AQ361" t="s">
        <v>74</v>
      </c>
      <c r="AR361" t="s">
        <v>7422</v>
      </c>
      <c r="AS361" t="s">
        <v>7423</v>
      </c>
      <c r="AT361" t="s">
        <v>1035</v>
      </c>
      <c r="AU361">
        <v>2021</v>
      </c>
      <c r="AV361">
        <v>162</v>
      </c>
      <c r="AW361">
        <v>3</v>
      </c>
      <c r="AX361" t="s">
        <v>74</v>
      </c>
      <c r="AY361" t="s">
        <v>74</v>
      </c>
      <c r="AZ361" t="s">
        <v>74</v>
      </c>
      <c r="BA361" t="s">
        <v>74</v>
      </c>
      <c r="BB361">
        <v>677</v>
      </c>
      <c r="BC361">
        <v>686</v>
      </c>
      <c r="BD361" t="s">
        <v>74</v>
      </c>
      <c r="BE361" t="s">
        <v>7424</v>
      </c>
      <c r="BF361" t="str">
        <f>HYPERLINK("http://dx.doi.org/10.1007/s10336-021-01878-w","http://dx.doi.org/10.1007/s10336-021-01878-w")</f>
        <v>http://dx.doi.org/10.1007/s10336-021-01878-w</v>
      </c>
      <c r="BG361" t="s">
        <v>74</v>
      </c>
      <c r="BH361" t="s">
        <v>6407</v>
      </c>
      <c r="BI361">
        <v>10</v>
      </c>
      <c r="BJ361" t="s">
        <v>2930</v>
      </c>
      <c r="BK361" t="s">
        <v>101</v>
      </c>
      <c r="BL361" t="s">
        <v>1229</v>
      </c>
      <c r="BM361" t="s">
        <v>7425</v>
      </c>
      <c r="BN361" t="s">
        <v>74</v>
      </c>
      <c r="BO361" t="s">
        <v>496</v>
      </c>
      <c r="BP361" t="s">
        <v>74</v>
      </c>
      <c r="BQ361" t="s">
        <v>74</v>
      </c>
      <c r="BR361" t="s">
        <v>104</v>
      </c>
      <c r="BS361" t="s">
        <v>7426</v>
      </c>
      <c r="BT361" t="str">
        <f>HYPERLINK("https%3A%2F%2Fwww.webofscience.com%2Fwos%2Fwoscc%2Ffull-record%2FWOS:000632756500001","View Full Record in Web of Science")</f>
        <v>View Full Record in Web of Science</v>
      </c>
    </row>
    <row r="362" spans="1:72" x14ac:dyDescent="0.15">
      <c r="A362" t="s">
        <v>72</v>
      </c>
      <c r="B362" t="s">
        <v>7427</v>
      </c>
      <c r="C362" t="s">
        <v>74</v>
      </c>
      <c r="D362" t="s">
        <v>74</v>
      </c>
      <c r="E362" t="s">
        <v>74</v>
      </c>
      <c r="F362" t="s">
        <v>7428</v>
      </c>
      <c r="G362" t="s">
        <v>74</v>
      </c>
      <c r="H362" t="s">
        <v>74</v>
      </c>
      <c r="I362" t="s">
        <v>7429</v>
      </c>
      <c r="J362" t="s">
        <v>852</v>
      </c>
      <c r="K362" t="s">
        <v>74</v>
      </c>
      <c r="L362" t="s">
        <v>74</v>
      </c>
      <c r="M362" t="s">
        <v>78</v>
      </c>
      <c r="N362" t="s">
        <v>79</v>
      </c>
      <c r="O362" t="s">
        <v>74</v>
      </c>
      <c r="P362" t="s">
        <v>74</v>
      </c>
      <c r="Q362" t="s">
        <v>74</v>
      </c>
      <c r="R362" t="s">
        <v>74</v>
      </c>
      <c r="S362" t="s">
        <v>74</v>
      </c>
      <c r="T362" t="s">
        <v>74</v>
      </c>
      <c r="U362" t="s">
        <v>7430</v>
      </c>
      <c r="V362" t="s">
        <v>7431</v>
      </c>
      <c r="W362" t="s">
        <v>7432</v>
      </c>
      <c r="X362" t="s">
        <v>7433</v>
      </c>
      <c r="Y362" t="s">
        <v>7434</v>
      </c>
      <c r="Z362" t="s">
        <v>7435</v>
      </c>
      <c r="AA362" t="s">
        <v>7436</v>
      </c>
      <c r="AB362" t="s">
        <v>7437</v>
      </c>
      <c r="AC362" t="s">
        <v>7438</v>
      </c>
      <c r="AD362" t="s">
        <v>7439</v>
      </c>
      <c r="AE362" t="s">
        <v>7440</v>
      </c>
      <c r="AF362" t="s">
        <v>74</v>
      </c>
      <c r="AG362">
        <v>76</v>
      </c>
      <c r="AH362">
        <v>111</v>
      </c>
      <c r="AI362">
        <v>114</v>
      </c>
      <c r="AJ362">
        <v>15</v>
      </c>
      <c r="AK362">
        <v>103</v>
      </c>
      <c r="AL362" t="s">
        <v>861</v>
      </c>
      <c r="AM362" t="s">
        <v>862</v>
      </c>
      <c r="AN362" t="s">
        <v>863</v>
      </c>
      <c r="AO362" t="s">
        <v>864</v>
      </c>
      <c r="AP362" t="s">
        <v>865</v>
      </c>
      <c r="AQ362" t="s">
        <v>74</v>
      </c>
      <c r="AR362" t="s">
        <v>852</v>
      </c>
      <c r="AS362" t="s">
        <v>866</v>
      </c>
      <c r="AT362" t="s">
        <v>7255</v>
      </c>
      <c r="AU362">
        <v>2021</v>
      </c>
      <c r="AV362">
        <v>591</v>
      </c>
      <c r="AW362">
        <v>7851</v>
      </c>
      <c r="AX362" t="s">
        <v>74</v>
      </c>
      <c r="AY362" t="s">
        <v>74</v>
      </c>
      <c r="AZ362" t="s">
        <v>74</v>
      </c>
      <c r="BA362" t="s">
        <v>74</v>
      </c>
      <c r="BB362">
        <v>592</v>
      </c>
      <c r="BC362" t="s">
        <v>867</v>
      </c>
      <c r="BD362" t="s">
        <v>74</v>
      </c>
      <c r="BE362" t="s">
        <v>7441</v>
      </c>
      <c r="BF362" t="str">
        <f>HYPERLINK("http://dx.doi.org/10.1038/s41586-021-03303-x","http://dx.doi.org/10.1038/s41586-021-03303-x")</f>
        <v>http://dx.doi.org/10.1038/s41586-021-03303-x</v>
      </c>
      <c r="BG362" t="s">
        <v>74</v>
      </c>
      <c r="BH362" t="s">
        <v>74</v>
      </c>
      <c r="BI362">
        <v>22</v>
      </c>
      <c r="BJ362" t="s">
        <v>555</v>
      </c>
      <c r="BK362" t="s">
        <v>101</v>
      </c>
      <c r="BL362" t="s">
        <v>556</v>
      </c>
      <c r="BM362" t="s">
        <v>7442</v>
      </c>
      <c r="BN362">
        <v>33762764</v>
      </c>
      <c r="BO362" t="s">
        <v>7443</v>
      </c>
      <c r="BP362" t="s">
        <v>871</v>
      </c>
      <c r="BQ362" t="s">
        <v>872</v>
      </c>
      <c r="BR362" t="s">
        <v>104</v>
      </c>
      <c r="BS362" t="s">
        <v>7444</v>
      </c>
      <c r="BT362" t="str">
        <f>HYPERLINK("https%3A%2F%2Fwww.webofscience.com%2Fwos%2Fwoscc%2Ffull-record%2FWOS:000632555800018","View Full Record in Web of Science")</f>
        <v>View Full Record in Web of Science</v>
      </c>
    </row>
    <row r="363" spans="1:72" x14ac:dyDescent="0.15">
      <c r="A363" t="s">
        <v>72</v>
      </c>
      <c r="B363" t="s">
        <v>7445</v>
      </c>
      <c r="C363" t="s">
        <v>74</v>
      </c>
      <c r="D363" t="s">
        <v>74</v>
      </c>
      <c r="E363" t="s">
        <v>74</v>
      </c>
      <c r="F363" t="s">
        <v>7446</v>
      </c>
      <c r="G363" t="s">
        <v>74</v>
      </c>
      <c r="H363" t="s">
        <v>74</v>
      </c>
      <c r="I363" t="s">
        <v>7447</v>
      </c>
      <c r="J363" t="s">
        <v>7448</v>
      </c>
      <c r="K363" t="s">
        <v>74</v>
      </c>
      <c r="L363" t="s">
        <v>74</v>
      </c>
      <c r="M363" t="s">
        <v>78</v>
      </c>
      <c r="N363" t="s">
        <v>79</v>
      </c>
      <c r="O363" t="s">
        <v>74</v>
      </c>
      <c r="P363" t="s">
        <v>74</v>
      </c>
      <c r="Q363" t="s">
        <v>74</v>
      </c>
      <c r="R363" t="s">
        <v>74</v>
      </c>
      <c r="S363" t="s">
        <v>74</v>
      </c>
      <c r="T363" t="s">
        <v>7449</v>
      </c>
      <c r="U363" t="s">
        <v>7450</v>
      </c>
      <c r="V363" t="s">
        <v>7451</v>
      </c>
      <c r="W363" t="s">
        <v>7452</v>
      </c>
      <c r="X363" t="s">
        <v>7453</v>
      </c>
      <c r="Y363" t="s">
        <v>7454</v>
      </c>
      <c r="Z363" t="s">
        <v>7455</v>
      </c>
      <c r="AA363" t="s">
        <v>7456</v>
      </c>
      <c r="AB363" t="s">
        <v>7457</v>
      </c>
      <c r="AC363" t="s">
        <v>7458</v>
      </c>
      <c r="AD363" t="s">
        <v>7459</v>
      </c>
      <c r="AE363" t="s">
        <v>7460</v>
      </c>
      <c r="AF363" t="s">
        <v>74</v>
      </c>
      <c r="AG363">
        <v>90</v>
      </c>
      <c r="AH363">
        <v>2</v>
      </c>
      <c r="AI363">
        <v>2</v>
      </c>
      <c r="AJ363">
        <v>1</v>
      </c>
      <c r="AK363">
        <v>11</v>
      </c>
      <c r="AL363" t="s">
        <v>1058</v>
      </c>
      <c r="AM363" t="s">
        <v>891</v>
      </c>
      <c r="AN363" t="s">
        <v>1059</v>
      </c>
      <c r="AO363" t="s">
        <v>7461</v>
      </c>
      <c r="AP363" t="s">
        <v>7462</v>
      </c>
      <c r="AQ363" t="s">
        <v>74</v>
      </c>
      <c r="AR363" t="s">
        <v>7463</v>
      </c>
      <c r="AS363" t="s">
        <v>7464</v>
      </c>
      <c r="AT363" t="s">
        <v>97</v>
      </c>
      <c r="AU363">
        <v>2021</v>
      </c>
      <c r="AV363">
        <v>131</v>
      </c>
      <c r="AW363" t="s">
        <v>74</v>
      </c>
      <c r="AX363" t="s">
        <v>74</v>
      </c>
      <c r="AY363" t="s">
        <v>74</v>
      </c>
      <c r="AZ363" t="s">
        <v>74</v>
      </c>
      <c r="BA363" t="s">
        <v>74</v>
      </c>
      <c r="BB363" t="s">
        <v>74</v>
      </c>
      <c r="BC363" t="s">
        <v>74</v>
      </c>
      <c r="BD363">
        <v>104226</v>
      </c>
      <c r="BE363" t="s">
        <v>7465</v>
      </c>
      <c r="BF363" t="str">
        <f>HYPERLINK("http://dx.doi.org/10.1016/j.jinsphys.2021.104226","http://dx.doi.org/10.1016/j.jinsphys.2021.104226")</f>
        <v>http://dx.doi.org/10.1016/j.jinsphys.2021.104226</v>
      </c>
      <c r="BG363" t="s">
        <v>74</v>
      </c>
      <c r="BH363" t="s">
        <v>6407</v>
      </c>
      <c r="BI363">
        <v>9</v>
      </c>
      <c r="BJ363" t="s">
        <v>7466</v>
      </c>
      <c r="BK363" t="s">
        <v>101</v>
      </c>
      <c r="BL363" t="s">
        <v>7466</v>
      </c>
      <c r="BM363" t="s">
        <v>7467</v>
      </c>
      <c r="BN363">
        <v>33736982</v>
      </c>
      <c r="BO363" t="s">
        <v>74</v>
      </c>
      <c r="BP363" t="s">
        <v>74</v>
      </c>
      <c r="BQ363" t="s">
        <v>74</v>
      </c>
      <c r="BR363" t="s">
        <v>104</v>
      </c>
      <c r="BS363" t="s">
        <v>7468</v>
      </c>
      <c r="BT363" t="str">
        <f>HYPERLINK("https%3A%2F%2Fwww.webofscience.com%2Fwos%2Fwoscc%2Ffull-record%2FWOS:000655120700009","View Full Record in Web of Science")</f>
        <v>View Full Record in Web of Science</v>
      </c>
    </row>
    <row r="364" spans="1:72" x14ac:dyDescent="0.15">
      <c r="A364" t="s">
        <v>72</v>
      </c>
      <c r="B364" t="s">
        <v>7469</v>
      </c>
      <c r="C364" t="s">
        <v>74</v>
      </c>
      <c r="D364" t="s">
        <v>74</v>
      </c>
      <c r="E364" t="s">
        <v>74</v>
      </c>
      <c r="F364" t="s">
        <v>7470</v>
      </c>
      <c r="G364" t="s">
        <v>74</v>
      </c>
      <c r="H364" t="s">
        <v>74</v>
      </c>
      <c r="I364" t="s">
        <v>7471</v>
      </c>
      <c r="J364" t="s">
        <v>7472</v>
      </c>
      <c r="K364" t="s">
        <v>74</v>
      </c>
      <c r="L364" t="s">
        <v>74</v>
      </c>
      <c r="M364" t="s">
        <v>78</v>
      </c>
      <c r="N364" t="s">
        <v>79</v>
      </c>
      <c r="O364" t="s">
        <v>74</v>
      </c>
      <c r="P364" t="s">
        <v>74</v>
      </c>
      <c r="Q364" t="s">
        <v>74</v>
      </c>
      <c r="R364" t="s">
        <v>74</v>
      </c>
      <c r="S364" t="s">
        <v>74</v>
      </c>
      <c r="T364" t="s">
        <v>74</v>
      </c>
      <c r="U364" t="s">
        <v>7473</v>
      </c>
      <c r="V364" t="s">
        <v>7474</v>
      </c>
      <c r="W364" t="s">
        <v>7475</v>
      </c>
      <c r="X364" t="s">
        <v>7476</v>
      </c>
      <c r="Y364" t="s">
        <v>7477</v>
      </c>
      <c r="Z364" t="s">
        <v>7478</v>
      </c>
      <c r="AA364" t="s">
        <v>7479</v>
      </c>
      <c r="AB364" t="s">
        <v>7480</v>
      </c>
      <c r="AC364" t="s">
        <v>7481</v>
      </c>
      <c r="AD364" t="s">
        <v>7482</v>
      </c>
      <c r="AE364" t="s">
        <v>7483</v>
      </c>
      <c r="AF364" t="s">
        <v>74</v>
      </c>
      <c r="AG364">
        <v>77</v>
      </c>
      <c r="AH364">
        <v>0</v>
      </c>
      <c r="AI364">
        <v>0</v>
      </c>
      <c r="AJ364">
        <v>4</v>
      </c>
      <c r="AK364">
        <v>14</v>
      </c>
      <c r="AL364" t="s">
        <v>7484</v>
      </c>
      <c r="AM364" t="s">
        <v>1482</v>
      </c>
      <c r="AN364" t="s">
        <v>7485</v>
      </c>
      <c r="AO364" t="s">
        <v>7486</v>
      </c>
      <c r="AP364" t="s">
        <v>7487</v>
      </c>
      <c r="AQ364" t="s">
        <v>74</v>
      </c>
      <c r="AR364" t="s">
        <v>7488</v>
      </c>
      <c r="AS364" t="s">
        <v>7489</v>
      </c>
      <c r="AT364" t="s">
        <v>5649</v>
      </c>
      <c r="AU364">
        <v>2021</v>
      </c>
      <c r="AV364">
        <v>8</v>
      </c>
      <c r="AW364">
        <v>4</v>
      </c>
      <c r="AX364" t="s">
        <v>74</v>
      </c>
      <c r="AY364" t="s">
        <v>74</v>
      </c>
      <c r="AZ364" t="s">
        <v>74</v>
      </c>
      <c r="BA364" t="s">
        <v>74</v>
      </c>
      <c r="BB364">
        <v>913</v>
      </c>
      <c r="BC364">
        <v>926</v>
      </c>
      <c r="BD364" t="s">
        <v>74</v>
      </c>
      <c r="BE364" t="s">
        <v>7490</v>
      </c>
      <c r="BF364" t="str">
        <f>HYPERLINK("http://dx.doi.org/10.1039/d0en01160f","http://dx.doi.org/10.1039/d0en01160f")</f>
        <v>http://dx.doi.org/10.1039/d0en01160f</v>
      </c>
      <c r="BG364" t="s">
        <v>74</v>
      </c>
      <c r="BH364" t="s">
        <v>6407</v>
      </c>
      <c r="BI364">
        <v>14</v>
      </c>
      <c r="BJ364" t="s">
        <v>7491</v>
      </c>
      <c r="BK364" t="s">
        <v>101</v>
      </c>
      <c r="BL364" t="s">
        <v>7492</v>
      </c>
      <c r="BM364" t="s">
        <v>7493</v>
      </c>
      <c r="BN364" t="s">
        <v>74</v>
      </c>
      <c r="BO364" t="s">
        <v>496</v>
      </c>
      <c r="BP364" t="s">
        <v>74</v>
      </c>
      <c r="BQ364" t="s">
        <v>74</v>
      </c>
      <c r="BR364" t="s">
        <v>104</v>
      </c>
      <c r="BS364" t="s">
        <v>7494</v>
      </c>
      <c r="BT364" t="str">
        <f>HYPERLINK("https%3A%2F%2Fwww.webofscience.com%2Fwos%2Fwoscc%2Ffull-record%2FWOS:000638251400001","View Full Record in Web of Science")</f>
        <v>View Full Record in Web of Science</v>
      </c>
    </row>
    <row r="365" spans="1:72" x14ac:dyDescent="0.15">
      <c r="A365" t="s">
        <v>72</v>
      </c>
      <c r="B365" t="s">
        <v>7495</v>
      </c>
      <c r="C365" t="s">
        <v>74</v>
      </c>
      <c r="D365" t="s">
        <v>74</v>
      </c>
      <c r="E365" t="s">
        <v>74</v>
      </c>
      <c r="F365" t="s">
        <v>7496</v>
      </c>
      <c r="G365" t="s">
        <v>74</v>
      </c>
      <c r="H365" t="s">
        <v>74</v>
      </c>
      <c r="I365" t="s">
        <v>7497</v>
      </c>
      <c r="J365" t="s">
        <v>2021</v>
      </c>
      <c r="K365" t="s">
        <v>74</v>
      </c>
      <c r="L365" t="s">
        <v>74</v>
      </c>
      <c r="M365" t="s">
        <v>78</v>
      </c>
      <c r="N365" t="s">
        <v>79</v>
      </c>
      <c r="O365" t="s">
        <v>74</v>
      </c>
      <c r="P365" t="s">
        <v>74</v>
      </c>
      <c r="Q365" t="s">
        <v>74</v>
      </c>
      <c r="R365" t="s">
        <v>74</v>
      </c>
      <c r="S365" t="s">
        <v>74</v>
      </c>
      <c r="T365" t="s">
        <v>74</v>
      </c>
      <c r="U365" t="s">
        <v>74</v>
      </c>
      <c r="V365" t="s">
        <v>7498</v>
      </c>
      <c r="W365" t="s">
        <v>7499</v>
      </c>
      <c r="X365" t="s">
        <v>7500</v>
      </c>
      <c r="Y365" t="s">
        <v>7501</v>
      </c>
      <c r="Z365" t="s">
        <v>7502</v>
      </c>
      <c r="AA365" t="s">
        <v>7503</v>
      </c>
      <c r="AB365" t="s">
        <v>7504</v>
      </c>
      <c r="AC365" t="s">
        <v>7505</v>
      </c>
      <c r="AD365" t="s">
        <v>7506</v>
      </c>
      <c r="AE365" t="s">
        <v>7507</v>
      </c>
      <c r="AF365" t="s">
        <v>74</v>
      </c>
      <c r="AG365">
        <v>64</v>
      </c>
      <c r="AH365">
        <v>15</v>
      </c>
      <c r="AI365">
        <v>15</v>
      </c>
      <c r="AJ365">
        <v>2</v>
      </c>
      <c r="AK365">
        <v>10</v>
      </c>
      <c r="AL365" t="s">
        <v>861</v>
      </c>
      <c r="AM365" t="s">
        <v>862</v>
      </c>
      <c r="AN365" t="s">
        <v>863</v>
      </c>
      <c r="AO365" t="s">
        <v>2033</v>
      </c>
      <c r="AP365" t="s">
        <v>74</v>
      </c>
      <c r="AQ365" t="s">
        <v>74</v>
      </c>
      <c r="AR365" t="s">
        <v>2034</v>
      </c>
      <c r="AS365" t="s">
        <v>2035</v>
      </c>
      <c r="AT365" t="s">
        <v>7508</v>
      </c>
      <c r="AU365">
        <v>2021</v>
      </c>
      <c r="AV365">
        <v>11</v>
      </c>
      <c r="AW365">
        <v>1</v>
      </c>
      <c r="AX365" t="s">
        <v>74</v>
      </c>
      <c r="AY365" t="s">
        <v>74</v>
      </c>
      <c r="AZ365" t="s">
        <v>74</v>
      </c>
      <c r="BA365" t="s">
        <v>74</v>
      </c>
      <c r="BB365" t="s">
        <v>74</v>
      </c>
      <c r="BC365" t="s">
        <v>74</v>
      </c>
      <c r="BD365">
        <v>6760</v>
      </c>
      <c r="BE365" t="s">
        <v>7509</v>
      </c>
      <c r="BF365" t="str">
        <f>HYPERLINK("http://dx.doi.org/10.1038/s41598-021-86043-2","http://dx.doi.org/10.1038/s41598-021-86043-2")</f>
        <v>http://dx.doi.org/10.1038/s41598-021-86043-2</v>
      </c>
      <c r="BG365" t="s">
        <v>74</v>
      </c>
      <c r="BH365" t="s">
        <v>74</v>
      </c>
      <c r="BI365">
        <v>13</v>
      </c>
      <c r="BJ365" t="s">
        <v>555</v>
      </c>
      <c r="BK365" t="s">
        <v>101</v>
      </c>
      <c r="BL365" t="s">
        <v>556</v>
      </c>
      <c r="BM365" t="s">
        <v>7510</v>
      </c>
      <c r="BN365">
        <v>33762612</v>
      </c>
      <c r="BO365" t="s">
        <v>7511</v>
      </c>
      <c r="BP365" t="s">
        <v>74</v>
      </c>
      <c r="BQ365" t="s">
        <v>74</v>
      </c>
      <c r="BR365" t="s">
        <v>104</v>
      </c>
      <c r="BS365" t="s">
        <v>7512</v>
      </c>
      <c r="BT365" t="str">
        <f>HYPERLINK("https%3A%2F%2Fwww.webofscience.com%2Fwos%2Fwoscc%2Ffull-record%2FWOS:000634972100010","View Full Record in Web of Science")</f>
        <v>View Full Record in Web of Science</v>
      </c>
    </row>
    <row r="366" spans="1:72" x14ac:dyDescent="0.15">
      <c r="A366" t="s">
        <v>72</v>
      </c>
      <c r="B366" t="s">
        <v>7513</v>
      </c>
      <c r="C366" t="s">
        <v>74</v>
      </c>
      <c r="D366" t="s">
        <v>74</v>
      </c>
      <c r="E366" t="s">
        <v>74</v>
      </c>
      <c r="F366" t="s">
        <v>7514</v>
      </c>
      <c r="G366" t="s">
        <v>74</v>
      </c>
      <c r="H366" t="s">
        <v>74</v>
      </c>
      <c r="I366" t="s">
        <v>7515</v>
      </c>
      <c r="J366" t="s">
        <v>7516</v>
      </c>
      <c r="K366" t="s">
        <v>74</v>
      </c>
      <c r="L366" t="s">
        <v>74</v>
      </c>
      <c r="M366" t="s">
        <v>78</v>
      </c>
      <c r="N366" t="s">
        <v>5599</v>
      </c>
      <c r="O366" t="s">
        <v>74</v>
      </c>
      <c r="P366" t="s">
        <v>74</v>
      </c>
      <c r="Q366" t="s">
        <v>74</v>
      </c>
      <c r="R366" t="s">
        <v>74</v>
      </c>
      <c r="S366" t="s">
        <v>74</v>
      </c>
      <c r="T366" t="s">
        <v>74</v>
      </c>
      <c r="U366" t="s">
        <v>74</v>
      </c>
      <c r="V366" t="s">
        <v>74</v>
      </c>
      <c r="W366" t="s">
        <v>7517</v>
      </c>
      <c r="X366" t="s">
        <v>7518</v>
      </c>
      <c r="Y366" t="s">
        <v>7519</v>
      </c>
      <c r="Z366" t="s">
        <v>74</v>
      </c>
      <c r="AA366" t="s">
        <v>74</v>
      </c>
      <c r="AB366" t="s">
        <v>74</v>
      </c>
      <c r="AC366" t="s">
        <v>74</v>
      </c>
      <c r="AD366" t="s">
        <v>74</v>
      </c>
      <c r="AE366" t="s">
        <v>74</v>
      </c>
      <c r="AF366" t="s">
        <v>74</v>
      </c>
      <c r="AG366">
        <v>1</v>
      </c>
      <c r="AH366">
        <v>0</v>
      </c>
      <c r="AI366">
        <v>0</v>
      </c>
      <c r="AJ366">
        <v>1</v>
      </c>
      <c r="AK366">
        <v>1</v>
      </c>
      <c r="AL366" t="s">
        <v>1908</v>
      </c>
      <c r="AM366" t="s">
        <v>1909</v>
      </c>
      <c r="AN366" t="s">
        <v>1910</v>
      </c>
      <c r="AO366" t="s">
        <v>7520</v>
      </c>
      <c r="AP366" t="s">
        <v>7521</v>
      </c>
      <c r="AQ366" t="s">
        <v>74</v>
      </c>
      <c r="AR366" t="s">
        <v>7516</v>
      </c>
      <c r="AS366" t="s">
        <v>7522</v>
      </c>
      <c r="AT366" t="s">
        <v>707</v>
      </c>
      <c r="AU366">
        <v>2021</v>
      </c>
      <c r="AV366">
        <v>31</v>
      </c>
      <c r="AW366">
        <v>6</v>
      </c>
      <c r="AX366" t="s">
        <v>74</v>
      </c>
      <c r="AY366" t="s">
        <v>74</v>
      </c>
      <c r="AZ366" t="s">
        <v>74</v>
      </c>
      <c r="BA366" t="s">
        <v>74</v>
      </c>
      <c r="BB366">
        <v>1066</v>
      </c>
      <c r="BC366">
        <v>1067</v>
      </c>
      <c r="BD366">
        <v>9596836211002944</v>
      </c>
      <c r="BE366" t="s">
        <v>7523</v>
      </c>
      <c r="BF366" t="str">
        <f>HYPERLINK("http://dx.doi.org/10.1177/09596836211002944","http://dx.doi.org/10.1177/09596836211002944")</f>
        <v>http://dx.doi.org/10.1177/09596836211002944</v>
      </c>
      <c r="BG366" t="s">
        <v>74</v>
      </c>
      <c r="BH366" t="s">
        <v>6407</v>
      </c>
      <c r="BI366">
        <v>2</v>
      </c>
      <c r="BJ366" t="s">
        <v>1685</v>
      </c>
      <c r="BK366" t="s">
        <v>101</v>
      </c>
      <c r="BL366" t="s">
        <v>1686</v>
      </c>
      <c r="BM366" t="s">
        <v>7524</v>
      </c>
      <c r="BN366" t="s">
        <v>74</v>
      </c>
      <c r="BO366" t="s">
        <v>74</v>
      </c>
      <c r="BP366" t="s">
        <v>74</v>
      </c>
      <c r="BQ366" t="s">
        <v>74</v>
      </c>
      <c r="BR366" t="s">
        <v>104</v>
      </c>
      <c r="BS366" t="s">
        <v>7525</v>
      </c>
      <c r="BT366" t="str">
        <f>HYPERLINK("https%3A%2F%2Fwww.webofscience.com%2Fwos%2Fwoscc%2Ffull-record%2FWOS:000637112100001","View Full Record in Web of Science")</f>
        <v>View Full Record in Web of Science</v>
      </c>
    </row>
    <row r="367" spans="1:72" x14ac:dyDescent="0.15">
      <c r="A367" t="s">
        <v>72</v>
      </c>
      <c r="B367" t="s">
        <v>7526</v>
      </c>
      <c r="C367" t="s">
        <v>74</v>
      </c>
      <c r="D367" t="s">
        <v>74</v>
      </c>
      <c r="E367" t="s">
        <v>74</v>
      </c>
      <c r="F367" t="s">
        <v>7527</v>
      </c>
      <c r="G367" t="s">
        <v>74</v>
      </c>
      <c r="H367" t="s">
        <v>74</v>
      </c>
      <c r="I367" t="s">
        <v>7528</v>
      </c>
      <c r="J367" t="s">
        <v>3189</v>
      </c>
      <c r="K367" t="s">
        <v>74</v>
      </c>
      <c r="L367" t="s">
        <v>74</v>
      </c>
      <c r="M367" t="s">
        <v>78</v>
      </c>
      <c r="N367" t="s">
        <v>79</v>
      </c>
      <c r="O367" t="s">
        <v>74</v>
      </c>
      <c r="P367" t="s">
        <v>74</v>
      </c>
      <c r="Q367" t="s">
        <v>74</v>
      </c>
      <c r="R367" t="s">
        <v>74</v>
      </c>
      <c r="S367" t="s">
        <v>74</v>
      </c>
      <c r="T367" t="s">
        <v>74</v>
      </c>
      <c r="U367" t="s">
        <v>74</v>
      </c>
      <c r="V367" t="s">
        <v>7529</v>
      </c>
      <c r="W367" t="s">
        <v>7530</v>
      </c>
      <c r="X367" t="s">
        <v>2552</v>
      </c>
      <c r="Y367" t="s">
        <v>2553</v>
      </c>
      <c r="Z367" t="s">
        <v>2554</v>
      </c>
      <c r="AA367" t="s">
        <v>2555</v>
      </c>
      <c r="AB367" t="s">
        <v>2556</v>
      </c>
      <c r="AC367" t="s">
        <v>2557</v>
      </c>
      <c r="AD367" t="s">
        <v>2558</v>
      </c>
      <c r="AE367" t="s">
        <v>7531</v>
      </c>
      <c r="AF367" t="s">
        <v>74</v>
      </c>
      <c r="AG367">
        <v>61</v>
      </c>
      <c r="AH367">
        <v>5</v>
      </c>
      <c r="AI367">
        <v>5</v>
      </c>
      <c r="AJ367">
        <v>3</v>
      </c>
      <c r="AK367">
        <v>13</v>
      </c>
      <c r="AL367" t="s">
        <v>795</v>
      </c>
      <c r="AM367" t="s">
        <v>796</v>
      </c>
      <c r="AN367" t="s">
        <v>797</v>
      </c>
      <c r="AO367" t="s">
        <v>3199</v>
      </c>
      <c r="AP367" t="s">
        <v>3200</v>
      </c>
      <c r="AQ367" t="s">
        <v>74</v>
      </c>
      <c r="AR367" t="s">
        <v>3201</v>
      </c>
      <c r="AS367" t="s">
        <v>3202</v>
      </c>
      <c r="AT367" t="s">
        <v>2859</v>
      </c>
      <c r="AU367">
        <v>2021</v>
      </c>
      <c r="AV367">
        <v>56</v>
      </c>
      <c r="AW367">
        <v>4</v>
      </c>
      <c r="AX367" t="s">
        <v>74</v>
      </c>
      <c r="AY367" t="s">
        <v>74</v>
      </c>
      <c r="AZ367" t="s">
        <v>74</v>
      </c>
      <c r="BA367" t="s">
        <v>74</v>
      </c>
      <c r="BB367">
        <v>683</v>
      </c>
      <c r="BC367">
        <v>699</v>
      </c>
      <c r="BD367" t="s">
        <v>74</v>
      </c>
      <c r="BE367" t="s">
        <v>7532</v>
      </c>
      <c r="BF367" t="str">
        <f>HYPERLINK("http://dx.doi.org/10.1111/maps.13646","http://dx.doi.org/10.1111/maps.13646")</f>
        <v>http://dx.doi.org/10.1111/maps.13646</v>
      </c>
      <c r="BG367" t="s">
        <v>74</v>
      </c>
      <c r="BH367" t="s">
        <v>6407</v>
      </c>
      <c r="BI367">
        <v>17</v>
      </c>
      <c r="BJ367" t="s">
        <v>1066</v>
      </c>
      <c r="BK367" t="s">
        <v>101</v>
      </c>
      <c r="BL367" t="s">
        <v>1066</v>
      </c>
      <c r="BM367" t="s">
        <v>3204</v>
      </c>
      <c r="BN367" t="s">
        <v>74</v>
      </c>
      <c r="BO367" t="s">
        <v>74</v>
      </c>
      <c r="BP367" t="s">
        <v>74</v>
      </c>
      <c r="BQ367" t="s">
        <v>74</v>
      </c>
      <c r="BR367" t="s">
        <v>104</v>
      </c>
      <c r="BS367" t="s">
        <v>7533</v>
      </c>
      <c r="BT367" t="str">
        <f>HYPERLINK("https%3A%2F%2Fwww.webofscience.com%2Fwos%2Fwoscc%2Ffull-record%2FWOS:000632554100001","View Full Record in Web of Science")</f>
        <v>View Full Record in Web of Science</v>
      </c>
    </row>
    <row r="368" spans="1:72" x14ac:dyDescent="0.15">
      <c r="A368" t="s">
        <v>72</v>
      </c>
      <c r="B368" t="s">
        <v>7534</v>
      </c>
      <c r="C368" t="s">
        <v>74</v>
      </c>
      <c r="D368" t="s">
        <v>74</v>
      </c>
      <c r="E368" t="s">
        <v>74</v>
      </c>
      <c r="F368" t="s">
        <v>7535</v>
      </c>
      <c r="G368" t="s">
        <v>74</v>
      </c>
      <c r="H368" t="s">
        <v>74</v>
      </c>
      <c r="I368" t="s">
        <v>7536</v>
      </c>
      <c r="J368" t="s">
        <v>828</v>
      </c>
      <c r="K368" t="s">
        <v>74</v>
      </c>
      <c r="L368" t="s">
        <v>74</v>
      </c>
      <c r="M368" t="s">
        <v>78</v>
      </c>
      <c r="N368" t="s">
        <v>79</v>
      </c>
      <c r="O368" t="s">
        <v>74</v>
      </c>
      <c r="P368" t="s">
        <v>74</v>
      </c>
      <c r="Q368" t="s">
        <v>74</v>
      </c>
      <c r="R368" t="s">
        <v>74</v>
      </c>
      <c r="S368" t="s">
        <v>74</v>
      </c>
      <c r="T368" t="s">
        <v>7537</v>
      </c>
      <c r="U368" t="s">
        <v>7538</v>
      </c>
      <c r="V368" t="s">
        <v>7539</v>
      </c>
      <c r="W368" t="s">
        <v>7540</v>
      </c>
      <c r="X368" t="s">
        <v>7541</v>
      </c>
      <c r="Y368" t="s">
        <v>7542</v>
      </c>
      <c r="Z368" t="s">
        <v>7543</v>
      </c>
      <c r="AA368" t="s">
        <v>7544</v>
      </c>
      <c r="AB368" t="s">
        <v>7545</v>
      </c>
      <c r="AC368" t="s">
        <v>7546</v>
      </c>
      <c r="AD368" t="s">
        <v>7547</v>
      </c>
      <c r="AE368" t="s">
        <v>7548</v>
      </c>
      <c r="AF368" t="s">
        <v>74</v>
      </c>
      <c r="AG368">
        <v>43</v>
      </c>
      <c r="AH368">
        <v>1</v>
      </c>
      <c r="AI368">
        <v>1</v>
      </c>
      <c r="AJ368">
        <v>0</v>
      </c>
      <c r="AK368">
        <v>6</v>
      </c>
      <c r="AL368" t="s">
        <v>795</v>
      </c>
      <c r="AM368" t="s">
        <v>796</v>
      </c>
      <c r="AN368" t="s">
        <v>797</v>
      </c>
      <c r="AO368" t="s">
        <v>841</v>
      </c>
      <c r="AP368" t="s">
        <v>842</v>
      </c>
      <c r="AQ368" t="s">
        <v>74</v>
      </c>
      <c r="AR368" t="s">
        <v>843</v>
      </c>
      <c r="AS368" t="s">
        <v>844</v>
      </c>
      <c r="AT368" t="s">
        <v>1035</v>
      </c>
      <c r="AU368">
        <v>2021</v>
      </c>
      <c r="AV368">
        <v>41</v>
      </c>
      <c r="AW368">
        <v>9</v>
      </c>
      <c r="AX368" t="s">
        <v>74</v>
      </c>
      <c r="AY368" t="s">
        <v>74</v>
      </c>
      <c r="AZ368" t="s">
        <v>74</v>
      </c>
      <c r="BA368" t="s">
        <v>74</v>
      </c>
      <c r="BB368">
        <v>4562</v>
      </c>
      <c r="BC368">
        <v>4573</v>
      </c>
      <c r="BD368" t="s">
        <v>74</v>
      </c>
      <c r="BE368" t="s">
        <v>7549</v>
      </c>
      <c r="BF368" t="str">
        <f>HYPERLINK("http://dx.doi.org/10.1002/joc.7086","http://dx.doi.org/10.1002/joc.7086")</f>
        <v>http://dx.doi.org/10.1002/joc.7086</v>
      </c>
      <c r="BG368" t="s">
        <v>74</v>
      </c>
      <c r="BH368" t="s">
        <v>6407</v>
      </c>
      <c r="BI368">
        <v>12</v>
      </c>
      <c r="BJ368" t="s">
        <v>129</v>
      </c>
      <c r="BK368" t="s">
        <v>101</v>
      </c>
      <c r="BL368" t="s">
        <v>129</v>
      </c>
      <c r="BM368" t="s">
        <v>7550</v>
      </c>
      <c r="BN368" t="s">
        <v>74</v>
      </c>
      <c r="BO368" t="s">
        <v>74</v>
      </c>
      <c r="BP368" t="s">
        <v>74</v>
      </c>
      <c r="BQ368" t="s">
        <v>74</v>
      </c>
      <c r="BR368" t="s">
        <v>104</v>
      </c>
      <c r="BS368" t="s">
        <v>7551</v>
      </c>
      <c r="BT368" t="str">
        <f>HYPERLINK("https%3A%2F%2Fwww.webofscience.com%2Fwos%2Fwoscc%2Ffull-record%2FWOS:000631839500001","View Full Record in Web of Science")</f>
        <v>View Full Record in Web of Science</v>
      </c>
    </row>
    <row r="369" spans="1:72" x14ac:dyDescent="0.15">
      <c r="A369" t="s">
        <v>72</v>
      </c>
      <c r="B369" t="s">
        <v>7552</v>
      </c>
      <c r="C369" t="s">
        <v>74</v>
      </c>
      <c r="D369" t="s">
        <v>74</v>
      </c>
      <c r="E369" t="s">
        <v>74</v>
      </c>
      <c r="F369" t="s">
        <v>7553</v>
      </c>
      <c r="G369" t="s">
        <v>74</v>
      </c>
      <c r="H369" t="s">
        <v>74</v>
      </c>
      <c r="I369" t="s">
        <v>7554</v>
      </c>
      <c r="J369" t="s">
        <v>3832</v>
      </c>
      <c r="K369" t="s">
        <v>74</v>
      </c>
      <c r="L369" t="s">
        <v>74</v>
      </c>
      <c r="M369" t="s">
        <v>78</v>
      </c>
      <c r="N369" t="s">
        <v>79</v>
      </c>
      <c r="O369" t="s">
        <v>74</v>
      </c>
      <c r="P369" t="s">
        <v>74</v>
      </c>
      <c r="Q369" t="s">
        <v>74</v>
      </c>
      <c r="R369" t="s">
        <v>74</v>
      </c>
      <c r="S369" t="s">
        <v>74</v>
      </c>
      <c r="T369" t="s">
        <v>74</v>
      </c>
      <c r="U369" t="s">
        <v>7555</v>
      </c>
      <c r="V369" t="s">
        <v>74</v>
      </c>
      <c r="W369" t="s">
        <v>7556</v>
      </c>
      <c r="X369" t="s">
        <v>7557</v>
      </c>
      <c r="Y369" t="s">
        <v>7558</v>
      </c>
      <c r="Z369" t="s">
        <v>7559</v>
      </c>
      <c r="AA369" t="s">
        <v>7560</v>
      </c>
      <c r="AB369" t="s">
        <v>7561</v>
      </c>
      <c r="AC369" t="s">
        <v>7562</v>
      </c>
      <c r="AD369" t="s">
        <v>7563</v>
      </c>
      <c r="AE369" t="s">
        <v>7564</v>
      </c>
      <c r="AF369" t="s">
        <v>74</v>
      </c>
      <c r="AG369">
        <v>56</v>
      </c>
      <c r="AH369">
        <v>13</v>
      </c>
      <c r="AI369">
        <v>14</v>
      </c>
      <c r="AJ369">
        <v>4</v>
      </c>
      <c r="AK369">
        <v>11</v>
      </c>
      <c r="AL369" t="s">
        <v>795</v>
      </c>
      <c r="AM369" t="s">
        <v>796</v>
      </c>
      <c r="AN369" t="s">
        <v>797</v>
      </c>
      <c r="AO369" t="s">
        <v>3844</v>
      </c>
      <c r="AP369" t="s">
        <v>3845</v>
      </c>
      <c r="AQ369" t="s">
        <v>74</v>
      </c>
      <c r="AR369" t="s">
        <v>3846</v>
      </c>
      <c r="AS369" t="s">
        <v>3847</v>
      </c>
      <c r="AT369" t="s">
        <v>845</v>
      </c>
      <c r="AU369">
        <v>2021</v>
      </c>
      <c r="AV369">
        <v>37</v>
      </c>
      <c r="AW369">
        <v>4</v>
      </c>
      <c r="AX369" t="s">
        <v>74</v>
      </c>
      <c r="AY369" t="s">
        <v>74</v>
      </c>
      <c r="AZ369" t="s">
        <v>74</v>
      </c>
      <c r="BA369" t="s">
        <v>74</v>
      </c>
      <c r="BB369">
        <v>1498</v>
      </c>
      <c r="BC369">
        <v>1506</v>
      </c>
      <c r="BD369" t="s">
        <v>74</v>
      </c>
      <c r="BE369" t="s">
        <v>7565</v>
      </c>
      <c r="BF369" t="str">
        <f>HYPERLINK("http://dx.doi.org/10.1111/mms.12805","http://dx.doi.org/10.1111/mms.12805")</f>
        <v>http://dx.doi.org/10.1111/mms.12805</v>
      </c>
      <c r="BG369" t="s">
        <v>74</v>
      </c>
      <c r="BH369" t="s">
        <v>6407</v>
      </c>
      <c r="BI369">
        <v>9</v>
      </c>
      <c r="BJ369" t="s">
        <v>3849</v>
      </c>
      <c r="BK369" t="s">
        <v>101</v>
      </c>
      <c r="BL369" t="s">
        <v>3849</v>
      </c>
      <c r="BM369" t="s">
        <v>3850</v>
      </c>
      <c r="BN369" t="s">
        <v>74</v>
      </c>
      <c r="BO369" t="s">
        <v>74</v>
      </c>
      <c r="BP369" t="s">
        <v>74</v>
      </c>
      <c r="BQ369" t="s">
        <v>74</v>
      </c>
      <c r="BR369" t="s">
        <v>104</v>
      </c>
      <c r="BS369" t="s">
        <v>7566</v>
      </c>
      <c r="BT369" t="str">
        <f>HYPERLINK("https%3A%2F%2Fwww.webofscience.com%2Fwos%2Fwoscc%2Ffull-record%2FWOS:000632241900001","View Full Record in Web of Science")</f>
        <v>View Full Record in Web of Science</v>
      </c>
    </row>
    <row r="370" spans="1:72" x14ac:dyDescent="0.15">
      <c r="A370" t="s">
        <v>72</v>
      </c>
      <c r="B370" t="s">
        <v>7567</v>
      </c>
      <c r="C370" t="s">
        <v>74</v>
      </c>
      <c r="D370" t="s">
        <v>74</v>
      </c>
      <c r="E370" t="s">
        <v>74</v>
      </c>
      <c r="F370" t="s">
        <v>7568</v>
      </c>
      <c r="G370" t="s">
        <v>74</v>
      </c>
      <c r="H370" t="s">
        <v>74</v>
      </c>
      <c r="I370" t="s">
        <v>7569</v>
      </c>
      <c r="J370" t="s">
        <v>1714</v>
      </c>
      <c r="K370" t="s">
        <v>74</v>
      </c>
      <c r="L370" t="s">
        <v>74</v>
      </c>
      <c r="M370" t="s">
        <v>78</v>
      </c>
      <c r="N370" t="s">
        <v>79</v>
      </c>
      <c r="O370" t="s">
        <v>74</v>
      </c>
      <c r="P370" t="s">
        <v>74</v>
      </c>
      <c r="Q370" t="s">
        <v>74</v>
      </c>
      <c r="R370" t="s">
        <v>74</v>
      </c>
      <c r="S370" t="s">
        <v>74</v>
      </c>
      <c r="T370" t="s">
        <v>7570</v>
      </c>
      <c r="U370" t="s">
        <v>7571</v>
      </c>
      <c r="V370" t="s">
        <v>7572</v>
      </c>
      <c r="W370" t="s">
        <v>7573</v>
      </c>
      <c r="X370" t="s">
        <v>7574</v>
      </c>
      <c r="Y370" t="s">
        <v>7575</v>
      </c>
      <c r="Z370" t="s">
        <v>7576</v>
      </c>
      <c r="AA370" t="s">
        <v>1722</v>
      </c>
      <c r="AB370" t="s">
        <v>1723</v>
      </c>
      <c r="AC370" t="s">
        <v>7577</v>
      </c>
      <c r="AD370" t="s">
        <v>7578</v>
      </c>
      <c r="AE370" t="s">
        <v>7579</v>
      </c>
      <c r="AF370" t="s">
        <v>74</v>
      </c>
      <c r="AG370">
        <v>79</v>
      </c>
      <c r="AH370">
        <v>9</v>
      </c>
      <c r="AI370">
        <v>9</v>
      </c>
      <c r="AJ370">
        <v>3</v>
      </c>
      <c r="AK370">
        <v>12</v>
      </c>
      <c r="AL370" t="s">
        <v>576</v>
      </c>
      <c r="AM370" t="s">
        <v>577</v>
      </c>
      <c r="AN370" t="s">
        <v>578</v>
      </c>
      <c r="AO370" t="s">
        <v>1726</v>
      </c>
      <c r="AP370" t="s">
        <v>1727</v>
      </c>
      <c r="AQ370" t="s">
        <v>74</v>
      </c>
      <c r="AR370" t="s">
        <v>1714</v>
      </c>
      <c r="AS370" t="s">
        <v>1728</v>
      </c>
      <c r="AT370" t="s">
        <v>1035</v>
      </c>
      <c r="AU370">
        <v>2021</v>
      </c>
      <c r="AV370">
        <v>202</v>
      </c>
      <c r="AW370" t="s">
        <v>74</v>
      </c>
      <c r="AX370" t="s">
        <v>74</v>
      </c>
      <c r="AY370" t="s">
        <v>74</v>
      </c>
      <c r="AZ370" t="s">
        <v>74</v>
      </c>
      <c r="BA370" t="s">
        <v>74</v>
      </c>
      <c r="BB370" t="s">
        <v>74</v>
      </c>
      <c r="BC370" t="s">
        <v>74</v>
      </c>
      <c r="BD370">
        <v>105300</v>
      </c>
      <c r="BE370" t="s">
        <v>7580</v>
      </c>
      <c r="BF370" t="str">
        <f>HYPERLINK("http://dx.doi.org/10.1016/j.catena.2021.105300","http://dx.doi.org/10.1016/j.catena.2021.105300")</f>
        <v>http://dx.doi.org/10.1016/j.catena.2021.105300</v>
      </c>
      <c r="BG370" t="s">
        <v>74</v>
      </c>
      <c r="BH370" t="s">
        <v>6407</v>
      </c>
      <c r="BI370">
        <v>11</v>
      </c>
      <c r="BJ370" t="s">
        <v>1730</v>
      </c>
      <c r="BK370" t="s">
        <v>101</v>
      </c>
      <c r="BL370" t="s">
        <v>1731</v>
      </c>
      <c r="BM370" t="s">
        <v>7581</v>
      </c>
      <c r="BN370" t="s">
        <v>74</v>
      </c>
      <c r="BO370" t="s">
        <v>712</v>
      </c>
      <c r="BP370" t="s">
        <v>74</v>
      </c>
      <c r="BQ370" t="s">
        <v>74</v>
      </c>
      <c r="BR370" t="s">
        <v>104</v>
      </c>
      <c r="BS370" t="s">
        <v>7582</v>
      </c>
      <c r="BT370" t="str">
        <f>HYPERLINK("https%3A%2F%2Fwww.webofscience.com%2Fwos%2Fwoscc%2Ffull-record%2FWOS:000643594100058","View Full Record in Web of Science")</f>
        <v>View Full Record in Web of Science</v>
      </c>
    </row>
    <row r="371" spans="1:72" x14ac:dyDescent="0.15">
      <c r="A371" t="s">
        <v>72</v>
      </c>
      <c r="B371" t="s">
        <v>7583</v>
      </c>
      <c r="C371" t="s">
        <v>74</v>
      </c>
      <c r="D371" t="s">
        <v>74</v>
      </c>
      <c r="E371" t="s">
        <v>74</v>
      </c>
      <c r="F371" t="s">
        <v>7584</v>
      </c>
      <c r="G371" t="s">
        <v>74</v>
      </c>
      <c r="H371" t="s">
        <v>74</v>
      </c>
      <c r="I371" t="s">
        <v>7585</v>
      </c>
      <c r="J371" t="s">
        <v>7586</v>
      </c>
      <c r="K371" t="s">
        <v>74</v>
      </c>
      <c r="L371" t="s">
        <v>74</v>
      </c>
      <c r="M371" t="s">
        <v>78</v>
      </c>
      <c r="N371" t="s">
        <v>79</v>
      </c>
      <c r="O371" t="s">
        <v>74</v>
      </c>
      <c r="P371" t="s">
        <v>74</v>
      </c>
      <c r="Q371" t="s">
        <v>74</v>
      </c>
      <c r="R371" t="s">
        <v>74</v>
      </c>
      <c r="S371" t="s">
        <v>74</v>
      </c>
      <c r="T371" t="s">
        <v>7587</v>
      </c>
      <c r="U371" t="s">
        <v>7588</v>
      </c>
      <c r="V371" t="s">
        <v>7589</v>
      </c>
      <c r="W371" t="s">
        <v>7590</v>
      </c>
      <c r="X371" t="s">
        <v>7591</v>
      </c>
      <c r="Y371" t="s">
        <v>7592</v>
      </c>
      <c r="Z371" t="s">
        <v>7593</v>
      </c>
      <c r="AA371" t="s">
        <v>7594</v>
      </c>
      <c r="AB371" t="s">
        <v>7595</v>
      </c>
      <c r="AC371" t="s">
        <v>7596</v>
      </c>
      <c r="AD371" t="s">
        <v>7597</v>
      </c>
      <c r="AE371" t="s">
        <v>7598</v>
      </c>
      <c r="AF371" t="s">
        <v>74</v>
      </c>
      <c r="AG371">
        <v>87</v>
      </c>
      <c r="AH371">
        <v>9</v>
      </c>
      <c r="AI371">
        <v>9</v>
      </c>
      <c r="AJ371">
        <v>1</v>
      </c>
      <c r="AK371">
        <v>13</v>
      </c>
      <c r="AL371" t="s">
        <v>1058</v>
      </c>
      <c r="AM371" t="s">
        <v>891</v>
      </c>
      <c r="AN371" t="s">
        <v>1059</v>
      </c>
      <c r="AO371" t="s">
        <v>7599</v>
      </c>
      <c r="AP371" t="s">
        <v>7600</v>
      </c>
      <c r="AQ371" t="s">
        <v>74</v>
      </c>
      <c r="AR371" t="s">
        <v>7601</v>
      </c>
      <c r="AS371" t="s">
        <v>7602</v>
      </c>
      <c r="AT371" t="s">
        <v>4706</v>
      </c>
      <c r="AU371">
        <v>2021</v>
      </c>
      <c r="AV371">
        <v>220</v>
      </c>
      <c r="AW371" t="s">
        <v>74</v>
      </c>
      <c r="AX371" t="s">
        <v>74</v>
      </c>
      <c r="AY371" t="s">
        <v>74</v>
      </c>
      <c r="AZ371" t="s">
        <v>74</v>
      </c>
      <c r="BA371" t="s">
        <v>74</v>
      </c>
      <c r="BB371" t="s">
        <v>74</v>
      </c>
      <c r="BC371" t="s">
        <v>74</v>
      </c>
      <c r="BD371">
        <v>104404</v>
      </c>
      <c r="BE371" t="s">
        <v>7603</v>
      </c>
      <c r="BF371" t="str">
        <f>HYPERLINK("http://dx.doi.org/10.1016/j.csr.2021.104404","http://dx.doi.org/10.1016/j.csr.2021.104404")</f>
        <v>http://dx.doi.org/10.1016/j.csr.2021.104404</v>
      </c>
      <c r="BG371" t="s">
        <v>74</v>
      </c>
      <c r="BH371" t="s">
        <v>6407</v>
      </c>
      <c r="BI371">
        <v>12</v>
      </c>
      <c r="BJ371" t="s">
        <v>369</v>
      </c>
      <c r="BK371" t="s">
        <v>101</v>
      </c>
      <c r="BL371" t="s">
        <v>369</v>
      </c>
      <c r="BM371" t="s">
        <v>7604</v>
      </c>
      <c r="BN371" t="s">
        <v>74</v>
      </c>
      <c r="BO371" t="s">
        <v>2543</v>
      </c>
      <c r="BP371" t="s">
        <v>74</v>
      </c>
      <c r="BQ371" t="s">
        <v>74</v>
      </c>
      <c r="BR371" t="s">
        <v>104</v>
      </c>
      <c r="BS371" t="s">
        <v>7605</v>
      </c>
      <c r="BT371" t="str">
        <f>HYPERLINK("https%3A%2F%2Fwww.webofscience.com%2Fwos%2Fwoscc%2Ffull-record%2FWOS:000641417300002","View Full Record in Web of Science")</f>
        <v>View Full Record in Web of Science</v>
      </c>
    </row>
    <row r="372" spans="1:72" x14ac:dyDescent="0.15">
      <c r="A372" t="s">
        <v>72</v>
      </c>
      <c r="B372" t="s">
        <v>7606</v>
      </c>
      <c r="C372" t="s">
        <v>74</v>
      </c>
      <c r="D372" t="s">
        <v>74</v>
      </c>
      <c r="E372" t="s">
        <v>74</v>
      </c>
      <c r="F372" t="s">
        <v>7607</v>
      </c>
      <c r="G372" t="s">
        <v>74</v>
      </c>
      <c r="H372" t="s">
        <v>74</v>
      </c>
      <c r="I372" t="s">
        <v>7608</v>
      </c>
      <c r="J372" t="s">
        <v>7609</v>
      </c>
      <c r="K372" t="s">
        <v>74</v>
      </c>
      <c r="L372" t="s">
        <v>74</v>
      </c>
      <c r="M372" t="s">
        <v>78</v>
      </c>
      <c r="N372" t="s">
        <v>79</v>
      </c>
      <c r="O372" t="s">
        <v>74</v>
      </c>
      <c r="P372" t="s">
        <v>74</v>
      </c>
      <c r="Q372" t="s">
        <v>74</v>
      </c>
      <c r="R372" t="s">
        <v>74</v>
      </c>
      <c r="S372" t="s">
        <v>74</v>
      </c>
      <c r="T372" t="s">
        <v>7610</v>
      </c>
      <c r="U372" t="s">
        <v>7611</v>
      </c>
      <c r="V372" t="s">
        <v>7612</v>
      </c>
      <c r="W372" t="s">
        <v>7613</v>
      </c>
      <c r="X372" t="s">
        <v>7614</v>
      </c>
      <c r="Y372" t="s">
        <v>7615</v>
      </c>
      <c r="Z372" t="s">
        <v>7616</v>
      </c>
      <c r="AA372" t="s">
        <v>7617</v>
      </c>
      <c r="AB372" t="s">
        <v>7618</v>
      </c>
      <c r="AC372" t="s">
        <v>7619</v>
      </c>
      <c r="AD372" t="s">
        <v>7620</v>
      </c>
      <c r="AE372" t="s">
        <v>7621</v>
      </c>
      <c r="AF372" t="s">
        <v>74</v>
      </c>
      <c r="AG372">
        <v>56</v>
      </c>
      <c r="AH372">
        <v>9</v>
      </c>
      <c r="AI372">
        <v>9</v>
      </c>
      <c r="AJ372">
        <v>0</v>
      </c>
      <c r="AK372">
        <v>4</v>
      </c>
      <c r="AL372" t="s">
        <v>1058</v>
      </c>
      <c r="AM372" t="s">
        <v>891</v>
      </c>
      <c r="AN372" t="s">
        <v>1059</v>
      </c>
      <c r="AO372" t="s">
        <v>7622</v>
      </c>
      <c r="AP372" t="s">
        <v>7623</v>
      </c>
      <c r="AQ372" t="s">
        <v>74</v>
      </c>
      <c r="AR372" t="s">
        <v>7624</v>
      </c>
      <c r="AS372" t="s">
        <v>7625</v>
      </c>
      <c r="AT372" t="s">
        <v>707</v>
      </c>
      <c r="AU372">
        <v>2021</v>
      </c>
      <c r="AV372">
        <v>217</v>
      </c>
      <c r="AW372" t="s">
        <v>74</v>
      </c>
      <c r="AX372" t="s">
        <v>74</v>
      </c>
      <c r="AY372" t="s">
        <v>74</v>
      </c>
      <c r="AZ372" t="s">
        <v>74</v>
      </c>
      <c r="BA372" t="s">
        <v>74</v>
      </c>
      <c r="BB372" t="s">
        <v>74</v>
      </c>
      <c r="BC372" t="s">
        <v>74</v>
      </c>
      <c r="BD372">
        <v>105531</v>
      </c>
      <c r="BE372" t="s">
        <v>7626</v>
      </c>
      <c r="BF372" t="str">
        <f>HYPERLINK("http://dx.doi.org/10.1016/j.jastp.2020.105531","http://dx.doi.org/10.1016/j.jastp.2020.105531")</f>
        <v>http://dx.doi.org/10.1016/j.jastp.2020.105531</v>
      </c>
      <c r="BG372" t="s">
        <v>74</v>
      </c>
      <c r="BH372" t="s">
        <v>6407</v>
      </c>
      <c r="BI372">
        <v>10</v>
      </c>
      <c r="BJ372" t="s">
        <v>7627</v>
      </c>
      <c r="BK372" t="s">
        <v>101</v>
      </c>
      <c r="BL372" t="s">
        <v>7627</v>
      </c>
      <c r="BM372" t="s">
        <v>7628</v>
      </c>
      <c r="BN372" t="s">
        <v>74</v>
      </c>
      <c r="BO372" t="s">
        <v>712</v>
      </c>
      <c r="BP372" t="s">
        <v>74</v>
      </c>
      <c r="BQ372" t="s">
        <v>74</v>
      </c>
      <c r="BR372" t="s">
        <v>104</v>
      </c>
      <c r="BS372" t="s">
        <v>7629</v>
      </c>
      <c r="BT372" t="str">
        <f>HYPERLINK("https%3A%2F%2Fwww.webofscience.com%2Fwos%2Fwoscc%2Ffull-record%2FWOS:000640427300005","View Full Record in Web of Science")</f>
        <v>View Full Record in Web of Science</v>
      </c>
    </row>
    <row r="373" spans="1:72" x14ac:dyDescent="0.15">
      <c r="A373" t="s">
        <v>72</v>
      </c>
      <c r="B373" t="s">
        <v>7630</v>
      </c>
      <c r="C373" t="s">
        <v>74</v>
      </c>
      <c r="D373" t="s">
        <v>74</v>
      </c>
      <c r="E373" t="s">
        <v>74</v>
      </c>
      <c r="F373" t="s">
        <v>7631</v>
      </c>
      <c r="G373" t="s">
        <v>74</v>
      </c>
      <c r="H373" t="s">
        <v>74</v>
      </c>
      <c r="I373" t="s">
        <v>7632</v>
      </c>
      <c r="J373" t="s">
        <v>7633</v>
      </c>
      <c r="K373" t="s">
        <v>74</v>
      </c>
      <c r="L373" t="s">
        <v>74</v>
      </c>
      <c r="M373" t="s">
        <v>78</v>
      </c>
      <c r="N373" t="s">
        <v>79</v>
      </c>
      <c r="O373" t="s">
        <v>74</v>
      </c>
      <c r="P373" t="s">
        <v>74</v>
      </c>
      <c r="Q373" t="s">
        <v>74</v>
      </c>
      <c r="R373" t="s">
        <v>74</v>
      </c>
      <c r="S373" t="s">
        <v>74</v>
      </c>
      <c r="T373" t="s">
        <v>7634</v>
      </c>
      <c r="U373" t="s">
        <v>7635</v>
      </c>
      <c r="V373" t="s">
        <v>7636</v>
      </c>
      <c r="W373" t="s">
        <v>7637</v>
      </c>
      <c r="X373" t="s">
        <v>7638</v>
      </c>
      <c r="Y373" t="s">
        <v>7639</v>
      </c>
      <c r="Z373" t="s">
        <v>7640</v>
      </c>
      <c r="AA373" t="s">
        <v>7641</v>
      </c>
      <c r="AB373" t="s">
        <v>7642</v>
      </c>
      <c r="AC373" t="s">
        <v>7643</v>
      </c>
      <c r="AD373" t="s">
        <v>7644</v>
      </c>
      <c r="AE373" t="s">
        <v>7645</v>
      </c>
      <c r="AF373" t="s">
        <v>74</v>
      </c>
      <c r="AG373">
        <v>64</v>
      </c>
      <c r="AH373">
        <v>46</v>
      </c>
      <c r="AI373">
        <v>47</v>
      </c>
      <c r="AJ373">
        <v>9</v>
      </c>
      <c r="AK373">
        <v>40</v>
      </c>
      <c r="AL373" t="s">
        <v>7646</v>
      </c>
      <c r="AM373" t="s">
        <v>390</v>
      </c>
      <c r="AN373" t="s">
        <v>7647</v>
      </c>
      <c r="AO373" t="s">
        <v>7648</v>
      </c>
      <c r="AP373" t="s">
        <v>7649</v>
      </c>
      <c r="AQ373" t="s">
        <v>74</v>
      </c>
      <c r="AR373" t="s">
        <v>7650</v>
      </c>
      <c r="AS373" t="s">
        <v>7651</v>
      </c>
      <c r="AT373" t="s">
        <v>7652</v>
      </c>
      <c r="AU373">
        <v>2021</v>
      </c>
      <c r="AV373">
        <v>118</v>
      </c>
      <c r="AW373">
        <v>12</v>
      </c>
      <c r="AX373" t="s">
        <v>74</v>
      </c>
      <c r="AY373" t="s">
        <v>74</v>
      </c>
      <c r="AZ373" t="s">
        <v>74</v>
      </c>
      <c r="BA373" t="s">
        <v>74</v>
      </c>
      <c r="BB373" t="s">
        <v>74</v>
      </c>
      <c r="BC373" t="s">
        <v>74</v>
      </c>
      <c r="BD373" t="s">
        <v>7653</v>
      </c>
      <c r="BE373" t="s">
        <v>7654</v>
      </c>
      <c r="BF373" t="str">
        <f>HYPERLINK("http://dx.doi.org/10.1073/pnas.2012318118","http://dx.doi.org/10.1073/pnas.2012318118")</f>
        <v>http://dx.doi.org/10.1073/pnas.2012318118</v>
      </c>
      <c r="BG373" t="s">
        <v>74</v>
      </c>
      <c r="BH373" t="s">
        <v>74</v>
      </c>
      <c r="BI373">
        <v>10</v>
      </c>
      <c r="BJ373" t="s">
        <v>555</v>
      </c>
      <c r="BK373" t="s">
        <v>101</v>
      </c>
      <c r="BL373" t="s">
        <v>556</v>
      </c>
      <c r="BM373" t="s">
        <v>7655</v>
      </c>
      <c r="BN373">
        <v>33723036</v>
      </c>
      <c r="BO373" t="s">
        <v>4573</v>
      </c>
      <c r="BP373" t="s">
        <v>74</v>
      </c>
      <c r="BQ373" t="s">
        <v>74</v>
      </c>
      <c r="BR373" t="s">
        <v>104</v>
      </c>
      <c r="BS373" t="s">
        <v>7656</v>
      </c>
      <c r="BT373" t="str">
        <f>HYPERLINK("https%3A%2F%2Fwww.webofscience.com%2Fwos%2Fwoscc%2Ffull-record%2FWOS:000631868600009","View Full Record in Web of Science")</f>
        <v>View Full Record in Web of Science</v>
      </c>
    </row>
    <row r="374" spans="1:72" x14ac:dyDescent="0.15">
      <c r="A374" t="s">
        <v>72</v>
      </c>
      <c r="B374" t="s">
        <v>7657</v>
      </c>
      <c r="C374" t="s">
        <v>74</v>
      </c>
      <c r="D374" t="s">
        <v>74</v>
      </c>
      <c r="E374" t="s">
        <v>74</v>
      </c>
      <c r="F374" t="s">
        <v>7658</v>
      </c>
      <c r="G374" t="s">
        <v>74</v>
      </c>
      <c r="H374" t="s">
        <v>74</v>
      </c>
      <c r="I374" t="s">
        <v>7659</v>
      </c>
      <c r="J374" t="s">
        <v>7660</v>
      </c>
      <c r="K374" t="s">
        <v>74</v>
      </c>
      <c r="L374" t="s">
        <v>74</v>
      </c>
      <c r="M374" t="s">
        <v>78</v>
      </c>
      <c r="N374" t="s">
        <v>79</v>
      </c>
      <c r="O374" t="s">
        <v>74</v>
      </c>
      <c r="P374" t="s">
        <v>74</v>
      </c>
      <c r="Q374" t="s">
        <v>74</v>
      </c>
      <c r="R374" t="s">
        <v>74</v>
      </c>
      <c r="S374" t="s">
        <v>74</v>
      </c>
      <c r="T374" t="s">
        <v>7661</v>
      </c>
      <c r="U374" t="s">
        <v>7662</v>
      </c>
      <c r="V374" t="s">
        <v>7663</v>
      </c>
      <c r="W374" t="s">
        <v>7664</v>
      </c>
      <c r="X374" t="s">
        <v>7665</v>
      </c>
      <c r="Y374" t="s">
        <v>7666</v>
      </c>
      <c r="Z374" t="s">
        <v>7667</v>
      </c>
      <c r="AA374" t="s">
        <v>7668</v>
      </c>
      <c r="AB374" t="s">
        <v>7669</v>
      </c>
      <c r="AC374" t="s">
        <v>7670</v>
      </c>
      <c r="AD374" t="s">
        <v>7671</v>
      </c>
      <c r="AE374" t="s">
        <v>7672</v>
      </c>
      <c r="AF374" t="s">
        <v>74</v>
      </c>
      <c r="AG374">
        <v>63</v>
      </c>
      <c r="AH374">
        <v>8</v>
      </c>
      <c r="AI374">
        <v>8</v>
      </c>
      <c r="AJ374">
        <v>5</v>
      </c>
      <c r="AK374">
        <v>26</v>
      </c>
      <c r="AL374" t="s">
        <v>166</v>
      </c>
      <c r="AM374" t="s">
        <v>167</v>
      </c>
      <c r="AN374" t="s">
        <v>168</v>
      </c>
      <c r="AO374" t="s">
        <v>7673</v>
      </c>
      <c r="AP374" t="s">
        <v>7674</v>
      </c>
      <c r="AQ374" t="s">
        <v>74</v>
      </c>
      <c r="AR374" t="s">
        <v>7675</v>
      </c>
      <c r="AS374" t="s">
        <v>7676</v>
      </c>
      <c r="AT374" t="s">
        <v>845</v>
      </c>
      <c r="AU374">
        <v>2021</v>
      </c>
      <c r="AV374">
        <v>13</v>
      </c>
      <c r="AW374">
        <v>5</v>
      </c>
      <c r="AX374" t="s">
        <v>74</v>
      </c>
      <c r="AY374" t="s">
        <v>74</v>
      </c>
      <c r="AZ374" t="s">
        <v>74</v>
      </c>
      <c r="BA374" t="s">
        <v>74</v>
      </c>
      <c r="BB374">
        <v>1338</v>
      </c>
      <c r="BC374">
        <v>1354</v>
      </c>
      <c r="BD374" t="s">
        <v>74</v>
      </c>
      <c r="BE374" t="s">
        <v>7677</v>
      </c>
      <c r="BF374" t="str">
        <f>HYPERLINK("http://dx.doi.org/10.1007/s12602-021-09758-8","http://dx.doi.org/10.1007/s12602-021-09758-8")</f>
        <v>http://dx.doi.org/10.1007/s12602-021-09758-8</v>
      </c>
      <c r="BG374" t="s">
        <v>74</v>
      </c>
      <c r="BH374" t="s">
        <v>6407</v>
      </c>
      <c r="BI374">
        <v>17</v>
      </c>
      <c r="BJ374" t="s">
        <v>6023</v>
      </c>
      <c r="BK374" t="s">
        <v>101</v>
      </c>
      <c r="BL374" t="s">
        <v>6023</v>
      </c>
      <c r="BM374" t="s">
        <v>7678</v>
      </c>
      <c r="BN374">
        <v>33759043</v>
      </c>
      <c r="BO374" t="s">
        <v>74</v>
      </c>
      <c r="BP374" t="s">
        <v>74</v>
      </c>
      <c r="BQ374" t="s">
        <v>74</v>
      </c>
      <c r="BR374" t="s">
        <v>104</v>
      </c>
      <c r="BS374" t="s">
        <v>7679</v>
      </c>
      <c r="BT374" t="str">
        <f>HYPERLINK("https%3A%2F%2Fwww.webofscience.com%2Fwos%2Fwoscc%2Ffull-record%2FWOS:000631789700001","View Full Record in Web of Science")</f>
        <v>View Full Record in Web of Science</v>
      </c>
    </row>
    <row r="375" spans="1:72" x14ac:dyDescent="0.15">
      <c r="A375" t="s">
        <v>72</v>
      </c>
      <c r="B375" t="s">
        <v>7680</v>
      </c>
      <c r="C375" t="s">
        <v>74</v>
      </c>
      <c r="D375" t="s">
        <v>74</v>
      </c>
      <c r="E375" t="s">
        <v>74</v>
      </c>
      <c r="F375" t="s">
        <v>7681</v>
      </c>
      <c r="G375" t="s">
        <v>74</v>
      </c>
      <c r="H375" t="s">
        <v>74</v>
      </c>
      <c r="I375" t="s">
        <v>7682</v>
      </c>
      <c r="J375" t="s">
        <v>1349</v>
      </c>
      <c r="K375" t="s">
        <v>74</v>
      </c>
      <c r="L375" t="s">
        <v>74</v>
      </c>
      <c r="M375" t="s">
        <v>78</v>
      </c>
      <c r="N375" t="s">
        <v>79</v>
      </c>
      <c r="O375" t="s">
        <v>74</v>
      </c>
      <c r="P375" t="s">
        <v>74</v>
      </c>
      <c r="Q375" t="s">
        <v>74</v>
      </c>
      <c r="R375" t="s">
        <v>74</v>
      </c>
      <c r="S375" t="s">
        <v>74</v>
      </c>
      <c r="T375" t="s">
        <v>7683</v>
      </c>
      <c r="U375" t="s">
        <v>7684</v>
      </c>
      <c r="V375" t="s">
        <v>7685</v>
      </c>
      <c r="W375" t="s">
        <v>7686</v>
      </c>
      <c r="X375" t="s">
        <v>7687</v>
      </c>
      <c r="Y375" t="s">
        <v>7688</v>
      </c>
      <c r="Z375" t="s">
        <v>7689</v>
      </c>
      <c r="AA375" t="s">
        <v>7690</v>
      </c>
      <c r="AB375" t="s">
        <v>7691</v>
      </c>
      <c r="AC375" t="s">
        <v>7692</v>
      </c>
      <c r="AD375" t="s">
        <v>7693</v>
      </c>
      <c r="AE375" t="s">
        <v>7694</v>
      </c>
      <c r="AF375" t="s">
        <v>74</v>
      </c>
      <c r="AG375">
        <v>42</v>
      </c>
      <c r="AH375">
        <v>8</v>
      </c>
      <c r="AI375">
        <v>8</v>
      </c>
      <c r="AJ375">
        <v>0</v>
      </c>
      <c r="AK375">
        <v>11</v>
      </c>
      <c r="AL375" t="s">
        <v>795</v>
      </c>
      <c r="AM375" t="s">
        <v>796</v>
      </c>
      <c r="AN375" t="s">
        <v>797</v>
      </c>
      <c r="AO375" t="s">
        <v>1360</v>
      </c>
      <c r="AP375" t="s">
        <v>1361</v>
      </c>
      <c r="AQ375" t="s">
        <v>74</v>
      </c>
      <c r="AR375" t="s">
        <v>1362</v>
      </c>
      <c r="AS375" t="s">
        <v>1363</v>
      </c>
      <c r="AT375" t="s">
        <v>1364</v>
      </c>
      <c r="AU375">
        <v>2021</v>
      </c>
      <c r="AV375">
        <v>31</v>
      </c>
      <c r="AW375">
        <v>8</v>
      </c>
      <c r="AX375" t="s">
        <v>74</v>
      </c>
      <c r="AY375" t="s">
        <v>74</v>
      </c>
      <c r="AZ375" t="s">
        <v>74</v>
      </c>
      <c r="BA375" t="s">
        <v>74</v>
      </c>
      <c r="BB375">
        <v>2178</v>
      </c>
      <c r="BC375">
        <v>2192</v>
      </c>
      <c r="BD375" t="s">
        <v>74</v>
      </c>
      <c r="BE375" t="s">
        <v>7695</v>
      </c>
      <c r="BF375" t="str">
        <f>HYPERLINK("http://dx.doi.org/10.1002/aqc.3579","http://dx.doi.org/10.1002/aqc.3579")</f>
        <v>http://dx.doi.org/10.1002/aqc.3579</v>
      </c>
      <c r="BG375" t="s">
        <v>74</v>
      </c>
      <c r="BH375" t="s">
        <v>6407</v>
      </c>
      <c r="BI375">
        <v>15</v>
      </c>
      <c r="BJ375" t="s">
        <v>1366</v>
      </c>
      <c r="BK375" t="s">
        <v>101</v>
      </c>
      <c r="BL375" t="s">
        <v>1367</v>
      </c>
      <c r="BM375" t="s">
        <v>1368</v>
      </c>
      <c r="BN375" t="s">
        <v>74</v>
      </c>
      <c r="BO375" t="s">
        <v>74</v>
      </c>
      <c r="BP375" t="s">
        <v>74</v>
      </c>
      <c r="BQ375" t="s">
        <v>74</v>
      </c>
      <c r="BR375" t="s">
        <v>104</v>
      </c>
      <c r="BS375" t="s">
        <v>7696</v>
      </c>
      <c r="BT375" t="str">
        <f>HYPERLINK("https%3A%2F%2Fwww.webofscience.com%2Fwos%2Fwoscc%2Ffull-record%2FWOS:000631684800001","View Full Record in Web of Science")</f>
        <v>View Full Record in Web of Science</v>
      </c>
    </row>
    <row r="376" spans="1:72" x14ac:dyDescent="0.15">
      <c r="A376" t="s">
        <v>72</v>
      </c>
      <c r="B376" t="s">
        <v>7697</v>
      </c>
      <c r="C376" t="s">
        <v>74</v>
      </c>
      <c r="D376" t="s">
        <v>74</v>
      </c>
      <c r="E376" t="s">
        <v>74</v>
      </c>
      <c r="F376" t="s">
        <v>7698</v>
      </c>
      <c r="G376" t="s">
        <v>74</v>
      </c>
      <c r="H376" t="s">
        <v>74</v>
      </c>
      <c r="I376" t="s">
        <v>7699</v>
      </c>
      <c r="J376" t="s">
        <v>3467</v>
      </c>
      <c r="K376" t="s">
        <v>74</v>
      </c>
      <c r="L376" t="s">
        <v>74</v>
      </c>
      <c r="M376" t="s">
        <v>78</v>
      </c>
      <c r="N376" t="s">
        <v>79</v>
      </c>
      <c r="O376" t="s">
        <v>74</v>
      </c>
      <c r="P376" t="s">
        <v>74</v>
      </c>
      <c r="Q376" t="s">
        <v>74</v>
      </c>
      <c r="R376" t="s">
        <v>74</v>
      </c>
      <c r="S376" t="s">
        <v>74</v>
      </c>
      <c r="T376" t="s">
        <v>7700</v>
      </c>
      <c r="U376" t="s">
        <v>7701</v>
      </c>
      <c r="V376" t="s">
        <v>7702</v>
      </c>
      <c r="W376" t="s">
        <v>7703</v>
      </c>
      <c r="X376" t="s">
        <v>7704</v>
      </c>
      <c r="Y376" t="s">
        <v>7705</v>
      </c>
      <c r="Z376" t="s">
        <v>7706</v>
      </c>
      <c r="AA376" t="s">
        <v>7707</v>
      </c>
      <c r="AB376" t="s">
        <v>7708</v>
      </c>
      <c r="AC376" t="s">
        <v>7709</v>
      </c>
      <c r="AD376" t="s">
        <v>7710</v>
      </c>
      <c r="AE376" t="s">
        <v>7711</v>
      </c>
      <c r="AF376" t="s">
        <v>74</v>
      </c>
      <c r="AG376">
        <v>84</v>
      </c>
      <c r="AH376">
        <v>11</v>
      </c>
      <c r="AI376">
        <v>11</v>
      </c>
      <c r="AJ376">
        <v>4</v>
      </c>
      <c r="AK376">
        <v>61</v>
      </c>
      <c r="AL376" t="s">
        <v>795</v>
      </c>
      <c r="AM376" t="s">
        <v>796</v>
      </c>
      <c r="AN376" t="s">
        <v>797</v>
      </c>
      <c r="AO376" t="s">
        <v>3480</v>
      </c>
      <c r="AP376" t="s">
        <v>3481</v>
      </c>
      <c r="AQ376" t="s">
        <v>74</v>
      </c>
      <c r="AR376" t="s">
        <v>3482</v>
      </c>
      <c r="AS376" t="s">
        <v>3483</v>
      </c>
      <c r="AT376" t="s">
        <v>1035</v>
      </c>
      <c r="AU376">
        <v>2021</v>
      </c>
      <c r="AV376">
        <v>48</v>
      </c>
      <c r="AW376">
        <v>7</v>
      </c>
      <c r="AX376" t="s">
        <v>74</v>
      </c>
      <c r="AY376" t="s">
        <v>74</v>
      </c>
      <c r="AZ376" t="s">
        <v>74</v>
      </c>
      <c r="BA376" t="s">
        <v>74</v>
      </c>
      <c r="BB376">
        <v>1635</v>
      </c>
      <c r="BC376">
        <v>1653</v>
      </c>
      <c r="BD376" t="s">
        <v>74</v>
      </c>
      <c r="BE376" t="s">
        <v>7712</v>
      </c>
      <c r="BF376" t="str">
        <f>HYPERLINK("http://dx.doi.org/10.1111/jbi.14101","http://dx.doi.org/10.1111/jbi.14101")</f>
        <v>http://dx.doi.org/10.1111/jbi.14101</v>
      </c>
      <c r="BG376" t="s">
        <v>74</v>
      </c>
      <c r="BH376" t="s">
        <v>6407</v>
      </c>
      <c r="BI376">
        <v>19</v>
      </c>
      <c r="BJ376" t="s">
        <v>3485</v>
      </c>
      <c r="BK376" t="s">
        <v>101</v>
      </c>
      <c r="BL376" t="s">
        <v>3486</v>
      </c>
      <c r="BM376" t="s">
        <v>3487</v>
      </c>
      <c r="BN376" t="s">
        <v>74</v>
      </c>
      <c r="BO376" t="s">
        <v>398</v>
      </c>
      <c r="BP376" t="s">
        <v>74</v>
      </c>
      <c r="BQ376" t="s">
        <v>74</v>
      </c>
      <c r="BR376" t="s">
        <v>104</v>
      </c>
      <c r="BS376" t="s">
        <v>7713</v>
      </c>
      <c r="BT376" t="str">
        <f>HYPERLINK("https%3A%2F%2Fwww.webofscience.com%2Fwos%2Fwoscc%2Ffull-record%2FWOS:000631513100001","View Full Record in Web of Science")</f>
        <v>View Full Record in Web of Science</v>
      </c>
    </row>
    <row r="377" spans="1:72" x14ac:dyDescent="0.15">
      <c r="A377" t="s">
        <v>72</v>
      </c>
      <c r="B377" t="s">
        <v>7714</v>
      </c>
      <c r="C377" t="s">
        <v>74</v>
      </c>
      <c r="D377" t="s">
        <v>74</v>
      </c>
      <c r="E377" t="s">
        <v>74</v>
      </c>
      <c r="F377" t="s">
        <v>7715</v>
      </c>
      <c r="G377" t="s">
        <v>74</v>
      </c>
      <c r="H377" t="s">
        <v>74</v>
      </c>
      <c r="I377" t="s">
        <v>7716</v>
      </c>
      <c r="J377" t="s">
        <v>7717</v>
      </c>
      <c r="K377" t="s">
        <v>74</v>
      </c>
      <c r="L377" t="s">
        <v>74</v>
      </c>
      <c r="M377" t="s">
        <v>78</v>
      </c>
      <c r="N377" t="s">
        <v>1074</v>
      </c>
      <c r="O377" t="s">
        <v>74</v>
      </c>
      <c r="P377" t="s">
        <v>74</v>
      </c>
      <c r="Q377" t="s">
        <v>74</v>
      </c>
      <c r="R377" t="s">
        <v>74</v>
      </c>
      <c r="S377" t="s">
        <v>74</v>
      </c>
      <c r="T377" t="s">
        <v>7718</v>
      </c>
      <c r="U377" t="s">
        <v>7719</v>
      </c>
      <c r="V377" t="s">
        <v>7720</v>
      </c>
      <c r="W377" t="s">
        <v>7721</v>
      </c>
      <c r="X377" t="s">
        <v>7722</v>
      </c>
      <c r="Y377" t="s">
        <v>7723</v>
      </c>
      <c r="Z377" t="s">
        <v>7724</v>
      </c>
      <c r="AA377" t="s">
        <v>7725</v>
      </c>
      <c r="AB377" t="s">
        <v>7726</v>
      </c>
      <c r="AC377" t="s">
        <v>7727</v>
      </c>
      <c r="AD377" t="s">
        <v>7728</v>
      </c>
      <c r="AE377" t="s">
        <v>7729</v>
      </c>
      <c r="AF377" t="s">
        <v>74</v>
      </c>
      <c r="AG377">
        <v>123</v>
      </c>
      <c r="AH377">
        <v>7</v>
      </c>
      <c r="AI377">
        <v>8</v>
      </c>
      <c r="AJ377">
        <v>15</v>
      </c>
      <c r="AK377">
        <v>92</v>
      </c>
      <c r="AL377" t="s">
        <v>2922</v>
      </c>
      <c r="AM377" t="s">
        <v>2923</v>
      </c>
      <c r="AN377" t="s">
        <v>2924</v>
      </c>
      <c r="AO377" t="s">
        <v>7730</v>
      </c>
      <c r="AP377" t="s">
        <v>7731</v>
      </c>
      <c r="AQ377" t="s">
        <v>74</v>
      </c>
      <c r="AR377" t="s">
        <v>7732</v>
      </c>
      <c r="AS377" t="s">
        <v>7733</v>
      </c>
      <c r="AT377" t="s">
        <v>7734</v>
      </c>
      <c r="AU377">
        <v>2021</v>
      </c>
      <c r="AV377">
        <v>48</v>
      </c>
      <c r="AW377" t="s">
        <v>5410</v>
      </c>
      <c r="AX377" t="s">
        <v>74</v>
      </c>
      <c r="AY377" t="s">
        <v>74</v>
      </c>
      <c r="AZ377" t="s">
        <v>803</v>
      </c>
      <c r="BA377" t="s">
        <v>74</v>
      </c>
      <c r="BB377">
        <v>245</v>
      </c>
      <c r="BC377">
        <v>262</v>
      </c>
      <c r="BD377" t="s">
        <v>74</v>
      </c>
      <c r="BE377" t="s">
        <v>7735</v>
      </c>
      <c r="BF377" t="str">
        <f>HYPERLINK("http://dx.doi.org/10.1080/03014223.2021.1900299","http://dx.doi.org/10.1080/03014223.2021.1900299")</f>
        <v>http://dx.doi.org/10.1080/03014223.2021.1900299</v>
      </c>
      <c r="BG377" t="s">
        <v>74</v>
      </c>
      <c r="BH377" t="s">
        <v>6407</v>
      </c>
      <c r="BI377">
        <v>18</v>
      </c>
      <c r="BJ377" t="s">
        <v>1229</v>
      </c>
      <c r="BK377" t="s">
        <v>101</v>
      </c>
      <c r="BL377" t="s">
        <v>1229</v>
      </c>
      <c r="BM377" t="s">
        <v>7736</v>
      </c>
      <c r="BN377" t="s">
        <v>74</v>
      </c>
      <c r="BO377" t="s">
        <v>74</v>
      </c>
      <c r="BP377" t="s">
        <v>74</v>
      </c>
      <c r="BQ377" t="s">
        <v>74</v>
      </c>
      <c r="BR377" t="s">
        <v>104</v>
      </c>
      <c r="BS377" t="s">
        <v>7737</v>
      </c>
      <c r="BT377" t="str">
        <f>HYPERLINK("https%3A%2F%2Fwww.webofscience.com%2Fwos%2Fwoscc%2Ffull-record%2FWOS:000630941100001","View Full Record in Web of Science")</f>
        <v>View Full Record in Web of Science</v>
      </c>
    </row>
    <row r="378" spans="1:72" x14ac:dyDescent="0.15">
      <c r="A378" t="s">
        <v>72</v>
      </c>
      <c r="B378" t="s">
        <v>7738</v>
      </c>
      <c r="C378" t="s">
        <v>74</v>
      </c>
      <c r="D378" t="s">
        <v>74</v>
      </c>
      <c r="E378" t="s">
        <v>74</v>
      </c>
      <c r="F378" t="s">
        <v>7739</v>
      </c>
      <c r="G378" t="s">
        <v>74</v>
      </c>
      <c r="H378" t="s">
        <v>74</v>
      </c>
      <c r="I378" t="s">
        <v>7740</v>
      </c>
      <c r="J378" t="s">
        <v>615</v>
      </c>
      <c r="K378" t="s">
        <v>74</v>
      </c>
      <c r="L378" t="s">
        <v>74</v>
      </c>
      <c r="M378" t="s">
        <v>78</v>
      </c>
      <c r="N378" t="s">
        <v>79</v>
      </c>
      <c r="O378" t="s">
        <v>74</v>
      </c>
      <c r="P378" t="s">
        <v>74</v>
      </c>
      <c r="Q378" t="s">
        <v>74</v>
      </c>
      <c r="R378" t="s">
        <v>74</v>
      </c>
      <c r="S378" t="s">
        <v>74</v>
      </c>
      <c r="T378" t="s">
        <v>7741</v>
      </c>
      <c r="U378" t="s">
        <v>74</v>
      </c>
      <c r="V378" t="s">
        <v>7742</v>
      </c>
      <c r="W378" t="s">
        <v>7743</v>
      </c>
      <c r="X378" t="s">
        <v>7744</v>
      </c>
      <c r="Y378" t="s">
        <v>7745</v>
      </c>
      <c r="Z378" t="s">
        <v>7382</v>
      </c>
      <c r="AA378" t="s">
        <v>7746</v>
      </c>
      <c r="AB378" t="s">
        <v>7747</v>
      </c>
      <c r="AC378" t="s">
        <v>7748</v>
      </c>
      <c r="AD378" t="s">
        <v>7748</v>
      </c>
      <c r="AE378" t="s">
        <v>7749</v>
      </c>
      <c r="AF378" t="s">
        <v>74</v>
      </c>
      <c r="AG378">
        <v>44</v>
      </c>
      <c r="AH378">
        <v>3</v>
      </c>
      <c r="AI378">
        <v>3</v>
      </c>
      <c r="AJ378">
        <v>2</v>
      </c>
      <c r="AK378">
        <v>8</v>
      </c>
      <c r="AL378" t="s">
        <v>625</v>
      </c>
      <c r="AM378" t="s">
        <v>167</v>
      </c>
      <c r="AN378" t="s">
        <v>626</v>
      </c>
      <c r="AO378" t="s">
        <v>627</v>
      </c>
      <c r="AP378" t="s">
        <v>628</v>
      </c>
      <c r="AQ378" t="s">
        <v>74</v>
      </c>
      <c r="AR378" t="s">
        <v>629</v>
      </c>
      <c r="AS378" t="s">
        <v>630</v>
      </c>
      <c r="AT378" t="s">
        <v>7652</v>
      </c>
      <c r="AU378">
        <v>2021</v>
      </c>
      <c r="AV378">
        <v>57</v>
      </c>
      <c r="AW378" t="s">
        <v>74</v>
      </c>
      <c r="AX378" t="s">
        <v>74</v>
      </c>
      <c r="AY378" t="s">
        <v>74</v>
      </c>
      <c r="AZ378" t="s">
        <v>74</v>
      </c>
      <c r="BA378" t="s">
        <v>74</v>
      </c>
      <c r="BB378" t="s">
        <v>74</v>
      </c>
      <c r="BC378" t="s">
        <v>74</v>
      </c>
      <c r="BD378" t="s">
        <v>7750</v>
      </c>
      <c r="BE378" t="s">
        <v>7751</v>
      </c>
      <c r="BF378" t="str">
        <f>HYPERLINK("http://dx.doi.org/10.1017/S003224742100005X","http://dx.doi.org/10.1017/S003224742100005X")</f>
        <v>http://dx.doi.org/10.1017/S003224742100005X</v>
      </c>
      <c r="BG378" t="s">
        <v>74</v>
      </c>
      <c r="BH378" t="s">
        <v>74</v>
      </c>
      <c r="BI378">
        <v>6</v>
      </c>
      <c r="BJ378" t="s">
        <v>633</v>
      </c>
      <c r="BK378" t="s">
        <v>101</v>
      </c>
      <c r="BL378" t="s">
        <v>225</v>
      </c>
      <c r="BM378" t="s">
        <v>7752</v>
      </c>
      <c r="BN378" t="s">
        <v>74</v>
      </c>
      <c r="BO378" t="s">
        <v>5118</v>
      </c>
      <c r="BP378" t="s">
        <v>74</v>
      </c>
      <c r="BQ378" t="s">
        <v>74</v>
      </c>
      <c r="BR378" t="s">
        <v>104</v>
      </c>
      <c r="BS378" t="s">
        <v>7753</v>
      </c>
      <c r="BT378" t="str">
        <f>HYPERLINK("https%3A%2F%2Fwww.webofscience.com%2Fwos%2Fwoscc%2Ffull-record%2FWOS:000631269600001","View Full Record in Web of Science")</f>
        <v>View Full Record in Web of Science</v>
      </c>
    </row>
    <row r="379" spans="1:72" x14ac:dyDescent="0.15">
      <c r="A379" t="s">
        <v>72</v>
      </c>
      <c r="B379" t="s">
        <v>7754</v>
      </c>
      <c r="C379" t="s">
        <v>74</v>
      </c>
      <c r="D379" t="s">
        <v>74</v>
      </c>
      <c r="E379" t="s">
        <v>74</v>
      </c>
      <c r="F379" t="s">
        <v>7755</v>
      </c>
      <c r="G379" t="s">
        <v>74</v>
      </c>
      <c r="H379" t="s">
        <v>74</v>
      </c>
      <c r="I379" t="s">
        <v>7756</v>
      </c>
      <c r="J379" t="s">
        <v>2756</v>
      </c>
      <c r="K379" t="s">
        <v>74</v>
      </c>
      <c r="L379" t="s">
        <v>74</v>
      </c>
      <c r="M379" t="s">
        <v>78</v>
      </c>
      <c r="N379" t="s">
        <v>79</v>
      </c>
      <c r="O379" t="s">
        <v>74</v>
      </c>
      <c r="P379" t="s">
        <v>74</v>
      </c>
      <c r="Q379" t="s">
        <v>74</v>
      </c>
      <c r="R379" t="s">
        <v>74</v>
      </c>
      <c r="S379" t="s">
        <v>74</v>
      </c>
      <c r="T379" t="s">
        <v>7757</v>
      </c>
      <c r="U379" t="s">
        <v>7758</v>
      </c>
      <c r="V379" t="s">
        <v>7759</v>
      </c>
      <c r="W379" t="s">
        <v>7760</v>
      </c>
      <c r="X379" t="s">
        <v>7761</v>
      </c>
      <c r="Y379" t="s">
        <v>7762</v>
      </c>
      <c r="Z379" t="s">
        <v>7763</v>
      </c>
      <c r="AA379" t="s">
        <v>7764</v>
      </c>
      <c r="AB379" t="s">
        <v>7765</v>
      </c>
      <c r="AC379" t="s">
        <v>7766</v>
      </c>
      <c r="AD379" t="s">
        <v>7767</v>
      </c>
      <c r="AE379" t="s">
        <v>7768</v>
      </c>
      <c r="AF379" t="s">
        <v>74</v>
      </c>
      <c r="AG379">
        <v>80</v>
      </c>
      <c r="AH379">
        <v>6</v>
      </c>
      <c r="AI379">
        <v>7</v>
      </c>
      <c r="AJ379">
        <v>1</v>
      </c>
      <c r="AK379">
        <v>6</v>
      </c>
      <c r="AL379" t="s">
        <v>1160</v>
      </c>
      <c r="AM379" t="s">
        <v>891</v>
      </c>
      <c r="AN379" t="s">
        <v>1161</v>
      </c>
      <c r="AO379" t="s">
        <v>2768</v>
      </c>
      <c r="AP379" t="s">
        <v>2769</v>
      </c>
      <c r="AQ379" t="s">
        <v>74</v>
      </c>
      <c r="AR379" t="s">
        <v>2770</v>
      </c>
      <c r="AS379" t="s">
        <v>2771</v>
      </c>
      <c r="AT379" t="s">
        <v>1364</v>
      </c>
      <c r="AU379">
        <v>2021</v>
      </c>
      <c r="AV379">
        <v>78</v>
      </c>
      <c r="AW379">
        <v>4</v>
      </c>
      <c r="AX379" t="s">
        <v>74</v>
      </c>
      <c r="AY379" t="s">
        <v>74</v>
      </c>
      <c r="AZ379" t="s">
        <v>74</v>
      </c>
      <c r="BA379" t="s">
        <v>74</v>
      </c>
      <c r="BB379">
        <v>1470</v>
      </c>
      <c r="BC379">
        <v>1484</v>
      </c>
      <c r="BD379" t="s">
        <v>74</v>
      </c>
      <c r="BE379" t="s">
        <v>7769</v>
      </c>
      <c r="BF379" t="str">
        <f>HYPERLINK("http://dx.doi.org/10.1093/icesjms/fsab045","http://dx.doi.org/10.1093/icesjms/fsab045")</f>
        <v>http://dx.doi.org/10.1093/icesjms/fsab045</v>
      </c>
      <c r="BG379" t="s">
        <v>74</v>
      </c>
      <c r="BH379" t="s">
        <v>6407</v>
      </c>
      <c r="BI379">
        <v>15</v>
      </c>
      <c r="BJ379" t="s">
        <v>2773</v>
      </c>
      <c r="BK379" t="s">
        <v>101</v>
      </c>
      <c r="BL379" t="s">
        <v>2773</v>
      </c>
      <c r="BM379" t="s">
        <v>7770</v>
      </c>
      <c r="BN379" t="s">
        <v>74</v>
      </c>
      <c r="BO379" t="s">
        <v>148</v>
      </c>
      <c r="BP379" t="s">
        <v>74</v>
      </c>
      <c r="BQ379" t="s">
        <v>74</v>
      </c>
      <c r="BR379" t="s">
        <v>104</v>
      </c>
      <c r="BS379" t="s">
        <v>7771</v>
      </c>
      <c r="BT379" t="str">
        <f>HYPERLINK("https%3A%2F%2Fwww.webofscience.com%2Fwos%2Fwoscc%2Ffull-record%2FWOS:000692552000024","View Full Record in Web of Science")</f>
        <v>View Full Record in Web of Science</v>
      </c>
    </row>
    <row r="380" spans="1:72" x14ac:dyDescent="0.15">
      <c r="A380" t="s">
        <v>72</v>
      </c>
      <c r="B380" t="s">
        <v>7772</v>
      </c>
      <c r="C380" t="s">
        <v>74</v>
      </c>
      <c r="D380" t="s">
        <v>74</v>
      </c>
      <c r="E380" t="s">
        <v>74</v>
      </c>
      <c r="F380" t="s">
        <v>7773</v>
      </c>
      <c r="G380" t="s">
        <v>74</v>
      </c>
      <c r="H380" t="s">
        <v>74</v>
      </c>
      <c r="I380" t="s">
        <v>7774</v>
      </c>
      <c r="J380" t="s">
        <v>1692</v>
      </c>
      <c r="K380" t="s">
        <v>74</v>
      </c>
      <c r="L380" t="s">
        <v>74</v>
      </c>
      <c r="M380" t="s">
        <v>78</v>
      </c>
      <c r="N380" t="s">
        <v>79</v>
      </c>
      <c r="O380" t="s">
        <v>74</v>
      </c>
      <c r="P380" t="s">
        <v>74</v>
      </c>
      <c r="Q380" t="s">
        <v>74</v>
      </c>
      <c r="R380" t="s">
        <v>74</v>
      </c>
      <c r="S380" t="s">
        <v>74</v>
      </c>
      <c r="T380" t="s">
        <v>74</v>
      </c>
      <c r="U380" t="s">
        <v>7775</v>
      </c>
      <c r="V380" t="s">
        <v>7776</v>
      </c>
      <c r="W380" t="s">
        <v>7777</v>
      </c>
      <c r="X380" t="s">
        <v>7778</v>
      </c>
      <c r="Y380" t="s">
        <v>7779</v>
      </c>
      <c r="Z380" t="s">
        <v>7780</v>
      </c>
      <c r="AA380" t="s">
        <v>74</v>
      </c>
      <c r="AB380" t="s">
        <v>7781</v>
      </c>
      <c r="AC380" t="s">
        <v>7782</v>
      </c>
      <c r="AD380" t="s">
        <v>7783</v>
      </c>
      <c r="AE380" t="s">
        <v>7784</v>
      </c>
      <c r="AF380" t="s">
        <v>74</v>
      </c>
      <c r="AG380">
        <v>55</v>
      </c>
      <c r="AH380">
        <v>13</v>
      </c>
      <c r="AI380">
        <v>13</v>
      </c>
      <c r="AJ380">
        <v>3</v>
      </c>
      <c r="AK380">
        <v>29</v>
      </c>
      <c r="AL380" t="s">
        <v>861</v>
      </c>
      <c r="AM380" t="s">
        <v>862</v>
      </c>
      <c r="AN380" t="s">
        <v>863</v>
      </c>
      <c r="AO380" t="s">
        <v>74</v>
      </c>
      <c r="AP380" t="s">
        <v>1704</v>
      </c>
      <c r="AQ380" t="s">
        <v>74</v>
      </c>
      <c r="AR380" t="s">
        <v>1705</v>
      </c>
      <c r="AS380" t="s">
        <v>1706</v>
      </c>
      <c r="AT380" t="s">
        <v>7785</v>
      </c>
      <c r="AU380">
        <v>2021</v>
      </c>
      <c r="AV380">
        <v>12</v>
      </c>
      <c r="AW380">
        <v>1</v>
      </c>
      <c r="AX380" t="s">
        <v>74</v>
      </c>
      <c r="AY380" t="s">
        <v>74</v>
      </c>
      <c r="AZ380" t="s">
        <v>74</v>
      </c>
      <c r="BA380" t="s">
        <v>74</v>
      </c>
      <c r="BB380" t="s">
        <v>74</v>
      </c>
      <c r="BC380" t="s">
        <v>74</v>
      </c>
      <c r="BD380">
        <v>1817</v>
      </c>
      <c r="BE380" t="s">
        <v>7786</v>
      </c>
      <c r="BF380" t="str">
        <f>HYPERLINK("http://dx.doi.org/10.1038/s41467-021-22155-7","http://dx.doi.org/10.1038/s41467-021-22155-7")</f>
        <v>http://dx.doi.org/10.1038/s41467-021-22155-7</v>
      </c>
      <c r="BG380" t="s">
        <v>74</v>
      </c>
      <c r="BH380" t="s">
        <v>74</v>
      </c>
      <c r="BI380">
        <v>7</v>
      </c>
      <c r="BJ380" t="s">
        <v>555</v>
      </c>
      <c r="BK380" t="s">
        <v>101</v>
      </c>
      <c r="BL380" t="s">
        <v>556</v>
      </c>
      <c r="BM380" t="s">
        <v>7787</v>
      </c>
      <c r="BN380">
        <v>33753746</v>
      </c>
      <c r="BO380" t="s">
        <v>298</v>
      </c>
      <c r="BP380" t="s">
        <v>74</v>
      </c>
      <c r="BQ380" t="s">
        <v>74</v>
      </c>
      <c r="BR380" t="s">
        <v>104</v>
      </c>
      <c r="BS380" t="s">
        <v>7788</v>
      </c>
      <c r="BT380" t="str">
        <f>HYPERLINK("https%3A%2F%2Fwww.webofscience.com%2Fwos%2Fwoscc%2Ffull-record%2FWOS:000634786600006","View Full Record in Web of Science")</f>
        <v>View Full Record in Web of Science</v>
      </c>
    </row>
    <row r="381" spans="1:72" x14ac:dyDescent="0.15">
      <c r="A381" t="s">
        <v>72</v>
      </c>
      <c r="B381" t="s">
        <v>7789</v>
      </c>
      <c r="C381" t="s">
        <v>74</v>
      </c>
      <c r="D381" t="s">
        <v>74</v>
      </c>
      <c r="E381" t="s">
        <v>74</v>
      </c>
      <c r="F381" t="s">
        <v>7790</v>
      </c>
      <c r="G381" t="s">
        <v>74</v>
      </c>
      <c r="H381" t="s">
        <v>74</v>
      </c>
      <c r="I381" t="s">
        <v>7791</v>
      </c>
      <c r="J381" t="s">
        <v>3057</v>
      </c>
      <c r="K381" t="s">
        <v>74</v>
      </c>
      <c r="L381" t="s">
        <v>74</v>
      </c>
      <c r="M381" t="s">
        <v>78</v>
      </c>
      <c r="N381" t="s">
        <v>79</v>
      </c>
      <c r="O381" t="s">
        <v>74</v>
      </c>
      <c r="P381" t="s">
        <v>74</v>
      </c>
      <c r="Q381" t="s">
        <v>74</v>
      </c>
      <c r="R381" t="s">
        <v>74</v>
      </c>
      <c r="S381" t="s">
        <v>74</v>
      </c>
      <c r="T381" t="s">
        <v>74</v>
      </c>
      <c r="U381" t="s">
        <v>7792</v>
      </c>
      <c r="V381" t="s">
        <v>7793</v>
      </c>
      <c r="W381" t="s">
        <v>7794</v>
      </c>
      <c r="X381" t="s">
        <v>7795</v>
      </c>
      <c r="Y381" t="s">
        <v>7796</v>
      </c>
      <c r="Z381" t="s">
        <v>7797</v>
      </c>
      <c r="AA381" t="s">
        <v>7798</v>
      </c>
      <c r="AB381" t="s">
        <v>7799</v>
      </c>
      <c r="AC381" t="s">
        <v>7800</v>
      </c>
      <c r="AD381" t="s">
        <v>7801</v>
      </c>
      <c r="AE381" t="s">
        <v>7802</v>
      </c>
      <c r="AF381" t="s">
        <v>74</v>
      </c>
      <c r="AG381">
        <v>80</v>
      </c>
      <c r="AH381">
        <v>18</v>
      </c>
      <c r="AI381">
        <v>18</v>
      </c>
      <c r="AJ381">
        <v>0</v>
      </c>
      <c r="AK381">
        <v>12</v>
      </c>
      <c r="AL381" t="s">
        <v>1269</v>
      </c>
      <c r="AM381" t="s">
        <v>1270</v>
      </c>
      <c r="AN381" t="s">
        <v>1271</v>
      </c>
      <c r="AO381" t="s">
        <v>3069</v>
      </c>
      <c r="AP381" t="s">
        <v>3070</v>
      </c>
      <c r="AQ381" t="s">
        <v>74</v>
      </c>
      <c r="AR381" t="s">
        <v>3071</v>
      </c>
      <c r="AS381" t="s">
        <v>3072</v>
      </c>
      <c r="AT381" t="s">
        <v>7785</v>
      </c>
      <c r="AU381">
        <v>2021</v>
      </c>
      <c r="AV381">
        <v>13</v>
      </c>
      <c r="AW381">
        <v>3</v>
      </c>
      <c r="AX381" t="s">
        <v>74</v>
      </c>
      <c r="AY381" t="s">
        <v>74</v>
      </c>
      <c r="AZ381" t="s">
        <v>74</v>
      </c>
      <c r="BA381" t="s">
        <v>74</v>
      </c>
      <c r="BB381">
        <v>1189</v>
      </c>
      <c r="BC381">
        <v>1209</v>
      </c>
      <c r="BD381" t="s">
        <v>74</v>
      </c>
      <c r="BE381" t="s">
        <v>7803</v>
      </c>
      <c r="BF381" t="str">
        <f>HYPERLINK("http://dx.doi.org/10.5194/essd-13-1189-2021","http://dx.doi.org/10.5194/essd-13-1189-2021")</f>
        <v>http://dx.doi.org/10.5194/essd-13-1189-2021</v>
      </c>
      <c r="BG381" t="s">
        <v>74</v>
      </c>
      <c r="BH381" t="s">
        <v>74</v>
      </c>
      <c r="BI381">
        <v>21</v>
      </c>
      <c r="BJ381" t="s">
        <v>2907</v>
      </c>
      <c r="BK381" t="s">
        <v>101</v>
      </c>
      <c r="BL381" t="s">
        <v>2908</v>
      </c>
      <c r="BM381" t="s">
        <v>7804</v>
      </c>
      <c r="BN381" t="s">
        <v>74</v>
      </c>
      <c r="BO381" t="s">
        <v>7805</v>
      </c>
      <c r="BP381" t="s">
        <v>74</v>
      </c>
      <c r="BQ381" t="s">
        <v>74</v>
      </c>
      <c r="BR381" t="s">
        <v>104</v>
      </c>
      <c r="BS381" t="s">
        <v>7806</v>
      </c>
      <c r="BT381" t="str">
        <f>HYPERLINK("https%3A%2F%2Fwww.webofscience.com%2Fwos%2Fwoscc%2Ffull-record%2FWOS:000634112600001","View Full Record in Web of Science")</f>
        <v>View Full Record in Web of Science</v>
      </c>
    </row>
    <row r="382" spans="1:72" x14ac:dyDescent="0.15">
      <c r="A382" t="s">
        <v>72</v>
      </c>
      <c r="B382" t="s">
        <v>7807</v>
      </c>
      <c r="C382" t="s">
        <v>74</v>
      </c>
      <c r="D382" t="s">
        <v>74</v>
      </c>
      <c r="E382" t="s">
        <v>74</v>
      </c>
      <c r="F382" t="s">
        <v>7808</v>
      </c>
      <c r="G382" t="s">
        <v>74</v>
      </c>
      <c r="H382" t="s">
        <v>74</v>
      </c>
      <c r="I382" t="s">
        <v>7809</v>
      </c>
      <c r="J382" t="s">
        <v>7810</v>
      </c>
      <c r="K382" t="s">
        <v>74</v>
      </c>
      <c r="L382" t="s">
        <v>74</v>
      </c>
      <c r="M382" t="s">
        <v>78</v>
      </c>
      <c r="N382" t="s">
        <v>79</v>
      </c>
      <c r="O382" t="s">
        <v>74</v>
      </c>
      <c r="P382" t="s">
        <v>74</v>
      </c>
      <c r="Q382" t="s">
        <v>74</v>
      </c>
      <c r="R382" t="s">
        <v>74</v>
      </c>
      <c r="S382" t="s">
        <v>74</v>
      </c>
      <c r="T382" t="s">
        <v>74</v>
      </c>
      <c r="U382" t="s">
        <v>7811</v>
      </c>
      <c r="V382" t="s">
        <v>7812</v>
      </c>
      <c r="W382" t="s">
        <v>7813</v>
      </c>
      <c r="X382" t="s">
        <v>7814</v>
      </c>
      <c r="Y382" t="s">
        <v>7815</v>
      </c>
      <c r="Z382" t="s">
        <v>7816</v>
      </c>
      <c r="AA382" t="s">
        <v>7817</v>
      </c>
      <c r="AB382" t="s">
        <v>7818</v>
      </c>
      <c r="AC382" t="s">
        <v>7819</v>
      </c>
      <c r="AD382" t="s">
        <v>7820</v>
      </c>
      <c r="AE382" t="s">
        <v>7821</v>
      </c>
      <c r="AF382" t="s">
        <v>74</v>
      </c>
      <c r="AG382">
        <v>89</v>
      </c>
      <c r="AH382">
        <v>28</v>
      </c>
      <c r="AI382">
        <v>29</v>
      </c>
      <c r="AJ382">
        <v>5</v>
      </c>
      <c r="AK382">
        <v>66</v>
      </c>
      <c r="AL382" t="s">
        <v>4306</v>
      </c>
      <c r="AM382" t="s">
        <v>1909</v>
      </c>
      <c r="AN382" t="s">
        <v>4307</v>
      </c>
      <c r="AO382" t="s">
        <v>7822</v>
      </c>
      <c r="AP382" t="s">
        <v>7823</v>
      </c>
      <c r="AQ382" t="s">
        <v>74</v>
      </c>
      <c r="AR382" t="s">
        <v>7824</v>
      </c>
      <c r="AS382" t="s">
        <v>7825</v>
      </c>
      <c r="AT382" t="s">
        <v>1462</v>
      </c>
      <c r="AU382">
        <v>2021</v>
      </c>
      <c r="AV382">
        <v>15</v>
      </c>
      <c r="AW382">
        <v>9</v>
      </c>
      <c r="AX382" t="s">
        <v>74</v>
      </c>
      <c r="AY382" t="s">
        <v>74</v>
      </c>
      <c r="AZ382" t="s">
        <v>74</v>
      </c>
      <c r="BA382" t="s">
        <v>74</v>
      </c>
      <c r="BB382">
        <v>2692</v>
      </c>
      <c r="BC382">
        <v>2707</v>
      </c>
      <c r="BD382" t="s">
        <v>74</v>
      </c>
      <c r="BE382" t="s">
        <v>7826</v>
      </c>
      <c r="BF382" t="str">
        <f>HYPERLINK("http://dx.doi.org/10.1038/s41396-021-00944-8","http://dx.doi.org/10.1038/s41396-021-00944-8")</f>
        <v>http://dx.doi.org/10.1038/s41396-021-00944-8</v>
      </c>
      <c r="BG382" t="s">
        <v>74</v>
      </c>
      <c r="BH382" t="s">
        <v>6407</v>
      </c>
      <c r="BI382">
        <v>16</v>
      </c>
      <c r="BJ382" t="s">
        <v>7827</v>
      </c>
      <c r="BK382" t="s">
        <v>101</v>
      </c>
      <c r="BL382" t="s">
        <v>7828</v>
      </c>
      <c r="BM382" t="s">
        <v>7829</v>
      </c>
      <c r="BN382">
        <v>33753881</v>
      </c>
      <c r="BO382" t="s">
        <v>927</v>
      </c>
      <c r="BP382" t="s">
        <v>74</v>
      </c>
      <c r="BQ382" t="s">
        <v>74</v>
      </c>
      <c r="BR382" t="s">
        <v>104</v>
      </c>
      <c r="BS382" t="s">
        <v>7830</v>
      </c>
      <c r="BT382" t="str">
        <f>HYPERLINK("https%3A%2F%2Fwww.webofscience.com%2Fwos%2Fwoscc%2Ffull-record%2FWOS:000631484000001","View Full Record in Web of Science")</f>
        <v>View Full Record in Web of Science</v>
      </c>
    </row>
    <row r="383" spans="1:72" x14ac:dyDescent="0.15">
      <c r="A383" t="s">
        <v>72</v>
      </c>
      <c r="B383" t="s">
        <v>7831</v>
      </c>
      <c r="C383" t="s">
        <v>74</v>
      </c>
      <c r="D383" t="s">
        <v>74</v>
      </c>
      <c r="E383" t="s">
        <v>74</v>
      </c>
      <c r="F383" t="s">
        <v>7832</v>
      </c>
      <c r="G383" t="s">
        <v>74</v>
      </c>
      <c r="H383" t="s">
        <v>74</v>
      </c>
      <c r="I383" t="s">
        <v>7833</v>
      </c>
      <c r="J383" t="s">
        <v>7834</v>
      </c>
      <c r="K383" t="s">
        <v>74</v>
      </c>
      <c r="L383" t="s">
        <v>74</v>
      </c>
      <c r="M383" t="s">
        <v>78</v>
      </c>
      <c r="N383" t="s">
        <v>79</v>
      </c>
      <c r="O383" t="s">
        <v>74</v>
      </c>
      <c r="P383" t="s">
        <v>74</v>
      </c>
      <c r="Q383" t="s">
        <v>74</v>
      </c>
      <c r="R383" t="s">
        <v>74</v>
      </c>
      <c r="S383" t="s">
        <v>74</v>
      </c>
      <c r="T383" t="s">
        <v>7835</v>
      </c>
      <c r="U383" t="s">
        <v>7836</v>
      </c>
      <c r="V383" t="s">
        <v>7837</v>
      </c>
      <c r="W383" t="s">
        <v>7838</v>
      </c>
      <c r="X383" t="s">
        <v>7839</v>
      </c>
      <c r="Y383" t="s">
        <v>7840</v>
      </c>
      <c r="Z383" t="s">
        <v>7841</v>
      </c>
      <c r="AA383" t="s">
        <v>7842</v>
      </c>
      <c r="AB383" t="s">
        <v>7843</v>
      </c>
      <c r="AC383" t="s">
        <v>7844</v>
      </c>
      <c r="AD383" t="s">
        <v>7845</v>
      </c>
      <c r="AE383" t="s">
        <v>7846</v>
      </c>
      <c r="AF383" t="s">
        <v>74</v>
      </c>
      <c r="AG383">
        <v>218</v>
      </c>
      <c r="AH383">
        <v>35</v>
      </c>
      <c r="AI383">
        <v>36</v>
      </c>
      <c r="AJ383">
        <v>1</v>
      </c>
      <c r="AK383">
        <v>18</v>
      </c>
      <c r="AL383" t="s">
        <v>795</v>
      </c>
      <c r="AM383" t="s">
        <v>796</v>
      </c>
      <c r="AN383" t="s">
        <v>797</v>
      </c>
      <c r="AO383" t="s">
        <v>7847</v>
      </c>
      <c r="AP383" t="s">
        <v>7848</v>
      </c>
      <c r="AQ383" t="s">
        <v>74</v>
      </c>
      <c r="AR383" t="s">
        <v>7849</v>
      </c>
      <c r="AS383" t="s">
        <v>7850</v>
      </c>
      <c r="AT383" t="s">
        <v>127</v>
      </c>
      <c r="AU383">
        <v>2021</v>
      </c>
      <c r="AV383">
        <v>12</v>
      </c>
      <c r="AW383">
        <v>3</v>
      </c>
      <c r="AX383" t="s">
        <v>74</v>
      </c>
      <c r="AY383" t="s">
        <v>74</v>
      </c>
      <c r="AZ383" t="s">
        <v>74</v>
      </c>
      <c r="BA383" t="s">
        <v>74</v>
      </c>
      <c r="BB383" t="s">
        <v>74</v>
      </c>
      <c r="BC383" t="s">
        <v>74</v>
      </c>
      <c r="BD383" t="s">
        <v>7851</v>
      </c>
      <c r="BE383" t="s">
        <v>7852</v>
      </c>
      <c r="BF383" t="str">
        <f>HYPERLINK("http://dx.doi.org/10.1002/wcc.706","http://dx.doi.org/10.1002/wcc.706")</f>
        <v>http://dx.doi.org/10.1002/wcc.706</v>
      </c>
      <c r="BG383" t="s">
        <v>74</v>
      </c>
      <c r="BH383" t="s">
        <v>6407</v>
      </c>
      <c r="BI383">
        <v>27</v>
      </c>
      <c r="BJ383" t="s">
        <v>7853</v>
      </c>
      <c r="BK383" t="s">
        <v>1038</v>
      </c>
      <c r="BL383" t="s">
        <v>200</v>
      </c>
      <c r="BM383" t="s">
        <v>7854</v>
      </c>
      <c r="BN383" t="s">
        <v>74</v>
      </c>
      <c r="BO383" t="s">
        <v>2344</v>
      </c>
      <c r="BP383" t="s">
        <v>74</v>
      </c>
      <c r="BQ383" t="s">
        <v>74</v>
      </c>
      <c r="BR383" t="s">
        <v>104</v>
      </c>
      <c r="BS383" t="s">
        <v>7855</v>
      </c>
      <c r="BT383" t="str">
        <f>HYPERLINK("https%3A%2F%2Fwww.webofscience.com%2Fwos%2Fwoscc%2Ffull-record%2FWOS:000631274300001","View Full Record in Web of Science")</f>
        <v>View Full Record in Web of Science</v>
      </c>
    </row>
    <row r="384" spans="1:72" x14ac:dyDescent="0.15">
      <c r="A384" t="s">
        <v>72</v>
      </c>
      <c r="B384" t="s">
        <v>7856</v>
      </c>
      <c r="C384" t="s">
        <v>74</v>
      </c>
      <c r="D384" t="s">
        <v>74</v>
      </c>
      <c r="E384" t="s">
        <v>74</v>
      </c>
      <c r="F384" t="s">
        <v>7857</v>
      </c>
      <c r="G384" t="s">
        <v>74</v>
      </c>
      <c r="H384" t="s">
        <v>74</v>
      </c>
      <c r="I384" t="s">
        <v>7858</v>
      </c>
      <c r="J384" t="s">
        <v>7859</v>
      </c>
      <c r="K384" t="s">
        <v>74</v>
      </c>
      <c r="L384" t="s">
        <v>74</v>
      </c>
      <c r="M384" t="s">
        <v>78</v>
      </c>
      <c r="N384" t="s">
        <v>79</v>
      </c>
      <c r="O384" t="s">
        <v>74</v>
      </c>
      <c r="P384" t="s">
        <v>74</v>
      </c>
      <c r="Q384" t="s">
        <v>74</v>
      </c>
      <c r="R384" t="s">
        <v>74</v>
      </c>
      <c r="S384" t="s">
        <v>74</v>
      </c>
      <c r="T384" t="s">
        <v>7860</v>
      </c>
      <c r="U384" t="s">
        <v>7861</v>
      </c>
      <c r="V384" t="s">
        <v>7862</v>
      </c>
      <c r="W384" t="s">
        <v>7863</v>
      </c>
      <c r="X384" t="s">
        <v>7864</v>
      </c>
      <c r="Y384" t="s">
        <v>7865</v>
      </c>
      <c r="Z384" t="s">
        <v>7866</v>
      </c>
      <c r="AA384" t="s">
        <v>7867</v>
      </c>
      <c r="AB384" t="s">
        <v>7868</v>
      </c>
      <c r="AC384" t="s">
        <v>7869</v>
      </c>
      <c r="AD384" t="s">
        <v>7870</v>
      </c>
      <c r="AE384" t="s">
        <v>7871</v>
      </c>
      <c r="AF384" t="s">
        <v>74</v>
      </c>
      <c r="AG384">
        <v>58</v>
      </c>
      <c r="AH384">
        <v>4</v>
      </c>
      <c r="AI384">
        <v>4</v>
      </c>
      <c r="AJ384">
        <v>1</v>
      </c>
      <c r="AK384">
        <v>21</v>
      </c>
      <c r="AL384" t="s">
        <v>795</v>
      </c>
      <c r="AM384" t="s">
        <v>796</v>
      </c>
      <c r="AN384" t="s">
        <v>797</v>
      </c>
      <c r="AO384" t="s">
        <v>7872</v>
      </c>
      <c r="AP384" t="s">
        <v>7873</v>
      </c>
      <c r="AQ384" t="s">
        <v>74</v>
      </c>
      <c r="AR384" t="s">
        <v>7874</v>
      </c>
      <c r="AS384" t="s">
        <v>7875</v>
      </c>
      <c r="AT384" t="s">
        <v>3960</v>
      </c>
      <c r="AU384">
        <v>2022</v>
      </c>
      <c r="AV384">
        <v>38</v>
      </c>
      <c r="AW384">
        <v>1</v>
      </c>
      <c r="AX384" t="s">
        <v>74</v>
      </c>
      <c r="AY384" t="s">
        <v>74</v>
      </c>
      <c r="AZ384" t="s">
        <v>74</v>
      </c>
      <c r="BA384" t="s">
        <v>74</v>
      </c>
      <c r="BB384">
        <v>304</v>
      </c>
      <c r="BC384">
        <v>317</v>
      </c>
      <c r="BD384" t="s">
        <v>74</v>
      </c>
      <c r="BE384" t="s">
        <v>7876</v>
      </c>
      <c r="BF384" t="str">
        <f>HYPERLINK("http://dx.doi.org/10.1111/sum.12708","http://dx.doi.org/10.1111/sum.12708")</f>
        <v>http://dx.doi.org/10.1111/sum.12708</v>
      </c>
      <c r="BG384" t="s">
        <v>74</v>
      </c>
      <c r="BH384" t="s">
        <v>6407</v>
      </c>
      <c r="BI384">
        <v>14</v>
      </c>
      <c r="BJ384" t="s">
        <v>5391</v>
      </c>
      <c r="BK384" t="s">
        <v>101</v>
      </c>
      <c r="BL384" t="s">
        <v>5392</v>
      </c>
      <c r="BM384" t="s">
        <v>7877</v>
      </c>
      <c r="BN384" t="s">
        <v>74</v>
      </c>
      <c r="BO384" t="s">
        <v>74</v>
      </c>
      <c r="BP384" t="s">
        <v>74</v>
      </c>
      <c r="BQ384" t="s">
        <v>74</v>
      </c>
      <c r="BR384" t="s">
        <v>104</v>
      </c>
      <c r="BS384" t="s">
        <v>7878</v>
      </c>
      <c r="BT384" t="str">
        <f>HYPERLINK("https%3A%2F%2Fwww.webofscience.com%2Fwos%2Fwoscc%2Ffull-record%2FWOS:000631124000001","View Full Record in Web of Science")</f>
        <v>View Full Record in Web of Science</v>
      </c>
    </row>
    <row r="385" spans="1:72" x14ac:dyDescent="0.15">
      <c r="A385" t="s">
        <v>72</v>
      </c>
      <c r="B385" t="s">
        <v>7879</v>
      </c>
      <c r="C385" t="s">
        <v>74</v>
      </c>
      <c r="D385" t="s">
        <v>74</v>
      </c>
      <c r="E385" t="s">
        <v>74</v>
      </c>
      <c r="F385" t="s">
        <v>7880</v>
      </c>
      <c r="G385" t="s">
        <v>74</v>
      </c>
      <c r="H385" t="s">
        <v>74</v>
      </c>
      <c r="I385" t="s">
        <v>7881</v>
      </c>
      <c r="J385" t="s">
        <v>2687</v>
      </c>
      <c r="K385" t="s">
        <v>74</v>
      </c>
      <c r="L385" t="s">
        <v>74</v>
      </c>
      <c r="M385" t="s">
        <v>78</v>
      </c>
      <c r="N385" t="s">
        <v>79</v>
      </c>
      <c r="O385" t="s">
        <v>74</v>
      </c>
      <c r="P385" t="s">
        <v>74</v>
      </c>
      <c r="Q385" t="s">
        <v>74</v>
      </c>
      <c r="R385" t="s">
        <v>74</v>
      </c>
      <c r="S385" t="s">
        <v>74</v>
      </c>
      <c r="T385" t="s">
        <v>7882</v>
      </c>
      <c r="U385" t="s">
        <v>7883</v>
      </c>
      <c r="V385" t="s">
        <v>7884</v>
      </c>
      <c r="W385" t="s">
        <v>7885</v>
      </c>
      <c r="X385" t="s">
        <v>7886</v>
      </c>
      <c r="Y385" t="s">
        <v>7887</v>
      </c>
      <c r="Z385" t="s">
        <v>7888</v>
      </c>
      <c r="AA385" t="s">
        <v>7889</v>
      </c>
      <c r="AB385" t="s">
        <v>7890</v>
      </c>
      <c r="AC385" t="s">
        <v>7891</v>
      </c>
      <c r="AD385" t="s">
        <v>7892</v>
      </c>
      <c r="AE385" t="s">
        <v>7893</v>
      </c>
      <c r="AF385" t="s">
        <v>74</v>
      </c>
      <c r="AG385">
        <v>116</v>
      </c>
      <c r="AH385">
        <v>4</v>
      </c>
      <c r="AI385">
        <v>4</v>
      </c>
      <c r="AJ385">
        <v>3</v>
      </c>
      <c r="AK385">
        <v>12</v>
      </c>
      <c r="AL385" t="s">
        <v>603</v>
      </c>
      <c r="AM385" t="s">
        <v>604</v>
      </c>
      <c r="AN385" t="s">
        <v>605</v>
      </c>
      <c r="AO385" t="s">
        <v>74</v>
      </c>
      <c r="AP385" t="s">
        <v>2699</v>
      </c>
      <c r="AQ385" t="s">
        <v>74</v>
      </c>
      <c r="AR385" t="s">
        <v>2700</v>
      </c>
      <c r="AS385" t="s">
        <v>2701</v>
      </c>
      <c r="AT385" t="s">
        <v>7785</v>
      </c>
      <c r="AU385">
        <v>2021</v>
      </c>
      <c r="AV385">
        <v>8</v>
      </c>
      <c r="AW385" t="s">
        <v>74</v>
      </c>
      <c r="AX385" t="s">
        <v>74</v>
      </c>
      <c r="AY385" t="s">
        <v>74</v>
      </c>
      <c r="AZ385" t="s">
        <v>74</v>
      </c>
      <c r="BA385" t="s">
        <v>74</v>
      </c>
      <c r="BB385" t="s">
        <v>74</v>
      </c>
      <c r="BC385" t="s">
        <v>74</v>
      </c>
      <c r="BD385">
        <v>632087</v>
      </c>
      <c r="BE385" t="s">
        <v>7894</v>
      </c>
      <c r="BF385" t="str">
        <f>HYPERLINK("http://dx.doi.org/10.3389/fmars.2021.632087","http://dx.doi.org/10.3389/fmars.2021.632087")</f>
        <v>http://dx.doi.org/10.3389/fmars.2021.632087</v>
      </c>
      <c r="BG385" t="s">
        <v>74</v>
      </c>
      <c r="BH385" t="s">
        <v>74</v>
      </c>
      <c r="BI385">
        <v>20</v>
      </c>
      <c r="BJ385" t="s">
        <v>1646</v>
      </c>
      <c r="BK385" t="s">
        <v>101</v>
      </c>
      <c r="BL385" t="s">
        <v>710</v>
      </c>
      <c r="BM385" t="s">
        <v>7895</v>
      </c>
      <c r="BN385" t="s">
        <v>74</v>
      </c>
      <c r="BO385" t="s">
        <v>558</v>
      </c>
      <c r="BP385" t="s">
        <v>74</v>
      </c>
      <c r="BQ385" t="s">
        <v>74</v>
      </c>
      <c r="BR385" t="s">
        <v>104</v>
      </c>
      <c r="BS385" t="s">
        <v>7896</v>
      </c>
      <c r="BT385" t="str">
        <f>HYPERLINK("https%3A%2F%2Fwww.webofscience.com%2Fwos%2Fwoscc%2Ffull-record%2FWOS:000635485200001","View Full Record in Web of Science")</f>
        <v>View Full Record in Web of Science</v>
      </c>
    </row>
    <row r="386" spans="1:72" x14ac:dyDescent="0.15">
      <c r="A386" t="s">
        <v>72</v>
      </c>
      <c r="B386" t="s">
        <v>7897</v>
      </c>
      <c r="C386" t="s">
        <v>74</v>
      </c>
      <c r="D386" t="s">
        <v>74</v>
      </c>
      <c r="E386" t="s">
        <v>74</v>
      </c>
      <c r="F386" t="s">
        <v>7898</v>
      </c>
      <c r="G386" t="s">
        <v>74</v>
      </c>
      <c r="H386" t="s">
        <v>74</v>
      </c>
      <c r="I386" t="s">
        <v>7899</v>
      </c>
      <c r="J386" t="s">
        <v>4013</v>
      </c>
      <c r="K386" t="s">
        <v>74</v>
      </c>
      <c r="L386" t="s">
        <v>74</v>
      </c>
      <c r="M386" t="s">
        <v>78</v>
      </c>
      <c r="N386" t="s">
        <v>79</v>
      </c>
      <c r="O386" t="s">
        <v>74</v>
      </c>
      <c r="P386" t="s">
        <v>74</v>
      </c>
      <c r="Q386" t="s">
        <v>74</v>
      </c>
      <c r="R386" t="s">
        <v>74</v>
      </c>
      <c r="S386" t="s">
        <v>74</v>
      </c>
      <c r="T386" t="s">
        <v>7900</v>
      </c>
      <c r="U386" t="s">
        <v>7901</v>
      </c>
      <c r="V386" t="s">
        <v>7902</v>
      </c>
      <c r="W386" t="s">
        <v>7903</v>
      </c>
      <c r="X386" t="s">
        <v>7904</v>
      </c>
      <c r="Y386" t="s">
        <v>7905</v>
      </c>
      <c r="Z386" t="s">
        <v>7906</v>
      </c>
      <c r="AA386" t="s">
        <v>7907</v>
      </c>
      <c r="AB386" t="s">
        <v>7908</v>
      </c>
      <c r="AC386" t="s">
        <v>7909</v>
      </c>
      <c r="AD386" t="s">
        <v>7910</v>
      </c>
      <c r="AE386" t="s">
        <v>7911</v>
      </c>
      <c r="AF386" t="s">
        <v>74</v>
      </c>
      <c r="AG386">
        <v>63</v>
      </c>
      <c r="AH386">
        <v>0</v>
      </c>
      <c r="AI386">
        <v>0</v>
      </c>
      <c r="AJ386">
        <v>1</v>
      </c>
      <c r="AK386">
        <v>7</v>
      </c>
      <c r="AL386" t="s">
        <v>1058</v>
      </c>
      <c r="AM386" t="s">
        <v>891</v>
      </c>
      <c r="AN386" t="s">
        <v>1059</v>
      </c>
      <c r="AO386" t="s">
        <v>4026</v>
      </c>
      <c r="AP386" t="s">
        <v>4027</v>
      </c>
      <c r="AQ386" t="s">
        <v>74</v>
      </c>
      <c r="AR386" t="s">
        <v>4028</v>
      </c>
      <c r="AS386" t="s">
        <v>4029</v>
      </c>
      <c r="AT386" t="s">
        <v>1364</v>
      </c>
      <c r="AU386">
        <v>2021</v>
      </c>
      <c r="AV386">
        <v>109</v>
      </c>
      <c r="AW386" t="s">
        <v>74</v>
      </c>
      <c r="AX386" t="s">
        <v>74</v>
      </c>
      <c r="AY386" t="s">
        <v>74</v>
      </c>
      <c r="AZ386" t="s">
        <v>74</v>
      </c>
      <c r="BA386" t="s">
        <v>74</v>
      </c>
      <c r="BB386" t="s">
        <v>74</v>
      </c>
      <c r="BC386" t="s">
        <v>74</v>
      </c>
      <c r="BD386">
        <v>103269</v>
      </c>
      <c r="BE386" t="s">
        <v>7912</v>
      </c>
      <c r="BF386" t="str">
        <f>HYPERLINK("http://dx.doi.org/10.1016/j.jsames.2021.103269","http://dx.doi.org/10.1016/j.jsames.2021.103269")</f>
        <v>http://dx.doi.org/10.1016/j.jsames.2021.103269</v>
      </c>
      <c r="BG386" t="s">
        <v>74</v>
      </c>
      <c r="BH386" t="s">
        <v>6407</v>
      </c>
      <c r="BI386">
        <v>12</v>
      </c>
      <c r="BJ386" t="s">
        <v>100</v>
      </c>
      <c r="BK386" t="s">
        <v>101</v>
      </c>
      <c r="BL386" t="s">
        <v>102</v>
      </c>
      <c r="BM386" t="s">
        <v>7913</v>
      </c>
      <c r="BN386" t="s">
        <v>74</v>
      </c>
      <c r="BO386" t="s">
        <v>74</v>
      </c>
      <c r="BP386" t="s">
        <v>74</v>
      </c>
      <c r="BQ386" t="s">
        <v>74</v>
      </c>
      <c r="BR386" t="s">
        <v>104</v>
      </c>
      <c r="BS386" t="s">
        <v>7914</v>
      </c>
      <c r="BT386" t="str">
        <f>HYPERLINK("https%3A%2F%2Fwww.webofscience.com%2Fwos%2Fwoscc%2Ffull-record%2FWOS:000670234800003","View Full Record in Web of Science")</f>
        <v>View Full Record in Web of Science</v>
      </c>
    </row>
    <row r="387" spans="1:72" x14ac:dyDescent="0.15">
      <c r="A387" t="s">
        <v>72</v>
      </c>
      <c r="B387" t="s">
        <v>7915</v>
      </c>
      <c r="C387" t="s">
        <v>74</v>
      </c>
      <c r="D387" t="s">
        <v>74</v>
      </c>
      <c r="E387" t="s">
        <v>74</v>
      </c>
      <c r="F387" t="s">
        <v>7916</v>
      </c>
      <c r="G387" t="s">
        <v>74</v>
      </c>
      <c r="H387" t="s">
        <v>74</v>
      </c>
      <c r="I387" t="s">
        <v>7917</v>
      </c>
      <c r="J387" t="s">
        <v>7918</v>
      </c>
      <c r="K387" t="s">
        <v>74</v>
      </c>
      <c r="L387" t="s">
        <v>74</v>
      </c>
      <c r="M387" t="s">
        <v>78</v>
      </c>
      <c r="N387" t="s">
        <v>79</v>
      </c>
      <c r="O387" t="s">
        <v>74</v>
      </c>
      <c r="P387" t="s">
        <v>74</v>
      </c>
      <c r="Q387" t="s">
        <v>74</v>
      </c>
      <c r="R387" t="s">
        <v>74</v>
      </c>
      <c r="S387" t="s">
        <v>74</v>
      </c>
      <c r="T387" t="s">
        <v>7919</v>
      </c>
      <c r="U387" t="s">
        <v>7920</v>
      </c>
      <c r="V387" t="s">
        <v>7921</v>
      </c>
      <c r="W387" t="s">
        <v>7922</v>
      </c>
      <c r="X387" t="s">
        <v>7923</v>
      </c>
      <c r="Y387" t="s">
        <v>7924</v>
      </c>
      <c r="Z387" t="s">
        <v>7925</v>
      </c>
      <c r="AA387" t="s">
        <v>74</v>
      </c>
      <c r="AB387" t="s">
        <v>74</v>
      </c>
      <c r="AC387" t="s">
        <v>7926</v>
      </c>
      <c r="AD387" t="s">
        <v>7927</v>
      </c>
      <c r="AE387" t="s">
        <v>7928</v>
      </c>
      <c r="AF387" t="s">
        <v>74</v>
      </c>
      <c r="AG387">
        <v>32</v>
      </c>
      <c r="AH387">
        <v>3</v>
      </c>
      <c r="AI387">
        <v>3</v>
      </c>
      <c r="AJ387">
        <v>0</v>
      </c>
      <c r="AK387">
        <v>4</v>
      </c>
      <c r="AL387" t="s">
        <v>3000</v>
      </c>
      <c r="AM387" t="s">
        <v>167</v>
      </c>
      <c r="AN387" t="s">
        <v>3001</v>
      </c>
      <c r="AO387" t="s">
        <v>7929</v>
      </c>
      <c r="AP387" t="s">
        <v>7930</v>
      </c>
      <c r="AQ387" t="s">
        <v>74</v>
      </c>
      <c r="AR387" t="s">
        <v>7931</v>
      </c>
      <c r="AS387" t="s">
        <v>7932</v>
      </c>
      <c r="AT387" t="s">
        <v>707</v>
      </c>
      <c r="AU387">
        <v>2021</v>
      </c>
      <c r="AV387">
        <v>256</v>
      </c>
      <c r="AW387" t="s">
        <v>74</v>
      </c>
      <c r="AX387" t="s">
        <v>74</v>
      </c>
      <c r="AY387" t="s">
        <v>74</v>
      </c>
      <c r="AZ387" t="s">
        <v>74</v>
      </c>
      <c r="BA387" t="s">
        <v>74</v>
      </c>
      <c r="BB387" t="s">
        <v>74</v>
      </c>
      <c r="BC387" t="s">
        <v>74</v>
      </c>
      <c r="BD387">
        <v>110932</v>
      </c>
      <c r="BE387" t="s">
        <v>7933</v>
      </c>
      <c r="BF387" t="str">
        <f>HYPERLINK("http://dx.doi.org/10.1016/j.cbpa.2021.110932","http://dx.doi.org/10.1016/j.cbpa.2021.110932")</f>
        <v>http://dx.doi.org/10.1016/j.cbpa.2021.110932</v>
      </c>
      <c r="BG387" t="s">
        <v>74</v>
      </c>
      <c r="BH387" t="s">
        <v>6407</v>
      </c>
      <c r="BI387">
        <v>10</v>
      </c>
      <c r="BJ387" t="s">
        <v>7934</v>
      </c>
      <c r="BK387" t="s">
        <v>101</v>
      </c>
      <c r="BL387" t="s">
        <v>7934</v>
      </c>
      <c r="BM387" t="s">
        <v>7935</v>
      </c>
      <c r="BN387">
        <v>33677047</v>
      </c>
      <c r="BO387" t="s">
        <v>74</v>
      </c>
      <c r="BP387" t="s">
        <v>74</v>
      </c>
      <c r="BQ387" t="s">
        <v>74</v>
      </c>
      <c r="BR387" t="s">
        <v>104</v>
      </c>
      <c r="BS387" t="s">
        <v>7936</v>
      </c>
      <c r="BT387" t="str">
        <f>HYPERLINK("https%3A%2F%2Fwww.webofscience.com%2Fwos%2Fwoscc%2Ffull-record%2FWOS:000640388900007","View Full Record in Web of Science")</f>
        <v>View Full Record in Web of Science</v>
      </c>
    </row>
    <row r="388" spans="1:72" x14ac:dyDescent="0.15">
      <c r="A388" t="s">
        <v>72</v>
      </c>
      <c r="B388" t="s">
        <v>7937</v>
      </c>
      <c r="C388" t="s">
        <v>74</v>
      </c>
      <c r="D388" t="s">
        <v>74</v>
      </c>
      <c r="E388" t="s">
        <v>74</v>
      </c>
      <c r="F388" t="s">
        <v>7938</v>
      </c>
      <c r="G388" t="s">
        <v>74</v>
      </c>
      <c r="H388" t="s">
        <v>74</v>
      </c>
      <c r="I388" t="s">
        <v>7939</v>
      </c>
      <c r="J388" t="s">
        <v>7940</v>
      </c>
      <c r="K388" t="s">
        <v>74</v>
      </c>
      <c r="L388" t="s">
        <v>74</v>
      </c>
      <c r="M388" t="s">
        <v>78</v>
      </c>
      <c r="N388" t="s">
        <v>79</v>
      </c>
      <c r="O388" t="s">
        <v>74</v>
      </c>
      <c r="P388" t="s">
        <v>74</v>
      </c>
      <c r="Q388" t="s">
        <v>74</v>
      </c>
      <c r="R388" t="s">
        <v>74</v>
      </c>
      <c r="S388" t="s">
        <v>74</v>
      </c>
      <c r="T388" t="s">
        <v>7941</v>
      </c>
      <c r="U388" t="s">
        <v>74</v>
      </c>
      <c r="V388" t="s">
        <v>7942</v>
      </c>
      <c r="W388" t="s">
        <v>7943</v>
      </c>
      <c r="X388" t="s">
        <v>7944</v>
      </c>
      <c r="Y388" t="s">
        <v>7945</v>
      </c>
      <c r="Z388" t="s">
        <v>7946</v>
      </c>
      <c r="AA388" t="s">
        <v>74</v>
      </c>
      <c r="AB388" t="s">
        <v>7947</v>
      </c>
      <c r="AC388" t="s">
        <v>7948</v>
      </c>
      <c r="AD388" t="s">
        <v>7948</v>
      </c>
      <c r="AE388" t="s">
        <v>7949</v>
      </c>
      <c r="AF388" t="s">
        <v>74</v>
      </c>
      <c r="AG388">
        <v>74</v>
      </c>
      <c r="AH388">
        <v>8</v>
      </c>
      <c r="AI388">
        <v>9</v>
      </c>
      <c r="AJ388">
        <v>2</v>
      </c>
      <c r="AK388">
        <v>10</v>
      </c>
      <c r="AL388" t="s">
        <v>576</v>
      </c>
      <c r="AM388" t="s">
        <v>577</v>
      </c>
      <c r="AN388" t="s">
        <v>578</v>
      </c>
      <c r="AO388" t="s">
        <v>7950</v>
      </c>
      <c r="AP388" t="s">
        <v>7951</v>
      </c>
      <c r="AQ388" t="s">
        <v>74</v>
      </c>
      <c r="AR388" t="s">
        <v>7952</v>
      </c>
      <c r="AS388" t="s">
        <v>7953</v>
      </c>
      <c r="AT388" t="s">
        <v>127</v>
      </c>
      <c r="AU388">
        <v>2021</v>
      </c>
      <c r="AV388">
        <v>435</v>
      </c>
      <c r="AW388" t="s">
        <v>74</v>
      </c>
      <c r="AX388" t="s">
        <v>74</v>
      </c>
      <c r="AY388" t="s">
        <v>74</v>
      </c>
      <c r="AZ388" t="s">
        <v>74</v>
      </c>
      <c r="BA388" t="s">
        <v>74</v>
      </c>
      <c r="BB388" t="s">
        <v>74</v>
      </c>
      <c r="BC388" t="s">
        <v>74</v>
      </c>
      <c r="BD388">
        <v>106459</v>
      </c>
      <c r="BE388" t="s">
        <v>7954</v>
      </c>
      <c r="BF388" t="str">
        <f>HYPERLINK("http://dx.doi.org/10.1016/j.margeo.2021.106459","http://dx.doi.org/10.1016/j.margeo.2021.106459")</f>
        <v>http://dx.doi.org/10.1016/j.margeo.2021.106459</v>
      </c>
      <c r="BG388" t="s">
        <v>74</v>
      </c>
      <c r="BH388" t="s">
        <v>6407</v>
      </c>
      <c r="BI388">
        <v>14</v>
      </c>
      <c r="BJ388" t="s">
        <v>7955</v>
      </c>
      <c r="BK388" t="s">
        <v>101</v>
      </c>
      <c r="BL388" t="s">
        <v>7956</v>
      </c>
      <c r="BM388" t="s">
        <v>7957</v>
      </c>
      <c r="BN388" t="s">
        <v>74</v>
      </c>
      <c r="BO388" t="s">
        <v>74</v>
      </c>
      <c r="BP388" t="s">
        <v>74</v>
      </c>
      <c r="BQ388" t="s">
        <v>74</v>
      </c>
      <c r="BR388" t="s">
        <v>104</v>
      </c>
      <c r="BS388" t="s">
        <v>7958</v>
      </c>
      <c r="BT388" t="str">
        <f>HYPERLINK("https%3A%2F%2Fwww.webofscience.com%2Fwos%2Fwoscc%2Ffull-record%2FWOS:000640186100010","View Full Record in Web of Science")</f>
        <v>View Full Record in Web of Science</v>
      </c>
    </row>
    <row r="389" spans="1:72" x14ac:dyDescent="0.15">
      <c r="A389" t="s">
        <v>72</v>
      </c>
      <c r="B389" t="s">
        <v>7959</v>
      </c>
      <c r="C389" t="s">
        <v>74</v>
      </c>
      <c r="D389" t="s">
        <v>74</v>
      </c>
      <c r="E389" t="s">
        <v>74</v>
      </c>
      <c r="F389" t="s">
        <v>7960</v>
      </c>
      <c r="G389" t="s">
        <v>74</v>
      </c>
      <c r="H389" t="s">
        <v>74</v>
      </c>
      <c r="I389" t="s">
        <v>7961</v>
      </c>
      <c r="J389" t="s">
        <v>7962</v>
      </c>
      <c r="K389" t="s">
        <v>74</v>
      </c>
      <c r="L389" t="s">
        <v>74</v>
      </c>
      <c r="M389" t="s">
        <v>78</v>
      </c>
      <c r="N389" t="s">
        <v>79</v>
      </c>
      <c r="O389" t="s">
        <v>74</v>
      </c>
      <c r="P389" t="s">
        <v>74</v>
      </c>
      <c r="Q389" t="s">
        <v>74</v>
      </c>
      <c r="R389" t="s">
        <v>74</v>
      </c>
      <c r="S389" t="s">
        <v>74</v>
      </c>
      <c r="T389" t="s">
        <v>7963</v>
      </c>
      <c r="U389" t="s">
        <v>7964</v>
      </c>
      <c r="V389" t="s">
        <v>7965</v>
      </c>
      <c r="W389" t="s">
        <v>7966</v>
      </c>
      <c r="X389" t="s">
        <v>7967</v>
      </c>
      <c r="Y389" t="s">
        <v>7968</v>
      </c>
      <c r="Z389" t="s">
        <v>7969</v>
      </c>
      <c r="AA389" t="s">
        <v>7970</v>
      </c>
      <c r="AB389" t="s">
        <v>7971</v>
      </c>
      <c r="AC389" t="s">
        <v>7972</v>
      </c>
      <c r="AD389" t="s">
        <v>7973</v>
      </c>
      <c r="AE389" t="s">
        <v>7974</v>
      </c>
      <c r="AF389" t="s">
        <v>74</v>
      </c>
      <c r="AG389">
        <v>76</v>
      </c>
      <c r="AH389">
        <v>8</v>
      </c>
      <c r="AI389">
        <v>8</v>
      </c>
      <c r="AJ389">
        <v>3</v>
      </c>
      <c r="AK389">
        <v>14</v>
      </c>
      <c r="AL389" t="s">
        <v>576</v>
      </c>
      <c r="AM389" t="s">
        <v>577</v>
      </c>
      <c r="AN389" t="s">
        <v>578</v>
      </c>
      <c r="AO389" t="s">
        <v>7975</v>
      </c>
      <c r="AP389" t="s">
        <v>7976</v>
      </c>
      <c r="AQ389" t="s">
        <v>74</v>
      </c>
      <c r="AR389" t="s">
        <v>7977</v>
      </c>
      <c r="AS389" t="s">
        <v>7978</v>
      </c>
      <c r="AT389" t="s">
        <v>707</v>
      </c>
      <c r="AU389">
        <v>2021</v>
      </c>
      <c r="AV389">
        <v>276</v>
      </c>
      <c r="AW389" t="s">
        <v>74</v>
      </c>
      <c r="AX389" t="s">
        <v>74</v>
      </c>
      <c r="AY389" t="s">
        <v>74</v>
      </c>
      <c r="AZ389" t="s">
        <v>74</v>
      </c>
      <c r="BA389" t="s">
        <v>74</v>
      </c>
      <c r="BB389" t="s">
        <v>74</v>
      </c>
      <c r="BC389" t="s">
        <v>74</v>
      </c>
      <c r="BD389">
        <v>114877</v>
      </c>
      <c r="BE389" t="s">
        <v>7979</v>
      </c>
      <c r="BF389" t="str">
        <f>HYPERLINK("http://dx.doi.org/10.1016/j.anifeedsci.2021.114877","http://dx.doi.org/10.1016/j.anifeedsci.2021.114877")</f>
        <v>http://dx.doi.org/10.1016/j.anifeedsci.2021.114877</v>
      </c>
      <c r="BG389" t="s">
        <v>74</v>
      </c>
      <c r="BH389" t="s">
        <v>6407</v>
      </c>
      <c r="BI389">
        <v>15</v>
      </c>
      <c r="BJ389" t="s">
        <v>7980</v>
      </c>
      <c r="BK389" t="s">
        <v>101</v>
      </c>
      <c r="BL389" t="s">
        <v>5392</v>
      </c>
      <c r="BM389" t="s">
        <v>7981</v>
      </c>
      <c r="BN389" t="s">
        <v>74</v>
      </c>
      <c r="BO389" t="s">
        <v>74</v>
      </c>
      <c r="BP389" t="s">
        <v>74</v>
      </c>
      <c r="BQ389" t="s">
        <v>74</v>
      </c>
      <c r="BR389" t="s">
        <v>104</v>
      </c>
      <c r="BS389" t="s">
        <v>7982</v>
      </c>
      <c r="BT389" t="str">
        <f>HYPERLINK("https%3A%2F%2Fwww.webofscience.com%2Fwos%2Fwoscc%2Ffull-record%2FWOS:000651738800022","View Full Record in Web of Science")</f>
        <v>View Full Record in Web of Science</v>
      </c>
    </row>
    <row r="390" spans="1:72" x14ac:dyDescent="0.15">
      <c r="A390" t="s">
        <v>72</v>
      </c>
      <c r="B390" t="s">
        <v>7983</v>
      </c>
      <c r="C390" t="s">
        <v>74</v>
      </c>
      <c r="D390" t="s">
        <v>74</v>
      </c>
      <c r="E390" t="s">
        <v>74</v>
      </c>
      <c r="F390" t="s">
        <v>7984</v>
      </c>
      <c r="G390" t="s">
        <v>74</v>
      </c>
      <c r="H390" t="s">
        <v>74</v>
      </c>
      <c r="I390" t="s">
        <v>7985</v>
      </c>
      <c r="J390" t="s">
        <v>7986</v>
      </c>
      <c r="K390" t="s">
        <v>74</v>
      </c>
      <c r="L390" t="s">
        <v>74</v>
      </c>
      <c r="M390" t="s">
        <v>78</v>
      </c>
      <c r="N390" t="s">
        <v>79</v>
      </c>
      <c r="O390" t="s">
        <v>74</v>
      </c>
      <c r="P390" t="s">
        <v>74</v>
      </c>
      <c r="Q390" t="s">
        <v>74</v>
      </c>
      <c r="R390" t="s">
        <v>74</v>
      </c>
      <c r="S390" t="s">
        <v>74</v>
      </c>
      <c r="T390" t="s">
        <v>74</v>
      </c>
      <c r="U390" t="s">
        <v>7987</v>
      </c>
      <c r="V390" t="s">
        <v>7988</v>
      </c>
      <c r="W390" t="s">
        <v>7989</v>
      </c>
      <c r="X390" t="s">
        <v>7990</v>
      </c>
      <c r="Y390" t="s">
        <v>7991</v>
      </c>
      <c r="Z390" t="s">
        <v>7992</v>
      </c>
      <c r="AA390" t="s">
        <v>7993</v>
      </c>
      <c r="AB390" t="s">
        <v>7994</v>
      </c>
      <c r="AC390" t="s">
        <v>7995</v>
      </c>
      <c r="AD390" t="s">
        <v>7996</v>
      </c>
      <c r="AE390" t="s">
        <v>7997</v>
      </c>
      <c r="AF390" t="s">
        <v>74</v>
      </c>
      <c r="AG390">
        <v>121</v>
      </c>
      <c r="AH390">
        <v>8</v>
      </c>
      <c r="AI390">
        <v>8</v>
      </c>
      <c r="AJ390">
        <v>1</v>
      </c>
      <c r="AK390">
        <v>11</v>
      </c>
      <c r="AL390" t="s">
        <v>4306</v>
      </c>
      <c r="AM390" t="s">
        <v>1909</v>
      </c>
      <c r="AN390" t="s">
        <v>4307</v>
      </c>
      <c r="AO390" t="s">
        <v>74</v>
      </c>
      <c r="AP390" t="s">
        <v>7998</v>
      </c>
      <c r="AQ390" t="s">
        <v>74</v>
      </c>
      <c r="AR390" t="s">
        <v>7999</v>
      </c>
      <c r="AS390" t="s">
        <v>8000</v>
      </c>
      <c r="AT390" t="s">
        <v>8001</v>
      </c>
      <c r="AU390">
        <v>2021</v>
      </c>
      <c r="AV390">
        <v>2</v>
      </c>
      <c r="AW390">
        <v>1</v>
      </c>
      <c r="AX390" t="s">
        <v>74</v>
      </c>
      <c r="AY390" t="s">
        <v>74</v>
      </c>
      <c r="AZ390" t="s">
        <v>74</v>
      </c>
      <c r="BA390" t="s">
        <v>74</v>
      </c>
      <c r="BB390" t="s">
        <v>74</v>
      </c>
      <c r="BC390" t="s">
        <v>74</v>
      </c>
      <c r="BD390">
        <v>64</v>
      </c>
      <c r="BE390" t="s">
        <v>8002</v>
      </c>
      <c r="BF390" t="str">
        <f>HYPERLINK("http://dx.doi.org/10.1038/s43247-021-00133-7","http://dx.doi.org/10.1038/s43247-021-00133-7")</f>
        <v>http://dx.doi.org/10.1038/s43247-021-00133-7</v>
      </c>
      <c r="BG390" t="s">
        <v>74</v>
      </c>
      <c r="BH390" t="s">
        <v>74</v>
      </c>
      <c r="BI390">
        <v>9</v>
      </c>
      <c r="BJ390" t="s">
        <v>6147</v>
      </c>
      <c r="BK390" t="s">
        <v>101</v>
      </c>
      <c r="BL390" t="s">
        <v>6148</v>
      </c>
      <c r="BM390" t="s">
        <v>8003</v>
      </c>
      <c r="BN390" t="s">
        <v>74</v>
      </c>
      <c r="BO390" t="s">
        <v>8004</v>
      </c>
      <c r="BP390" t="s">
        <v>74</v>
      </c>
      <c r="BQ390" t="s">
        <v>74</v>
      </c>
      <c r="BR390" t="s">
        <v>104</v>
      </c>
      <c r="BS390" t="s">
        <v>8005</v>
      </c>
      <c r="BT390" t="str">
        <f>HYPERLINK("https%3A%2F%2Fwww.webofscience.com%2Fwos%2Fwoscc%2Ffull-record%2FWOS:000665768900005","View Full Record in Web of Science")</f>
        <v>View Full Record in Web of Science</v>
      </c>
    </row>
    <row r="391" spans="1:72" x14ac:dyDescent="0.15">
      <c r="A391" t="s">
        <v>72</v>
      </c>
      <c r="B391" t="s">
        <v>8006</v>
      </c>
      <c r="C391" t="s">
        <v>74</v>
      </c>
      <c r="D391" t="s">
        <v>74</v>
      </c>
      <c r="E391" t="s">
        <v>74</v>
      </c>
      <c r="F391" t="s">
        <v>8007</v>
      </c>
      <c r="G391" t="s">
        <v>74</v>
      </c>
      <c r="H391" t="s">
        <v>74</v>
      </c>
      <c r="I391" t="s">
        <v>8008</v>
      </c>
      <c r="J391" t="s">
        <v>563</v>
      </c>
      <c r="K391" t="s">
        <v>74</v>
      </c>
      <c r="L391" t="s">
        <v>74</v>
      </c>
      <c r="M391" t="s">
        <v>78</v>
      </c>
      <c r="N391" t="s">
        <v>79</v>
      </c>
      <c r="O391" t="s">
        <v>74</v>
      </c>
      <c r="P391" t="s">
        <v>74</v>
      </c>
      <c r="Q391" t="s">
        <v>74</v>
      </c>
      <c r="R391" t="s">
        <v>74</v>
      </c>
      <c r="S391" t="s">
        <v>74</v>
      </c>
      <c r="T391" t="s">
        <v>8009</v>
      </c>
      <c r="U391" t="s">
        <v>8010</v>
      </c>
      <c r="V391" t="s">
        <v>8011</v>
      </c>
      <c r="W391" t="s">
        <v>8012</v>
      </c>
      <c r="X391" t="s">
        <v>8013</v>
      </c>
      <c r="Y391" t="s">
        <v>8014</v>
      </c>
      <c r="Z391" t="s">
        <v>8015</v>
      </c>
      <c r="AA391" t="s">
        <v>8016</v>
      </c>
      <c r="AB391" t="s">
        <v>8017</v>
      </c>
      <c r="AC391" t="s">
        <v>8018</v>
      </c>
      <c r="AD391" t="s">
        <v>8019</v>
      </c>
      <c r="AE391" t="s">
        <v>8020</v>
      </c>
      <c r="AF391" t="s">
        <v>74</v>
      </c>
      <c r="AG391">
        <v>63</v>
      </c>
      <c r="AH391">
        <v>6</v>
      </c>
      <c r="AI391">
        <v>6</v>
      </c>
      <c r="AJ391">
        <v>1</v>
      </c>
      <c r="AK391">
        <v>18</v>
      </c>
      <c r="AL391" t="s">
        <v>576</v>
      </c>
      <c r="AM391" t="s">
        <v>577</v>
      </c>
      <c r="AN391" t="s">
        <v>578</v>
      </c>
      <c r="AO391" t="s">
        <v>579</v>
      </c>
      <c r="AP391" t="s">
        <v>580</v>
      </c>
      <c r="AQ391" t="s">
        <v>74</v>
      </c>
      <c r="AR391" t="s">
        <v>581</v>
      </c>
      <c r="AS391" t="s">
        <v>582</v>
      </c>
      <c r="AT391" t="s">
        <v>7214</v>
      </c>
      <c r="AU391">
        <v>2021</v>
      </c>
      <c r="AV391">
        <v>779</v>
      </c>
      <c r="AW391" t="s">
        <v>74</v>
      </c>
      <c r="AX391" t="s">
        <v>74</v>
      </c>
      <c r="AY391" t="s">
        <v>74</v>
      </c>
      <c r="AZ391" t="s">
        <v>74</v>
      </c>
      <c r="BA391" t="s">
        <v>74</v>
      </c>
      <c r="BB391" t="s">
        <v>74</v>
      </c>
      <c r="BC391" t="s">
        <v>74</v>
      </c>
      <c r="BD391">
        <v>146363</v>
      </c>
      <c r="BE391" t="s">
        <v>8021</v>
      </c>
      <c r="BF391" t="str">
        <f>HYPERLINK("http://dx.doi.org/10.1016/j.scitotenv.2021.146363","http://dx.doi.org/10.1016/j.scitotenv.2021.146363")</f>
        <v>http://dx.doi.org/10.1016/j.scitotenv.2021.146363</v>
      </c>
      <c r="BG391" t="s">
        <v>74</v>
      </c>
      <c r="BH391" t="s">
        <v>6407</v>
      </c>
      <c r="BI391">
        <v>9</v>
      </c>
      <c r="BJ391" t="s">
        <v>224</v>
      </c>
      <c r="BK391" t="s">
        <v>101</v>
      </c>
      <c r="BL391" t="s">
        <v>225</v>
      </c>
      <c r="BM391" t="s">
        <v>8022</v>
      </c>
      <c r="BN391">
        <v>33752018</v>
      </c>
      <c r="BO391" t="s">
        <v>3052</v>
      </c>
      <c r="BP391" t="s">
        <v>74</v>
      </c>
      <c r="BQ391" t="s">
        <v>74</v>
      </c>
      <c r="BR391" t="s">
        <v>104</v>
      </c>
      <c r="BS391" t="s">
        <v>8023</v>
      </c>
      <c r="BT391" t="str">
        <f>HYPERLINK("https%3A%2F%2Fwww.webofscience.com%2Fwos%2Fwoscc%2Ffull-record%2FWOS:000655683800004","View Full Record in Web of Science")</f>
        <v>View Full Record in Web of Science</v>
      </c>
    </row>
    <row r="392" spans="1:72" x14ac:dyDescent="0.15">
      <c r="A392" t="s">
        <v>72</v>
      </c>
      <c r="B392" t="s">
        <v>8024</v>
      </c>
      <c r="C392" t="s">
        <v>74</v>
      </c>
      <c r="D392" t="s">
        <v>74</v>
      </c>
      <c r="E392" t="s">
        <v>74</v>
      </c>
      <c r="F392" t="s">
        <v>8025</v>
      </c>
      <c r="G392" t="s">
        <v>74</v>
      </c>
      <c r="H392" t="s">
        <v>74</v>
      </c>
      <c r="I392" t="s">
        <v>8026</v>
      </c>
      <c r="J392" t="s">
        <v>8027</v>
      </c>
      <c r="K392" t="s">
        <v>74</v>
      </c>
      <c r="L392" t="s">
        <v>74</v>
      </c>
      <c r="M392" t="s">
        <v>78</v>
      </c>
      <c r="N392" t="s">
        <v>79</v>
      </c>
      <c r="O392" t="s">
        <v>74</v>
      </c>
      <c r="P392" t="s">
        <v>74</v>
      </c>
      <c r="Q392" t="s">
        <v>74</v>
      </c>
      <c r="R392" t="s">
        <v>74</v>
      </c>
      <c r="S392" t="s">
        <v>74</v>
      </c>
      <c r="T392" t="s">
        <v>8028</v>
      </c>
      <c r="U392" t="s">
        <v>8029</v>
      </c>
      <c r="V392" t="s">
        <v>8030</v>
      </c>
      <c r="W392" t="s">
        <v>8031</v>
      </c>
      <c r="X392" t="s">
        <v>6563</v>
      </c>
      <c r="Y392" t="s">
        <v>8032</v>
      </c>
      <c r="Z392" t="s">
        <v>8033</v>
      </c>
      <c r="AA392" t="s">
        <v>6638</v>
      </c>
      <c r="AB392" t="s">
        <v>8034</v>
      </c>
      <c r="AC392" t="s">
        <v>8035</v>
      </c>
      <c r="AD392" t="s">
        <v>8036</v>
      </c>
      <c r="AE392" t="s">
        <v>8037</v>
      </c>
      <c r="AF392" t="s">
        <v>74</v>
      </c>
      <c r="AG392">
        <v>30</v>
      </c>
      <c r="AH392">
        <v>3</v>
      </c>
      <c r="AI392">
        <v>3</v>
      </c>
      <c r="AJ392">
        <v>0</v>
      </c>
      <c r="AK392">
        <v>2</v>
      </c>
      <c r="AL392" t="s">
        <v>8038</v>
      </c>
      <c r="AM392" t="s">
        <v>8039</v>
      </c>
      <c r="AN392" t="s">
        <v>8040</v>
      </c>
      <c r="AO392" t="s">
        <v>8041</v>
      </c>
      <c r="AP392" t="s">
        <v>8042</v>
      </c>
      <c r="AQ392" t="s">
        <v>74</v>
      </c>
      <c r="AR392" t="s">
        <v>8043</v>
      </c>
      <c r="AS392" t="s">
        <v>8044</v>
      </c>
      <c r="AT392" t="s">
        <v>127</v>
      </c>
      <c r="AU392">
        <v>2021</v>
      </c>
      <c r="AV392">
        <v>131</v>
      </c>
      <c r="AW392" t="s">
        <v>74</v>
      </c>
      <c r="AX392" t="s">
        <v>74</v>
      </c>
      <c r="AY392" t="s">
        <v>74</v>
      </c>
      <c r="AZ392" t="s">
        <v>74</v>
      </c>
      <c r="BA392" t="s">
        <v>74</v>
      </c>
      <c r="BB392" t="s">
        <v>74</v>
      </c>
      <c r="BC392" t="s">
        <v>74</v>
      </c>
      <c r="BD392">
        <v>104962</v>
      </c>
      <c r="BE392" t="s">
        <v>8045</v>
      </c>
      <c r="BF392" t="str">
        <f>HYPERLINK("http://dx.doi.org/10.1016/j.yhbeh.2021.104962","http://dx.doi.org/10.1016/j.yhbeh.2021.104962")</f>
        <v>http://dx.doi.org/10.1016/j.yhbeh.2021.104962</v>
      </c>
      <c r="BG392" t="s">
        <v>74</v>
      </c>
      <c r="BH392" t="s">
        <v>6407</v>
      </c>
      <c r="BI392">
        <v>5</v>
      </c>
      <c r="BJ392" t="s">
        <v>8046</v>
      </c>
      <c r="BK392" t="s">
        <v>101</v>
      </c>
      <c r="BL392" t="s">
        <v>8046</v>
      </c>
      <c r="BM392" t="s">
        <v>8047</v>
      </c>
      <c r="BN392">
        <v>33744651</v>
      </c>
      <c r="BO392" t="s">
        <v>74</v>
      </c>
      <c r="BP392" t="s">
        <v>74</v>
      </c>
      <c r="BQ392" t="s">
        <v>74</v>
      </c>
      <c r="BR392" t="s">
        <v>104</v>
      </c>
      <c r="BS392" t="s">
        <v>8048</v>
      </c>
      <c r="BT392" t="str">
        <f>HYPERLINK("https%3A%2F%2Fwww.webofscience.com%2Fwos%2Fwoscc%2Ffull-record%2FWOS:000647681600002","View Full Record in Web of Science")</f>
        <v>View Full Record in Web of Science</v>
      </c>
    </row>
    <row r="393" spans="1:72" x14ac:dyDescent="0.15">
      <c r="A393" t="s">
        <v>72</v>
      </c>
      <c r="B393" t="s">
        <v>8049</v>
      </c>
      <c r="C393" t="s">
        <v>74</v>
      </c>
      <c r="D393" t="s">
        <v>74</v>
      </c>
      <c r="E393" t="s">
        <v>74</v>
      </c>
      <c r="F393" t="s">
        <v>8050</v>
      </c>
      <c r="G393" t="s">
        <v>74</v>
      </c>
      <c r="H393" t="s">
        <v>74</v>
      </c>
      <c r="I393" t="s">
        <v>8051</v>
      </c>
      <c r="J393" t="s">
        <v>8052</v>
      </c>
      <c r="K393" t="s">
        <v>74</v>
      </c>
      <c r="L393" t="s">
        <v>74</v>
      </c>
      <c r="M393" t="s">
        <v>78</v>
      </c>
      <c r="N393" t="s">
        <v>79</v>
      </c>
      <c r="O393" t="s">
        <v>74</v>
      </c>
      <c r="P393" t="s">
        <v>74</v>
      </c>
      <c r="Q393" t="s">
        <v>74</v>
      </c>
      <c r="R393" t="s">
        <v>74</v>
      </c>
      <c r="S393" t="s">
        <v>74</v>
      </c>
      <c r="T393" t="s">
        <v>8053</v>
      </c>
      <c r="U393" t="s">
        <v>8054</v>
      </c>
      <c r="V393" t="s">
        <v>8055</v>
      </c>
      <c r="W393" t="s">
        <v>8056</v>
      </c>
      <c r="X393" t="s">
        <v>8057</v>
      </c>
      <c r="Y393" t="s">
        <v>8058</v>
      </c>
      <c r="Z393" t="s">
        <v>8059</v>
      </c>
      <c r="AA393" t="s">
        <v>8060</v>
      </c>
      <c r="AB393" t="s">
        <v>8061</v>
      </c>
      <c r="AC393" t="s">
        <v>8062</v>
      </c>
      <c r="AD393" t="s">
        <v>8063</v>
      </c>
      <c r="AE393" t="s">
        <v>8064</v>
      </c>
      <c r="AF393" t="s">
        <v>74</v>
      </c>
      <c r="AG393">
        <v>79</v>
      </c>
      <c r="AH393">
        <v>100</v>
      </c>
      <c r="AI393">
        <v>105</v>
      </c>
      <c r="AJ393">
        <v>6</v>
      </c>
      <c r="AK393">
        <v>17</v>
      </c>
      <c r="AL393" t="s">
        <v>890</v>
      </c>
      <c r="AM393" t="s">
        <v>891</v>
      </c>
      <c r="AN393" t="s">
        <v>892</v>
      </c>
      <c r="AO393" t="s">
        <v>8065</v>
      </c>
      <c r="AP393" t="s">
        <v>8066</v>
      </c>
      <c r="AQ393" t="s">
        <v>74</v>
      </c>
      <c r="AR393" t="s">
        <v>8067</v>
      </c>
      <c r="AS393" t="s">
        <v>8068</v>
      </c>
      <c r="AT393" t="s">
        <v>707</v>
      </c>
      <c r="AU393">
        <v>2021</v>
      </c>
      <c r="AV393">
        <v>140</v>
      </c>
      <c r="AW393" t="s">
        <v>74</v>
      </c>
      <c r="AX393" t="s">
        <v>74</v>
      </c>
      <c r="AY393" t="s">
        <v>74</v>
      </c>
      <c r="AZ393" t="s">
        <v>74</v>
      </c>
      <c r="BA393" t="s">
        <v>74</v>
      </c>
      <c r="BB393" t="s">
        <v>74</v>
      </c>
      <c r="BC393" t="s">
        <v>74</v>
      </c>
      <c r="BD393">
        <v>105015</v>
      </c>
      <c r="BE393" t="s">
        <v>8069</v>
      </c>
      <c r="BF393" t="str">
        <f>HYPERLINK("http://dx.doi.org/10.1016/j.envsoft.2021.105015","http://dx.doi.org/10.1016/j.envsoft.2021.105015")</f>
        <v>http://dx.doi.org/10.1016/j.envsoft.2021.105015</v>
      </c>
      <c r="BG393" t="s">
        <v>74</v>
      </c>
      <c r="BH393" t="s">
        <v>6407</v>
      </c>
      <c r="BI393">
        <v>14</v>
      </c>
      <c r="BJ393" t="s">
        <v>8070</v>
      </c>
      <c r="BK393" t="s">
        <v>101</v>
      </c>
      <c r="BL393" t="s">
        <v>8071</v>
      </c>
      <c r="BM393" t="s">
        <v>8072</v>
      </c>
      <c r="BN393" t="s">
        <v>74</v>
      </c>
      <c r="BO393" t="s">
        <v>2344</v>
      </c>
      <c r="BP393" t="s">
        <v>871</v>
      </c>
      <c r="BQ393" t="s">
        <v>872</v>
      </c>
      <c r="BR393" t="s">
        <v>104</v>
      </c>
      <c r="BS393" t="s">
        <v>8073</v>
      </c>
      <c r="BT393" t="str">
        <f>HYPERLINK("https%3A%2F%2Fwww.webofscience.com%2Fwos%2Fwoscc%2Ffull-record%2FWOS:000647690400004","View Full Record in Web of Science")</f>
        <v>View Full Record in Web of Science</v>
      </c>
    </row>
    <row r="394" spans="1:72" x14ac:dyDescent="0.15">
      <c r="A394" t="s">
        <v>72</v>
      </c>
      <c r="B394" t="s">
        <v>8074</v>
      </c>
      <c r="C394" t="s">
        <v>74</v>
      </c>
      <c r="D394" t="s">
        <v>74</v>
      </c>
      <c r="E394" t="s">
        <v>74</v>
      </c>
      <c r="F394" t="s">
        <v>8075</v>
      </c>
      <c r="G394" t="s">
        <v>74</v>
      </c>
      <c r="H394" t="s">
        <v>74</v>
      </c>
      <c r="I394" t="s">
        <v>8076</v>
      </c>
      <c r="J394" t="s">
        <v>8077</v>
      </c>
      <c r="K394" t="s">
        <v>74</v>
      </c>
      <c r="L394" t="s">
        <v>74</v>
      </c>
      <c r="M394" t="s">
        <v>78</v>
      </c>
      <c r="N394" t="s">
        <v>79</v>
      </c>
      <c r="O394" t="s">
        <v>74</v>
      </c>
      <c r="P394" t="s">
        <v>74</v>
      </c>
      <c r="Q394" t="s">
        <v>74</v>
      </c>
      <c r="R394" t="s">
        <v>74</v>
      </c>
      <c r="S394" t="s">
        <v>74</v>
      </c>
      <c r="T394" t="s">
        <v>74</v>
      </c>
      <c r="U394" t="s">
        <v>8078</v>
      </c>
      <c r="V394" t="s">
        <v>8079</v>
      </c>
      <c r="W394" t="s">
        <v>8080</v>
      </c>
      <c r="X394" t="s">
        <v>8081</v>
      </c>
      <c r="Y394" t="s">
        <v>8082</v>
      </c>
      <c r="Z394" t="s">
        <v>8083</v>
      </c>
      <c r="AA394" t="s">
        <v>8084</v>
      </c>
      <c r="AB394" t="s">
        <v>8085</v>
      </c>
      <c r="AC394" t="s">
        <v>8086</v>
      </c>
      <c r="AD394" t="s">
        <v>8087</v>
      </c>
      <c r="AE394" t="s">
        <v>8088</v>
      </c>
      <c r="AF394" t="s">
        <v>74</v>
      </c>
      <c r="AG394">
        <v>98</v>
      </c>
      <c r="AH394">
        <v>11</v>
      </c>
      <c r="AI394">
        <v>12</v>
      </c>
      <c r="AJ394">
        <v>5</v>
      </c>
      <c r="AK394">
        <v>47</v>
      </c>
      <c r="AL394" t="s">
        <v>8089</v>
      </c>
      <c r="AM394" t="s">
        <v>1482</v>
      </c>
      <c r="AN394" t="s">
        <v>8090</v>
      </c>
      <c r="AO394" t="s">
        <v>8091</v>
      </c>
      <c r="AP394" t="s">
        <v>74</v>
      </c>
      <c r="AQ394" t="s">
        <v>74</v>
      </c>
      <c r="AR394" t="s">
        <v>8077</v>
      </c>
      <c r="AS394" t="s">
        <v>8092</v>
      </c>
      <c r="AT394" t="s">
        <v>8001</v>
      </c>
      <c r="AU394">
        <v>2021</v>
      </c>
      <c r="AV394">
        <v>10</v>
      </c>
      <c r="AW394" t="s">
        <v>74</v>
      </c>
      <c r="AX394" t="s">
        <v>74</v>
      </c>
      <c r="AY394" t="s">
        <v>74</v>
      </c>
      <c r="AZ394" t="s">
        <v>74</v>
      </c>
      <c r="BA394" t="s">
        <v>74</v>
      </c>
      <c r="BB394" t="s">
        <v>74</v>
      </c>
      <c r="BC394" t="s">
        <v>74</v>
      </c>
      <c r="BD394" t="s">
        <v>8093</v>
      </c>
      <c r="BE394" t="s">
        <v>8094</v>
      </c>
      <c r="BF394" t="str">
        <f>HYPERLINK("http://dx.doi.org/10.7554/eLife.64541","http://dx.doi.org/10.7554/eLife.64541")</f>
        <v>http://dx.doi.org/10.7554/eLife.64541</v>
      </c>
      <c r="BG394" t="s">
        <v>74</v>
      </c>
      <c r="BH394" t="s">
        <v>74</v>
      </c>
      <c r="BI394">
        <v>17</v>
      </c>
      <c r="BJ394" t="s">
        <v>4618</v>
      </c>
      <c r="BK394" t="s">
        <v>101</v>
      </c>
      <c r="BL394" t="s">
        <v>4619</v>
      </c>
      <c r="BM394" t="s">
        <v>8095</v>
      </c>
      <c r="BN394">
        <v>33739285</v>
      </c>
      <c r="BO394" t="s">
        <v>8096</v>
      </c>
      <c r="BP394" t="s">
        <v>74</v>
      </c>
      <c r="BQ394" t="s">
        <v>74</v>
      </c>
      <c r="BR394" t="s">
        <v>104</v>
      </c>
      <c r="BS394" t="s">
        <v>8097</v>
      </c>
      <c r="BT394" t="str">
        <f>HYPERLINK("https%3A%2F%2Fwww.webofscience.com%2Fwos%2Fwoscc%2Ffull-record%2FWOS:000639468400001","View Full Record in Web of Science")</f>
        <v>View Full Record in Web of Science</v>
      </c>
    </row>
    <row r="395" spans="1:72" x14ac:dyDescent="0.15">
      <c r="A395" t="s">
        <v>72</v>
      </c>
      <c r="B395" t="s">
        <v>8098</v>
      </c>
      <c r="C395" t="s">
        <v>74</v>
      </c>
      <c r="D395" t="s">
        <v>74</v>
      </c>
      <c r="E395" t="s">
        <v>74</v>
      </c>
      <c r="F395" t="s">
        <v>8099</v>
      </c>
      <c r="G395" t="s">
        <v>74</v>
      </c>
      <c r="H395" t="s">
        <v>74</v>
      </c>
      <c r="I395" t="s">
        <v>8100</v>
      </c>
      <c r="J395" t="s">
        <v>8101</v>
      </c>
      <c r="K395" t="s">
        <v>74</v>
      </c>
      <c r="L395" t="s">
        <v>74</v>
      </c>
      <c r="M395" t="s">
        <v>78</v>
      </c>
      <c r="N395" t="s">
        <v>79</v>
      </c>
      <c r="O395" t="s">
        <v>74</v>
      </c>
      <c r="P395" t="s">
        <v>74</v>
      </c>
      <c r="Q395" t="s">
        <v>74</v>
      </c>
      <c r="R395" t="s">
        <v>74</v>
      </c>
      <c r="S395" t="s">
        <v>74</v>
      </c>
      <c r="T395" t="s">
        <v>74</v>
      </c>
      <c r="U395" t="s">
        <v>8102</v>
      </c>
      <c r="V395" t="s">
        <v>8103</v>
      </c>
      <c r="W395" t="s">
        <v>8104</v>
      </c>
      <c r="X395" t="s">
        <v>8105</v>
      </c>
      <c r="Y395" t="s">
        <v>8106</v>
      </c>
      <c r="Z395" t="s">
        <v>8107</v>
      </c>
      <c r="AA395" t="s">
        <v>8108</v>
      </c>
      <c r="AB395" t="s">
        <v>8109</v>
      </c>
      <c r="AC395" t="s">
        <v>8110</v>
      </c>
      <c r="AD395" t="s">
        <v>7114</v>
      </c>
      <c r="AE395" t="s">
        <v>8111</v>
      </c>
      <c r="AF395" t="s">
        <v>74</v>
      </c>
      <c r="AG395">
        <v>73</v>
      </c>
      <c r="AH395">
        <v>1</v>
      </c>
      <c r="AI395">
        <v>1</v>
      </c>
      <c r="AJ395">
        <v>0</v>
      </c>
      <c r="AK395">
        <v>3</v>
      </c>
      <c r="AL395" t="s">
        <v>1269</v>
      </c>
      <c r="AM395" t="s">
        <v>1270</v>
      </c>
      <c r="AN395" t="s">
        <v>1271</v>
      </c>
      <c r="AO395" t="s">
        <v>8112</v>
      </c>
      <c r="AP395" t="s">
        <v>8113</v>
      </c>
      <c r="AQ395" t="s">
        <v>74</v>
      </c>
      <c r="AR395" t="s">
        <v>8101</v>
      </c>
      <c r="AS395" t="s">
        <v>8114</v>
      </c>
      <c r="AT395" t="s">
        <v>8001</v>
      </c>
      <c r="AU395">
        <v>2021</v>
      </c>
      <c r="AV395">
        <v>12</v>
      </c>
      <c r="AW395">
        <v>3</v>
      </c>
      <c r="AX395" t="s">
        <v>74</v>
      </c>
      <c r="AY395" t="s">
        <v>74</v>
      </c>
      <c r="AZ395" t="s">
        <v>74</v>
      </c>
      <c r="BA395" t="s">
        <v>74</v>
      </c>
      <c r="BB395">
        <v>691</v>
      </c>
      <c r="BC395">
        <v>711</v>
      </c>
      <c r="BD395" t="s">
        <v>74</v>
      </c>
      <c r="BE395" t="s">
        <v>8115</v>
      </c>
      <c r="BF395" t="str">
        <f>HYPERLINK("http://dx.doi.org/10.5194/se-12-691-2021","http://dx.doi.org/10.5194/se-12-691-2021")</f>
        <v>http://dx.doi.org/10.5194/se-12-691-2021</v>
      </c>
      <c r="BG395" t="s">
        <v>74</v>
      </c>
      <c r="BH395" t="s">
        <v>74</v>
      </c>
      <c r="BI395">
        <v>21</v>
      </c>
      <c r="BJ395" t="s">
        <v>1066</v>
      </c>
      <c r="BK395" t="s">
        <v>101</v>
      </c>
      <c r="BL395" t="s">
        <v>1066</v>
      </c>
      <c r="BM395" t="s">
        <v>8116</v>
      </c>
      <c r="BN395" t="s">
        <v>74</v>
      </c>
      <c r="BO395" t="s">
        <v>3593</v>
      </c>
      <c r="BP395" t="s">
        <v>74</v>
      </c>
      <c r="BQ395" t="s">
        <v>74</v>
      </c>
      <c r="BR395" t="s">
        <v>104</v>
      </c>
      <c r="BS395" t="s">
        <v>8117</v>
      </c>
      <c r="BT395" t="str">
        <f>HYPERLINK("https%3A%2F%2Fwww.webofscience.com%2Fwos%2Fwoscc%2Ffull-record%2FWOS:000631346000002","View Full Record in Web of Science")</f>
        <v>View Full Record in Web of Science</v>
      </c>
    </row>
    <row r="396" spans="1:72" x14ac:dyDescent="0.15">
      <c r="A396" t="s">
        <v>72</v>
      </c>
      <c r="B396" t="s">
        <v>8118</v>
      </c>
      <c r="C396" t="s">
        <v>74</v>
      </c>
      <c r="D396" t="s">
        <v>74</v>
      </c>
      <c r="E396" t="s">
        <v>74</v>
      </c>
      <c r="F396" t="s">
        <v>8119</v>
      </c>
      <c r="G396" t="s">
        <v>74</v>
      </c>
      <c r="H396" t="s">
        <v>74</v>
      </c>
      <c r="I396" t="s">
        <v>8120</v>
      </c>
      <c r="J396" t="s">
        <v>8121</v>
      </c>
      <c r="K396" t="s">
        <v>74</v>
      </c>
      <c r="L396" t="s">
        <v>74</v>
      </c>
      <c r="M396" t="s">
        <v>78</v>
      </c>
      <c r="N396" t="s">
        <v>79</v>
      </c>
      <c r="O396" t="s">
        <v>74</v>
      </c>
      <c r="P396" t="s">
        <v>74</v>
      </c>
      <c r="Q396" t="s">
        <v>74</v>
      </c>
      <c r="R396" t="s">
        <v>74</v>
      </c>
      <c r="S396" t="s">
        <v>74</v>
      </c>
      <c r="T396" t="s">
        <v>8122</v>
      </c>
      <c r="U396" t="s">
        <v>8123</v>
      </c>
      <c r="V396" t="s">
        <v>8124</v>
      </c>
      <c r="W396" t="s">
        <v>8125</v>
      </c>
      <c r="X396" t="s">
        <v>8126</v>
      </c>
      <c r="Y396" t="s">
        <v>8127</v>
      </c>
      <c r="Z396" t="s">
        <v>8128</v>
      </c>
      <c r="AA396" t="s">
        <v>8129</v>
      </c>
      <c r="AB396" t="s">
        <v>8130</v>
      </c>
      <c r="AC396" t="s">
        <v>8131</v>
      </c>
      <c r="AD396" t="s">
        <v>8132</v>
      </c>
      <c r="AE396" t="s">
        <v>8133</v>
      </c>
      <c r="AF396" t="s">
        <v>74</v>
      </c>
      <c r="AG396">
        <v>88</v>
      </c>
      <c r="AH396">
        <v>13</v>
      </c>
      <c r="AI396">
        <v>13</v>
      </c>
      <c r="AJ396">
        <v>0</v>
      </c>
      <c r="AK396">
        <v>12</v>
      </c>
      <c r="AL396" t="s">
        <v>8134</v>
      </c>
      <c r="AM396" t="s">
        <v>1909</v>
      </c>
      <c r="AN396" t="s">
        <v>8135</v>
      </c>
      <c r="AO396" t="s">
        <v>8136</v>
      </c>
      <c r="AP396" t="s">
        <v>74</v>
      </c>
      <c r="AQ396" t="s">
        <v>74</v>
      </c>
      <c r="AR396" t="s">
        <v>8121</v>
      </c>
      <c r="AS396" t="s">
        <v>8137</v>
      </c>
      <c r="AT396" t="s">
        <v>8001</v>
      </c>
      <c r="AU396">
        <v>2021</v>
      </c>
      <c r="AV396">
        <v>9</v>
      </c>
      <c r="AW396">
        <v>1</v>
      </c>
      <c r="AX396" t="s">
        <v>74</v>
      </c>
      <c r="AY396" t="s">
        <v>74</v>
      </c>
      <c r="AZ396" t="s">
        <v>74</v>
      </c>
      <c r="BA396" t="s">
        <v>74</v>
      </c>
      <c r="BB396" t="s">
        <v>74</v>
      </c>
      <c r="BC396" t="s">
        <v>74</v>
      </c>
      <c r="BD396">
        <v>63</v>
      </c>
      <c r="BE396" t="s">
        <v>8138</v>
      </c>
      <c r="BF396" t="str">
        <f>HYPERLINK("http://dx.doi.org/10.1186/s40168-021-01021-0","http://dx.doi.org/10.1186/s40168-021-01021-0")</f>
        <v>http://dx.doi.org/10.1186/s40168-021-01021-0</v>
      </c>
      <c r="BG396" t="s">
        <v>74</v>
      </c>
      <c r="BH396" t="s">
        <v>74</v>
      </c>
      <c r="BI396">
        <v>15</v>
      </c>
      <c r="BJ396" t="s">
        <v>396</v>
      </c>
      <c r="BK396" t="s">
        <v>101</v>
      </c>
      <c r="BL396" t="s">
        <v>396</v>
      </c>
      <c r="BM396" t="s">
        <v>8139</v>
      </c>
      <c r="BN396">
        <v>33741058</v>
      </c>
      <c r="BO396" t="s">
        <v>8140</v>
      </c>
      <c r="BP396" t="s">
        <v>74</v>
      </c>
      <c r="BQ396" t="s">
        <v>74</v>
      </c>
      <c r="BR396" t="s">
        <v>104</v>
      </c>
      <c r="BS396" t="s">
        <v>8141</v>
      </c>
      <c r="BT396" t="str">
        <f>HYPERLINK("https%3A%2F%2Fwww.webofscience.com%2Fwos%2Fwoscc%2Ffull-record%2FWOS:000630749100001","View Full Record in Web of Science")</f>
        <v>View Full Record in Web of Science</v>
      </c>
    </row>
    <row r="397" spans="1:72" x14ac:dyDescent="0.15">
      <c r="A397" t="s">
        <v>72</v>
      </c>
      <c r="B397" t="s">
        <v>8142</v>
      </c>
      <c r="C397" t="s">
        <v>74</v>
      </c>
      <c r="D397" t="s">
        <v>74</v>
      </c>
      <c r="E397" t="s">
        <v>74</v>
      </c>
      <c r="F397" t="s">
        <v>8143</v>
      </c>
      <c r="G397" t="s">
        <v>74</v>
      </c>
      <c r="H397" t="s">
        <v>74</v>
      </c>
      <c r="I397" t="s">
        <v>8144</v>
      </c>
      <c r="J397" t="s">
        <v>8145</v>
      </c>
      <c r="K397" t="s">
        <v>74</v>
      </c>
      <c r="L397" t="s">
        <v>74</v>
      </c>
      <c r="M397" t="s">
        <v>78</v>
      </c>
      <c r="N397" t="s">
        <v>79</v>
      </c>
      <c r="O397" t="s">
        <v>74</v>
      </c>
      <c r="P397" t="s">
        <v>74</v>
      </c>
      <c r="Q397" t="s">
        <v>74</v>
      </c>
      <c r="R397" t="s">
        <v>74</v>
      </c>
      <c r="S397" t="s">
        <v>74</v>
      </c>
      <c r="T397" t="s">
        <v>8146</v>
      </c>
      <c r="U397" t="s">
        <v>8147</v>
      </c>
      <c r="V397" t="s">
        <v>8148</v>
      </c>
      <c r="W397" t="s">
        <v>8149</v>
      </c>
      <c r="X397" t="s">
        <v>8150</v>
      </c>
      <c r="Y397" t="s">
        <v>8151</v>
      </c>
      <c r="Z397" t="s">
        <v>8152</v>
      </c>
      <c r="AA397" t="s">
        <v>8153</v>
      </c>
      <c r="AB397" t="s">
        <v>8154</v>
      </c>
      <c r="AC397" t="s">
        <v>8155</v>
      </c>
      <c r="AD397" t="s">
        <v>8156</v>
      </c>
      <c r="AE397" t="s">
        <v>8157</v>
      </c>
      <c r="AF397" t="s">
        <v>74</v>
      </c>
      <c r="AG397">
        <v>77</v>
      </c>
      <c r="AH397">
        <v>11</v>
      </c>
      <c r="AI397">
        <v>11</v>
      </c>
      <c r="AJ397">
        <v>4</v>
      </c>
      <c r="AK397">
        <v>13</v>
      </c>
      <c r="AL397" t="s">
        <v>795</v>
      </c>
      <c r="AM397" t="s">
        <v>796</v>
      </c>
      <c r="AN397" t="s">
        <v>797</v>
      </c>
      <c r="AO397" t="s">
        <v>8158</v>
      </c>
      <c r="AP397" t="s">
        <v>8159</v>
      </c>
      <c r="AQ397" t="s">
        <v>74</v>
      </c>
      <c r="AR397" t="s">
        <v>8160</v>
      </c>
      <c r="AS397" t="s">
        <v>8161</v>
      </c>
      <c r="AT397" t="s">
        <v>1035</v>
      </c>
      <c r="AU397">
        <v>2021</v>
      </c>
      <c r="AV397">
        <v>22</v>
      </c>
      <c r="AW397">
        <v>4</v>
      </c>
      <c r="AX397" t="s">
        <v>74</v>
      </c>
      <c r="AY397" t="s">
        <v>74</v>
      </c>
      <c r="AZ397" t="s">
        <v>74</v>
      </c>
      <c r="BA397" t="s">
        <v>74</v>
      </c>
      <c r="BB397">
        <v>667</v>
      </c>
      <c r="BC397">
        <v>681</v>
      </c>
      <c r="BD397" t="s">
        <v>74</v>
      </c>
      <c r="BE397" t="s">
        <v>8162</v>
      </c>
      <c r="BF397" t="str">
        <f>HYPERLINK("http://dx.doi.org/10.1111/faf.12543","http://dx.doi.org/10.1111/faf.12543")</f>
        <v>http://dx.doi.org/10.1111/faf.12543</v>
      </c>
      <c r="BG397" t="s">
        <v>74</v>
      </c>
      <c r="BH397" t="s">
        <v>6407</v>
      </c>
      <c r="BI397">
        <v>15</v>
      </c>
      <c r="BJ397" t="s">
        <v>6498</v>
      </c>
      <c r="BK397" t="s">
        <v>101</v>
      </c>
      <c r="BL397" t="s">
        <v>6498</v>
      </c>
      <c r="BM397" t="s">
        <v>8163</v>
      </c>
      <c r="BN397" t="s">
        <v>74</v>
      </c>
      <c r="BO397" t="s">
        <v>8164</v>
      </c>
      <c r="BP397" t="s">
        <v>74</v>
      </c>
      <c r="BQ397" t="s">
        <v>74</v>
      </c>
      <c r="BR397" t="s">
        <v>104</v>
      </c>
      <c r="BS397" t="s">
        <v>8165</v>
      </c>
      <c r="BT397" t="str">
        <f>HYPERLINK("https%3A%2F%2Fwww.webofscience.com%2Fwos%2Fwoscc%2Ffull-record%2FWOS:000630604700001","View Full Record in Web of Science")</f>
        <v>View Full Record in Web of Science</v>
      </c>
    </row>
    <row r="398" spans="1:72" x14ac:dyDescent="0.15">
      <c r="A398" t="s">
        <v>72</v>
      </c>
      <c r="B398" t="s">
        <v>8166</v>
      </c>
      <c r="C398" t="s">
        <v>74</v>
      </c>
      <c r="D398" t="s">
        <v>74</v>
      </c>
      <c r="E398" t="s">
        <v>74</v>
      </c>
      <c r="F398" t="s">
        <v>8167</v>
      </c>
      <c r="G398" t="s">
        <v>74</v>
      </c>
      <c r="H398" t="s">
        <v>74</v>
      </c>
      <c r="I398" t="s">
        <v>8168</v>
      </c>
      <c r="J398" t="s">
        <v>739</v>
      </c>
      <c r="K398" t="s">
        <v>74</v>
      </c>
      <c r="L398" t="s">
        <v>74</v>
      </c>
      <c r="M398" t="s">
        <v>78</v>
      </c>
      <c r="N398" t="s">
        <v>79</v>
      </c>
      <c r="O398" t="s">
        <v>74</v>
      </c>
      <c r="P398" t="s">
        <v>74</v>
      </c>
      <c r="Q398" t="s">
        <v>74</v>
      </c>
      <c r="R398" t="s">
        <v>74</v>
      </c>
      <c r="S398" t="s">
        <v>74</v>
      </c>
      <c r="T398" t="s">
        <v>8169</v>
      </c>
      <c r="U398" t="s">
        <v>8170</v>
      </c>
      <c r="V398" t="s">
        <v>8171</v>
      </c>
      <c r="W398" t="s">
        <v>8172</v>
      </c>
      <c r="X398" t="s">
        <v>8173</v>
      </c>
      <c r="Y398" t="s">
        <v>8174</v>
      </c>
      <c r="Z398" t="s">
        <v>8175</v>
      </c>
      <c r="AA398" t="s">
        <v>8176</v>
      </c>
      <c r="AB398" t="s">
        <v>8177</v>
      </c>
      <c r="AC398" t="s">
        <v>8178</v>
      </c>
      <c r="AD398" t="s">
        <v>8178</v>
      </c>
      <c r="AE398" t="s">
        <v>8179</v>
      </c>
      <c r="AF398" t="s">
        <v>74</v>
      </c>
      <c r="AG398">
        <v>83</v>
      </c>
      <c r="AH398">
        <v>4</v>
      </c>
      <c r="AI398">
        <v>4</v>
      </c>
      <c r="AJ398">
        <v>0</v>
      </c>
      <c r="AK398">
        <v>15</v>
      </c>
      <c r="AL398" t="s">
        <v>750</v>
      </c>
      <c r="AM398" t="s">
        <v>751</v>
      </c>
      <c r="AN398" t="s">
        <v>752</v>
      </c>
      <c r="AO398" t="s">
        <v>753</v>
      </c>
      <c r="AP398" t="s">
        <v>754</v>
      </c>
      <c r="AQ398" t="s">
        <v>74</v>
      </c>
      <c r="AR398" t="s">
        <v>755</v>
      </c>
      <c r="AS398" t="s">
        <v>756</v>
      </c>
      <c r="AT398" t="s">
        <v>8180</v>
      </c>
      <c r="AU398">
        <v>2021</v>
      </c>
      <c r="AV398">
        <v>662</v>
      </c>
      <c r="AW398" t="s">
        <v>74</v>
      </c>
      <c r="AX398" t="s">
        <v>74</v>
      </c>
      <c r="AY398" t="s">
        <v>74</v>
      </c>
      <c r="AZ398" t="s">
        <v>74</v>
      </c>
      <c r="BA398" t="s">
        <v>74</v>
      </c>
      <c r="BB398">
        <v>157</v>
      </c>
      <c r="BC398">
        <v>168</v>
      </c>
      <c r="BD398" t="s">
        <v>74</v>
      </c>
      <c r="BE398" t="s">
        <v>8181</v>
      </c>
      <c r="BF398" t="str">
        <f>HYPERLINK("http://dx.doi.org/10.3354/meps13626","http://dx.doi.org/10.3354/meps13626")</f>
        <v>http://dx.doi.org/10.3354/meps13626</v>
      </c>
      <c r="BG398" t="s">
        <v>74</v>
      </c>
      <c r="BH398" t="s">
        <v>74</v>
      </c>
      <c r="BI398">
        <v>12</v>
      </c>
      <c r="BJ398" t="s">
        <v>758</v>
      </c>
      <c r="BK398" t="s">
        <v>101</v>
      </c>
      <c r="BL398" t="s">
        <v>759</v>
      </c>
      <c r="BM398" t="s">
        <v>8182</v>
      </c>
      <c r="BN398" t="s">
        <v>74</v>
      </c>
      <c r="BO398" t="s">
        <v>74</v>
      </c>
      <c r="BP398" t="s">
        <v>74</v>
      </c>
      <c r="BQ398" t="s">
        <v>74</v>
      </c>
      <c r="BR398" t="s">
        <v>104</v>
      </c>
      <c r="BS398" t="s">
        <v>8183</v>
      </c>
      <c r="BT398" t="str">
        <f>HYPERLINK("https%3A%2F%2Fwww.webofscience.com%2Fwos%2Fwoscc%2Ffull-record%2FWOS:000644438800011","View Full Record in Web of Science")</f>
        <v>View Full Record in Web of Science</v>
      </c>
    </row>
    <row r="399" spans="1:72" x14ac:dyDescent="0.15">
      <c r="A399" t="s">
        <v>72</v>
      </c>
      <c r="B399" t="s">
        <v>8184</v>
      </c>
      <c r="C399" t="s">
        <v>74</v>
      </c>
      <c r="D399" t="s">
        <v>74</v>
      </c>
      <c r="E399" t="s">
        <v>74</v>
      </c>
      <c r="F399" t="s">
        <v>8185</v>
      </c>
      <c r="G399" t="s">
        <v>74</v>
      </c>
      <c r="H399" t="s">
        <v>74</v>
      </c>
      <c r="I399" t="s">
        <v>8186</v>
      </c>
      <c r="J399" t="s">
        <v>2687</v>
      </c>
      <c r="K399" t="s">
        <v>74</v>
      </c>
      <c r="L399" t="s">
        <v>74</v>
      </c>
      <c r="M399" t="s">
        <v>78</v>
      </c>
      <c r="N399" t="s">
        <v>79</v>
      </c>
      <c r="O399" t="s">
        <v>74</v>
      </c>
      <c r="P399" t="s">
        <v>74</v>
      </c>
      <c r="Q399" t="s">
        <v>74</v>
      </c>
      <c r="R399" t="s">
        <v>74</v>
      </c>
      <c r="S399" t="s">
        <v>74</v>
      </c>
      <c r="T399" t="s">
        <v>8187</v>
      </c>
      <c r="U399" t="s">
        <v>8188</v>
      </c>
      <c r="V399" t="s">
        <v>8189</v>
      </c>
      <c r="W399" t="s">
        <v>8190</v>
      </c>
      <c r="X399" t="s">
        <v>8191</v>
      </c>
      <c r="Y399" t="s">
        <v>8192</v>
      </c>
      <c r="Z399" t="s">
        <v>8193</v>
      </c>
      <c r="AA399" t="s">
        <v>74</v>
      </c>
      <c r="AB399" t="s">
        <v>8194</v>
      </c>
      <c r="AC399" t="s">
        <v>8195</v>
      </c>
      <c r="AD399" t="s">
        <v>8196</v>
      </c>
      <c r="AE399" t="s">
        <v>8197</v>
      </c>
      <c r="AF399" t="s">
        <v>74</v>
      </c>
      <c r="AG399">
        <v>120</v>
      </c>
      <c r="AH399">
        <v>5</v>
      </c>
      <c r="AI399">
        <v>5</v>
      </c>
      <c r="AJ399">
        <v>3</v>
      </c>
      <c r="AK399">
        <v>12</v>
      </c>
      <c r="AL399" t="s">
        <v>603</v>
      </c>
      <c r="AM399" t="s">
        <v>604</v>
      </c>
      <c r="AN399" t="s">
        <v>605</v>
      </c>
      <c r="AO399" t="s">
        <v>74</v>
      </c>
      <c r="AP399" t="s">
        <v>2699</v>
      </c>
      <c r="AQ399" t="s">
        <v>74</v>
      </c>
      <c r="AR399" t="s">
        <v>2700</v>
      </c>
      <c r="AS399" t="s">
        <v>2701</v>
      </c>
      <c r="AT399" t="s">
        <v>8180</v>
      </c>
      <c r="AU399">
        <v>2021</v>
      </c>
      <c r="AV399">
        <v>8</v>
      </c>
      <c r="AW399" t="s">
        <v>74</v>
      </c>
      <c r="AX399" t="s">
        <v>74</v>
      </c>
      <c r="AY399" t="s">
        <v>74</v>
      </c>
      <c r="AZ399" t="s">
        <v>74</v>
      </c>
      <c r="BA399" t="s">
        <v>74</v>
      </c>
      <c r="BB399" t="s">
        <v>74</v>
      </c>
      <c r="BC399" t="s">
        <v>74</v>
      </c>
      <c r="BD399">
        <v>592378</v>
      </c>
      <c r="BE399" t="s">
        <v>8198</v>
      </c>
      <c r="BF399" t="str">
        <f>HYPERLINK("http://dx.doi.org/10.3389/fmars.2021.592378","http://dx.doi.org/10.3389/fmars.2021.592378")</f>
        <v>http://dx.doi.org/10.3389/fmars.2021.592378</v>
      </c>
      <c r="BG399" t="s">
        <v>74</v>
      </c>
      <c r="BH399" t="s">
        <v>74</v>
      </c>
      <c r="BI399">
        <v>16</v>
      </c>
      <c r="BJ399" t="s">
        <v>1646</v>
      </c>
      <c r="BK399" t="s">
        <v>101</v>
      </c>
      <c r="BL399" t="s">
        <v>710</v>
      </c>
      <c r="BM399" t="s">
        <v>8199</v>
      </c>
      <c r="BN399" t="s">
        <v>74</v>
      </c>
      <c r="BO399" t="s">
        <v>317</v>
      </c>
      <c r="BP399" t="s">
        <v>74</v>
      </c>
      <c r="BQ399" t="s">
        <v>74</v>
      </c>
      <c r="BR399" t="s">
        <v>104</v>
      </c>
      <c r="BS399" t="s">
        <v>8200</v>
      </c>
      <c r="BT399" t="str">
        <f>HYPERLINK("https%3A%2F%2Fwww.webofscience.com%2Fwos%2Fwoscc%2Ffull-record%2FWOS:000635574500001","View Full Record in Web of Science")</f>
        <v>View Full Record in Web of Science</v>
      </c>
    </row>
    <row r="400" spans="1:72" x14ac:dyDescent="0.15">
      <c r="A400" t="s">
        <v>72</v>
      </c>
      <c r="B400" t="s">
        <v>8201</v>
      </c>
      <c r="C400" t="s">
        <v>74</v>
      </c>
      <c r="D400" t="s">
        <v>74</v>
      </c>
      <c r="E400" t="s">
        <v>74</v>
      </c>
      <c r="F400" t="s">
        <v>8202</v>
      </c>
      <c r="G400" t="s">
        <v>74</v>
      </c>
      <c r="H400" t="s">
        <v>74</v>
      </c>
      <c r="I400" t="s">
        <v>8203</v>
      </c>
      <c r="J400" t="s">
        <v>1421</v>
      </c>
      <c r="K400" t="s">
        <v>74</v>
      </c>
      <c r="L400" t="s">
        <v>74</v>
      </c>
      <c r="M400" t="s">
        <v>78</v>
      </c>
      <c r="N400" t="s">
        <v>79</v>
      </c>
      <c r="O400" t="s">
        <v>74</v>
      </c>
      <c r="P400" t="s">
        <v>74</v>
      </c>
      <c r="Q400" t="s">
        <v>74</v>
      </c>
      <c r="R400" t="s">
        <v>74</v>
      </c>
      <c r="S400" t="s">
        <v>74</v>
      </c>
      <c r="T400" t="s">
        <v>8204</v>
      </c>
      <c r="U400" t="s">
        <v>8205</v>
      </c>
      <c r="V400" t="s">
        <v>8206</v>
      </c>
      <c r="W400" t="s">
        <v>8207</v>
      </c>
      <c r="X400" t="s">
        <v>8208</v>
      </c>
      <c r="Y400" t="s">
        <v>8209</v>
      </c>
      <c r="Z400" t="s">
        <v>8210</v>
      </c>
      <c r="AA400" t="s">
        <v>8211</v>
      </c>
      <c r="AB400" t="s">
        <v>8212</v>
      </c>
      <c r="AC400" t="s">
        <v>74</v>
      </c>
      <c r="AD400" t="s">
        <v>74</v>
      </c>
      <c r="AE400" t="s">
        <v>74</v>
      </c>
      <c r="AF400" t="s">
        <v>74</v>
      </c>
      <c r="AG400">
        <v>67</v>
      </c>
      <c r="AH400">
        <v>16</v>
      </c>
      <c r="AI400">
        <v>16</v>
      </c>
      <c r="AJ400">
        <v>2</v>
      </c>
      <c r="AK400">
        <v>16</v>
      </c>
      <c r="AL400" t="s">
        <v>166</v>
      </c>
      <c r="AM400" t="s">
        <v>167</v>
      </c>
      <c r="AN400" t="s">
        <v>168</v>
      </c>
      <c r="AO400" t="s">
        <v>1433</v>
      </c>
      <c r="AP400" t="s">
        <v>1434</v>
      </c>
      <c r="AQ400" t="s">
        <v>74</v>
      </c>
      <c r="AR400" t="s">
        <v>1435</v>
      </c>
      <c r="AS400" t="s">
        <v>1436</v>
      </c>
      <c r="AT400" t="s">
        <v>2859</v>
      </c>
      <c r="AU400">
        <v>2021</v>
      </c>
      <c r="AV400">
        <v>44</v>
      </c>
      <c r="AW400">
        <v>4</v>
      </c>
      <c r="AX400" t="s">
        <v>74</v>
      </c>
      <c r="AY400" t="s">
        <v>74</v>
      </c>
      <c r="AZ400" t="s">
        <v>74</v>
      </c>
      <c r="BA400" t="s">
        <v>74</v>
      </c>
      <c r="BB400">
        <v>823</v>
      </c>
      <c r="BC400">
        <v>836</v>
      </c>
      <c r="BD400" t="s">
        <v>74</v>
      </c>
      <c r="BE400" t="s">
        <v>8213</v>
      </c>
      <c r="BF400" t="str">
        <f>HYPERLINK("http://dx.doi.org/10.1007/s00300-021-02843-2","http://dx.doi.org/10.1007/s00300-021-02843-2")</f>
        <v>http://dx.doi.org/10.1007/s00300-021-02843-2</v>
      </c>
      <c r="BG400" t="s">
        <v>74</v>
      </c>
      <c r="BH400" t="s">
        <v>6407</v>
      </c>
      <c r="BI400">
        <v>14</v>
      </c>
      <c r="BJ400" t="s">
        <v>1438</v>
      </c>
      <c r="BK400" t="s">
        <v>101</v>
      </c>
      <c r="BL400" t="s">
        <v>1439</v>
      </c>
      <c r="BM400" t="s">
        <v>8214</v>
      </c>
      <c r="BN400" t="s">
        <v>74</v>
      </c>
      <c r="BO400" t="s">
        <v>712</v>
      </c>
      <c r="BP400" t="s">
        <v>74</v>
      </c>
      <c r="BQ400" t="s">
        <v>74</v>
      </c>
      <c r="BR400" t="s">
        <v>104</v>
      </c>
      <c r="BS400" t="s">
        <v>8215</v>
      </c>
      <c r="BT400" t="str">
        <f>HYPERLINK("https%3A%2F%2Fwww.webofscience.com%2Fwos%2Fwoscc%2Ffull-record%2FWOS:000630296500003","View Full Record in Web of Science")</f>
        <v>View Full Record in Web of Science</v>
      </c>
    </row>
    <row r="401" spans="1:72" x14ac:dyDescent="0.15">
      <c r="A401" t="s">
        <v>72</v>
      </c>
      <c r="B401" t="s">
        <v>8216</v>
      </c>
      <c r="C401" t="s">
        <v>74</v>
      </c>
      <c r="D401" t="s">
        <v>74</v>
      </c>
      <c r="E401" t="s">
        <v>74</v>
      </c>
      <c r="F401" t="s">
        <v>8217</v>
      </c>
      <c r="G401" t="s">
        <v>74</v>
      </c>
      <c r="H401" t="s">
        <v>74</v>
      </c>
      <c r="I401" t="s">
        <v>8218</v>
      </c>
      <c r="J401" t="s">
        <v>8219</v>
      </c>
      <c r="K401" t="s">
        <v>74</v>
      </c>
      <c r="L401" t="s">
        <v>74</v>
      </c>
      <c r="M401" t="s">
        <v>78</v>
      </c>
      <c r="N401" t="s">
        <v>79</v>
      </c>
      <c r="O401" t="s">
        <v>74</v>
      </c>
      <c r="P401" t="s">
        <v>74</v>
      </c>
      <c r="Q401" t="s">
        <v>74</v>
      </c>
      <c r="R401" t="s">
        <v>74</v>
      </c>
      <c r="S401" t="s">
        <v>74</v>
      </c>
      <c r="T401" t="s">
        <v>8220</v>
      </c>
      <c r="U401" t="s">
        <v>8221</v>
      </c>
      <c r="V401" t="s">
        <v>8222</v>
      </c>
      <c r="W401" t="s">
        <v>8223</v>
      </c>
      <c r="X401" t="s">
        <v>8224</v>
      </c>
      <c r="Y401" t="s">
        <v>8225</v>
      </c>
      <c r="Z401" t="s">
        <v>8226</v>
      </c>
      <c r="AA401" t="s">
        <v>8227</v>
      </c>
      <c r="AB401" t="s">
        <v>8228</v>
      </c>
      <c r="AC401" t="s">
        <v>8229</v>
      </c>
      <c r="AD401" t="s">
        <v>8230</v>
      </c>
      <c r="AE401" t="s">
        <v>8231</v>
      </c>
      <c r="AF401" t="s">
        <v>74</v>
      </c>
      <c r="AG401">
        <v>98</v>
      </c>
      <c r="AH401">
        <v>2</v>
      </c>
      <c r="AI401">
        <v>2</v>
      </c>
      <c r="AJ401">
        <v>0</v>
      </c>
      <c r="AK401">
        <v>2</v>
      </c>
      <c r="AL401" t="s">
        <v>795</v>
      </c>
      <c r="AM401" t="s">
        <v>796</v>
      </c>
      <c r="AN401" t="s">
        <v>797</v>
      </c>
      <c r="AO401" t="s">
        <v>8232</v>
      </c>
      <c r="AP401" t="s">
        <v>8233</v>
      </c>
      <c r="AQ401" t="s">
        <v>74</v>
      </c>
      <c r="AR401" t="s">
        <v>8234</v>
      </c>
      <c r="AS401" t="s">
        <v>8235</v>
      </c>
      <c r="AT401" t="s">
        <v>707</v>
      </c>
      <c r="AU401">
        <v>2021</v>
      </c>
      <c r="AV401">
        <v>57</v>
      </c>
      <c r="AW401">
        <v>3</v>
      </c>
      <c r="AX401" t="s">
        <v>74</v>
      </c>
      <c r="AY401" t="s">
        <v>74</v>
      </c>
      <c r="AZ401" t="s">
        <v>74</v>
      </c>
      <c r="BA401" t="s">
        <v>74</v>
      </c>
      <c r="BB401">
        <v>797</v>
      </c>
      <c r="BC401">
        <v>816</v>
      </c>
      <c r="BD401" t="s">
        <v>74</v>
      </c>
      <c r="BE401" t="s">
        <v>8236</v>
      </c>
      <c r="BF401" t="str">
        <f>HYPERLINK("http://dx.doi.org/10.1111/jpy.13127","http://dx.doi.org/10.1111/jpy.13127")</f>
        <v>http://dx.doi.org/10.1111/jpy.13127</v>
      </c>
      <c r="BG401" t="s">
        <v>74</v>
      </c>
      <c r="BH401" t="s">
        <v>6407</v>
      </c>
      <c r="BI401">
        <v>20</v>
      </c>
      <c r="BJ401" t="s">
        <v>6897</v>
      </c>
      <c r="BK401" t="s">
        <v>101</v>
      </c>
      <c r="BL401" t="s">
        <v>6897</v>
      </c>
      <c r="BM401" t="s">
        <v>8237</v>
      </c>
      <c r="BN401">
        <v>33450046</v>
      </c>
      <c r="BO401" t="s">
        <v>398</v>
      </c>
      <c r="BP401" t="s">
        <v>74</v>
      </c>
      <c r="BQ401" t="s">
        <v>74</v>
      </c>
      <c r="BR401" t="s">
        <v>104</v>
      </c>
      <c r="BS401" t="s">
        <v>8238</v>
      </c>
      <c r="BT401" t="str">
        <f>HYPERLINK("https%3A%2F%2Fwww.webofscience.com%2Fwos%2Fwoscc%2Ffull-record%2FWOS:000630087700001","View Full Record in Web of Science")</f>
        <v>View Full Record in Web of Science</v>
      </c>
    </row>
    <row r="402" spans="1:72" x14ac:dyDescent="0.15">
      <c r="A402" t="s">
        <v>72</v>
      </c>
      <c r="B402" t="s">
        <v>8239</v>
      </c>
      <c r="C402" t="s">
        <v>74</v>
      </c>
      <c r="D402" t="s">
        <v>74</v>
      </c>
      <c r="E402" t="s">
        <v>74</v>
      </c>
      <c r="F402" t="s">
        <v>8240</v>
      </c>
      <c r="G402" t="s">
        <v>74</v>
      </c>
      <c r="H402" t="s">
        <v>74</v>
      </c>
      <c r="I402" t="s">
        <v>8241</v>
      </c>
      <c r="J402" t="s">
        <v>1421</v>
      </c>
      <c r="K402" t="s">
        <v>74</v>
      </c>
      <c r="L402" t="s">
        <v>74</v>
      </c>
      <c r="M402" t="s">
        <v>78</v>
      </c>
      <c r="N402" t="s">
        <v>79</v>
      </c>
      <c r="O402" t="s">
        <v>74</v>
      </c>
      <c r="P402" t="s">
        <v>74</v>
      </c>
      <c r="Q402" t="s">
        <v>74</v>
      </c>
      <c r="R402" t="s">
        <v>74</v>
      </c>
      <c r="S402" t="s">
        <v>74</v>
      </c>
      <c r="T402" t="s">
        <v>8242</v>
      </c>
      <c r="U402" t="s">
        <v>8243</v>
      </c>
      <c r="V402" t="s">
        <v>8244</v>
      </c>
      <c r="W402" t="s">
        <v>8245</v>
      </c>
      <c r="X402" t="s">
        <v>8246</v>
      </c>
      <c r="Y402" t="s">
        <v>8247</v>
      </c>
      <c r="Z402" t="s">
        <v>8248</v>
      </c>
      <c r="AA402" t="s">
        <v>74</v>
      </c>
      <c r="AB402" t="s">
        <v>8249</v>
      </c>
      <c r="AC402" t="s">
        <v>8250</v>
      </c>
      <c r="AD402" t="s">
        <v>8251</v>
      </c>
      <c r="AE402" t="s">
        <v>8252</v>
      </c>
      <c r="AF402" t="s">
        <v>74</v>
      </c>
      <c r="AG402">
        <v>77</v>
      </c>
      <c r="AH402">
        <v>1</v>
      </c>
      <c r="AI402">
        <v>1</v>
      </c>
      <c r="AJ402">
        <v>1</v>
      </c>
      <c r="AK402">
        <v>4</v>
      </c>
      <c r="AL402" t="s">
        <v>166</v>
      </c>
      <c r="AM402" t="s">
        <v>167</v>
      </c>
      <c r="AN402" t="s">
        <v>168</v>
      </c>
      <c r="AO402" t="s">
        <v>1433</v>
      </c>
      <c r="AP402" t="s">
        <v>1434</v>
      </c>
      <c r="AQ402" t="s">
        <v>74</v>
      </c>
      <c r="AR402" t="s">
        <v>1435</v>
      </c>
      <c r="AS402" t="s">
        <v>1436</v>
      </c>
      <c r="AT402" t="s">
        <v>2859</v>
      </c>
      <c r="AU402">
        <v>2021</v>
      </c>
      <c r="AV402">
        <v>44</v>
      </c>
      <c r="AW402">
        <v>4</v>
      </c>
      <c r="AX402" t="s">
        <v>74</v>
      </c>
      <c r="AY402" t="s">
        <v>74</v>
      </c>
      <c r="AZ402" t="s">
        <v>74</v>
      </c>
      <c r="BA402" t="s">
        <v>74</v>
      </c>
      <c r="BB402">
        <v>783</v>
      </c>
      <c r="BC402">
        <v>794</v>
      </c>
      <c r="BD402" t="s">
        <v>74</v>
      </c>
      <c r="BE402" t="s">
        <v>8253</v>
      </c>
      <c r="BF402" t="str">
        <f>HYPERLINK("http://dx.doi.org/10.1007/s00300-021-02836-1","http://dx.doi.org/10.1007/s00300-021-02836-1")</f>
        <v>http://dx.doi.org/10.1007/s00300-021-02836-1</v>
      </c>
      <c r="BG402" t="s">
        <v>74</v>
      </c>
      <c r="BH402" t="s">
        <v>6407</v>
      </c>
      <c r="BI402">
        <v>12</v>
      </c>
      <c r="BJ402" t="s">
        <v>1438</v>
      </c>
      <c r="BK402" t="s">
        <v>101</v>
      </c>
      <c r="BL402" t="s">
        <v>1439</v>
      </c>
      <c r="BM402" t="s">
        <v>8214</v>
      </c>
      <c r="BN402" t="s">
        <v>74</v>
      </c>
      <c r="BO402" t="s">
        <v>74</v>
      </c>
      <c r="BP402" t="s">
        <v>74</v>
      </c>
      <c r="BQ402" t="s">
        <v>74</v>
      </c>
      <c r="BR402" t="s">
        <v>104</v>
      </c>
      <c r="BS402" t="s">
        <v>8254</v>
      </c>
      <c r="BT402" t="str">
        <f>HYPERLINK("https%3A%2F%2Fwww.webofscience.com%2Fwos%2Fwoscc%2Ffull-record%2FWOS:000629869300001","View Full Record in Web of Science")</f>
        <v>View Full Record in Web of Science</v>
      </c>
    </row>
    <row r="403" spans="1:72" x14ac:dyDescent="0.15">
      <c r="A403" t="s">
        <v>72</v>
      </c>
      <c r="B403" t="s">
        <v>8255</v>
      </c>
      <c r="C403" t="s">
        <v>74</v>
      </c>
      <c r="D403" t="s">
        <v>74</v>
      </c>
      <c r="E403" t="s">
        <v>74</v>
      </c>
      <c r="F403" t="s">
        <v>8256</v>
      </c>
      <c r="G403" t="s">
        <v>74</v>
      </c>
      <c r="H403" t="s">
        <v>74</v>
      </c>
      <c r="I403" t="s">
        <v>8257</v>
      </c>
      <c r="J403" t="s">
        <v>1798</v>
      </c>
      <c r="K403" t="s">
        <v>74</v>
      </c>
      <c r="L403" t="s">
        <v>74</v>
      </c>
      <c r="M403" t="s">
        <v>78</v>
      </c>
      <c r="N403" t="s">
        <v>79</v>
      </c>
      <c r="O403" t="s">
        <v>74</v>
      </c>
      <c r="P403" t="s">
        <v>74</v>
      </c>
      <c r="Q403" t="s">
        <v>74</v>
      </c>
      <c r="R403" t="s">
        <v>74</v>
      </c>
      <c r="S403" t="s">
        <v>74</v>
      </c>
      <c r="T403" t="s">
        <v>8258</v>
      </c>
      <c r="U403" t="s">
        <v>8259</v>
      </c>
      <c r="V403" t="s">
        <v>8260</v>
      </c>
      <c r="W403" t="s">
        <v>8261</v>
      </c>
      <c r="X403" t="s">
        <v>8262</v>
      </c>
      <c r="Y403" t="s">
        <v>8263</v>
      </c>
      <c r="Z403" t="s">
        <v>8264</v>
      </c>
      <c r="AA403" t="s">
        <v>8265</v>
      </c>
      <c r="AB403" t="s">
        <v>8266</v>
      </c>
      <c r="AC403" t="s">
        <v>8267</v>
      </c>
      <c r="AD403" t="s">
        <v>8268</v>
      </c>
      <c r="AE403" t="s">
        <v>8269</v>
      </c>
      <c r="AF403" t="s">
        <v>74</v>
      </c>
      <c r="AG403">
        <v>90</v>
      </c>
      <c r="AH403">
        <v>6</v>
      </c>
      <c r="AI403">
        <v>6</v>
      </c>
      <c r="AJ403">
        <v>2</v>
      </c>
      <c r="AK403">
        <v>13</v>
      </c>
      <c r="AL403" t="s">
        <v>166</v>
      </c>
      <c r="AM403" t="s">
        <v>192</v>
      </c>
      <c r="AN403" t="s">
        <v>193</v>
      </c>
      <c r="AO403" t="s">
        <v>1805</v>
      </c>
      <c r="AP403" t="s">
        <v>1806</v>
      </c>
      <c r="AQ403" t="s">
        <v>74</v>
      </c>
      <c r="AR403" t="s">
        <v>1807</v>
      </c>
      <c r="AS403" t="s">
        <v>1808</v>
      </c>
      <c r="AT403" t="s">
        <v>707</v>
      </c>
      <c r="AU403">
        <v>2021</v>
      </c>
      <c r="AV403">
        <v>31</v>
      </c>
      <c r="AW403">
        <v>2</v>
      </c>
      <c r="AX403" t="s">
        <v>74</v>
      </c>
      <c r="AY403" t="s">
        <v>74</v>
      </c>
      <c r="AZ403" t="s">
        <v>74</v>
      </c>
      <c r="BA403" t="s">
        <v>74</v>
      </c>
      <c r="BB403">
        <v>399</v>
      </c>
      <c r="BC403">
        <v>415</v>
      </c>
      <c r="BD403" t="s">
        <v>74</v>
      </c>
      <c r="BE403" t="s">
        <v>8270</v>
      </c>
      <c r="BF403" t="str">
        <f>HYPERLINK("http://dx.doi.org/10.1007/s11160-021-09647-x","http://dx.doi.org/10.1007/s11160-021-09647-x")</f>
        <v>http://dx.doi.org/10.1007/s11160-021-09647-x</v>
      </c>
      <c r="BG403" t="s">
        <v>74</v>
      </c>
      <c r="BH403" t="s">
        <v>6407</v>
      </c>
      <c r="BI403">
        <v>17</v>
      </c>
      <c r="BJ403" t="s">
        <v>1811</v>
      </c>
      <c r="BK403" t="s">
        <v>101</v>
      </c>
      <c r="BL403" t="s">
        <v>1811</v>
      </c>
      <c r="BM403" t="s">
        <v>8271</v>
      </c>
      <c r="BN403" t="s">
        <v>74</v>
      </c>
      <c r="BO403" t="s">
        <v>74</v>
      </c>
      <c r="BP403" t="s">
        <v>74</v>
      </c>
      <c r="BQ403" t="s">
        <v>74</v>
      </c>
      <c r="BR403" t="s">
        <v>104</v>
      </c>
      <c r="BS403" t="s">
        <v>8272</v>
      </c>
      <c r="BT403" t="str">
        <f>HYPERLINK("https%3A%2F%2Fwww.webofscience.com%2Fwos%2Fwoscc%2Ffull-record%2FWOS:000630253500001","View Full Record in Web of Science")</f>
        <v>View Full Record in Web of Science</v>
      </c>
    </row>
    <row r="404" spans="1:72" x14ac:dyDescent="0.15">
      <c r="A404" t="s">
        <v>72</v>
      </c>
      <c r="B404" t="s">
        <v>8273</v>
      </c>
      <c r="C404" t="s">
        <v>74</v>
      </c>
      <c r="D404" t="s">
        <v>74</v>
      </c>
      <c r="E404" t="s">
        <v>74</v>
      </c>
      <c r="F404" t="s">
        <v>8274</v>
      </c>
      <c r="G404" t="s">
        <v>74</v>
      </c>
      <c r="H404" t="s">
        <v>74</v>
      </c>
      <c r="I404" t="s">
        <v>8275</v>
      </c>
      <c r="J404" t="s">
        <v>8276</v>
      </c>
      <c r="K404" t="s">
        <v>74</v>
      </c>
      <c r="L404" t="s">
        <v>74</v>
      </c>
      <c r="M404" t="s">
        <v>78</v>
      </c>
      <c r="N404" t="s">
        <v>79</v>
      </c>
      <c r="O404" t="s">
        <v>74</v>
      </c>
      <c r="P404" t="s">
        <v>74</v>
      </c>
      <c r="Q404" t="s">
        <v>74</v>
      </c>
      <c r="R404" t="s">
        <v>74</v>
      </c>
      <c r="S404" t="s">
        <v>74</v>
      </c>
      <c r="T404" t="s">
        <v>74</v>
      </c>
      <c r="U404" t="s">
        <v>8277</v>
      </c>
      <c r="V404" t="s">
        <v>8278</v>
      </c>
      <c r="W404" t="s">
        <v>8279</v>
      </c>
      <c r="X404" t="s">
        <v>8280</v>
      </c>
      <c r="Y404" t="s">
        <v>8281</v>
      </c>
      <c r="Z404" t="s">
        <v>8282</v>
      </c>
      <c r="AA404" t="s">
        <v>8283</v>
      </c>
      <c r="AB404" t="s">
        <v>8284</v>
      </c>
      <c r="AC404" t="s">
        <v>8285</v>
      </c>
      <c r="AD404" t="s">
        <v>8285</v>
      </c>
      <c r="AE404" t="s">
        <v>8286</v>
      </c>
      <c r="AF404" t="s">
        <v>74</v>
      </c>
      <c r="AG404">
        <v>25</v>
      </c>
      <c r="AH404">
        <v>1</v>
      </c>
      <c r="AI404">
        <v>1</v>
      </c>
      <c r="AJ404">
        <v>0</v>
      </c>
      <c r="AK404">
        <v>2</v>
      </c>
      <c r="AL404" t="s">
        <v>8287</v>
      </c>
      <c r="AM404" t="s">
        <v>8288</v>
      </c>
      <c r="AN404" t="s">
        <v>8289</v>
      </c>
      <c r="AO404" t="s">
        <v>8290</v>
      </c>
      <c r="AP404" t="s">
        <v>8291</v>
      </c>
      <c r="AQ404" t="s">
        <v>74</v>
      </c>
      <c r="AR404" t="s">
        <v>8292</v>
      </c>
      <c r="AS404" t="s">
        <v>8276</v>
      </c>
      <c r="AT404" t="s">
        <v>8293</v>
      </c>
      <c r="AU404">
        <v>2021</v>
      </c>
      <c r="AV404">
        <v>44</v>
      </c>
      <c r="AW404" t="s">
        <v>74</v>
      </c>
      <c r="AX404" t="s">
        <v>74</v>
      </c>
      <c r="AY404" t="s">
        <v>74</v>
      </c>
      <c r="AZ404" t="s">
        <v>74</v>
      </c>
      <c r="BA404" t="s">
        <v>74</v>
      </c>
      <c r="BB404">
        <v>91</v>
      </c>
      <c r="BC404">
        <v>97</v>
      </c>
      <c r="BD404" t="s">
        <v>74</v>
      </c>
      <c r="BE404" t="s">
        <v>8294</v>
      </c>
      <c r="BF404" t="str">
        <f>HYPERLINK("http://dx.doi.org/10.3897/nl.44.63662","http://dx.doi.org/10.3897/nl.44.63662")</f>
        <v>http://dx.doi.org/10.3897/nl.44.63662</v>
      </c>
      <c r="BG404" t="s">
        <v>74</v>
      </c>
      <c r="BH404" t="s">
        <v>74</v>
      </c>
      <c r="BI404">
        <v>7</v>
      </c>
      <c r="BJ404" t="s">
        <v>1093</v>
      </c>
      <c r="BK404" t="s">
        <v>101</v>
      </c>
      <c r="BL404" t="s">
        <v>1093</v>
      </c>
      <c r="BM404" t="s">
        <v>8295</v>
      </c>
      <c r="BN404" t="s">
        <v>74</v>
      </c>
      <c r="BO404" t="s">
        <v>1280</v>
      </c>
      <c r="BP404" t="s">
        <v>74</v>
      </c>
      <c r="BQ404" t="s">
        <v>74</v>
      </c>
      <c r="BR404" t="s">
        <v>104</v>
      </c>
      <c r="BS404" t="s">
        <v>8296</v>
      </c>
      <c r="BT404" t="str">
        <f>HYPERLINK("https%3A%2F%2Fwww.webofscience.com%2Fwos%2Fwoscc%2Ffull-record%2FWOS:000630178100003","View Full Record in Web of Science")</f>
        <v>View Full Record in Web of Science</v>
      </c>
    </row>
    <row r="405" spans="1:72" x14ac:dyDescent="0.15">
      <c r="A405" t="s">
        <v>72</v>
      </c>
      <c r="B405" t="s">
        <v>8297</v>
      </c>
      <c r="C405" t="s">
        <v>74</v>
      </c>
      <c r="D405" t="s">
        <v>74</v>
      </c>
      <c r="E405" t="s">
        <v>74</v>
      </c>
      <c r="F405" t="s">
        <v>8298</v>
      </c>
      <c r="G405" t="s">
        <v>74</v>
      </c>
      <c r="H405" t="s">
        <v>74</v>
      </c>
      <c r="I405" t="s">
        <v>8299</v>
      </c>
      <c r="J405" t="s">
        <v>535</v>
      </c>
      <c r="K405" t="s">
        <v>74</v>
      </c>
      <c r="L405" t="s">
        <v>74</v>
      </c>
      <c r="M405" t="s">
        <v>78</v>
      </c>
      <c r="N405" t="s">
        <v>79</v>
      </c>
      <c r="O405" t="s">
        <v>74</v>
      </c>
      <c r="P405" t="s">
        <v>74</v>
      </c>
      <c r="Q405" t="s">
        <v>74</v>
      </c>
      <c r="R405" t="s">
        <v>74</v>
      </c>
      <c r="S405" t="s">
        <v>74</v>
      </c>
      <c r="T405" t="s">
        <v>74</v>
      </c>
      <c r="U405" t="s">
        <v>8300</v>
      </c>
      <c r="V405" t="s">
        <v>8301</v>
      </c>
      <c r="W405" t="s">
        <v>8302</v>
      </c>
      <c r="X405" t="s">
        <v>8303</v>
      </c>
      <c r="Y405" t="s">
        <v>8304</v>
      </c>
      <c r="Z405" t="s">
        <v>8305</v>
      </c>
      <c r="AA405" t="s">
        <v>8306</v>
      </c>
      <c r="AB405" t="s">
        <v>8307</v>
      </c>
      <c r="AC405" t="s">
        <v>8308</v>
      </c>
      <c r="AD405" t="s">
        <v>8308</v>
      </c>
      <c r="AE405" t="s">
        <v>8309</v>
      </c>
      <c r="AF405" t="s">
        <v>74</v>
      </c>
      <c r="AG405">
        <v>122</v>
      </c>
      <c r="AH405">
        <v>7</v>
      </c>
      <c r="AI405">
        <v>7</v>
      </c>
      <c r="AJ405">
        <v>1</v>
      </c>
      <c r="AK405">
        <v>6</v>
      </c>
      <c r="AL405" t="s">
        <v>547</v>
      </c>
      <c r="AM405" t="s">
        <v>548</v>
      </c>
      <c r="AN405" t="s">
        <v>549</v>
      </c>
      <c r="AO405" t="s">
        <v>550</v>
      </c>
      <c r="AP405" t="s">
        <v>74</v>
      </c>
      <c r="AQ405" t="s">
        <v>74</v>
      </c>
      <c r="AR405" t="s">
        <v>535</v>
      </c>
      <c r="AS405" t="s">
        <v>551</v>
      </c>
      <c r="AT405" t="s">
        <v>8293</v>
      </c>
      <c r="AU405">
        <v>2021</v>
      </c>
      <c r="AV405">
        <v>16</v>
      </c>
      <c r="AW405">
        <v>3</v>
      </c>
      <c r="AX405" t="s">
        <v>74</v>
      </c>
      <c r="AY405" t="s">
        <v>74</v>
      </c>
      <c r="AZ405" t="s">
        <v>74</v>
      </c>
      <c r="BA405" t="s">
        <v>74</v>
      </c>
      <c r="BB405" t="s">
        <v>74</v>
      </c>
      <c r="BC405" t="s">
        <v>74</v>
      </c>
      <c r="BD405" t="s">
        <v>8310</v>
      </c>
      <c r="BE405" t="s">
        <v>8311</v>
      </c>
      <c r="BF405" t="str">
        <f>HYPERLINK("http://dx.doi.org/10.1371/journal.pone.0246821","http://dx.doi.org/10.1371/journal.pone.0246821")</f>
        <v>http://dx.doi.org/10.1371/journal.pone.0246821</v>
      </c>
      <c r="BG405" t="s">
        <v>74</v>
      </c>
      <c r="BH405" t="s">
        <v>74</v>
      </c>
      <c r="BI405">
        <v>29</v>
      </c>
      <c r="BJ405" t="s">
        <v>555</v>
      </c>
      <c r="BK405" t="s">
        <v>101</v>
      </c>
      <c r="BL405" t="s">
        <v>556</v>
      </c>
      <c r="BM405" t="s">
        <v>8312</v>
      </c>
      <c r="BN405">
        <v>33730018</v>
      </c>
      <c r="BO405" t="s">
        <v>558</v>
      </c>
      <c r="BP405" t="s">
        <v>74</v>
      </c>
      <c r="BQ405" t="s">
        <v>74</v>
      </c>
      <c r="BR405" t="s">
        <v>104</v>
      </c>
      <c r="BS405" t="s">
        <v>8313</v>
      </c>
      <c r="BT405" t="str">
        <f>HYPERLINK("https%3A%2F%2Fwww.webofscience.com%2Fwos%2Fwoscc%2Ffull-record%2FWOS:000630345000017","View Full Record in Web of Science")</f>
        <v>View Full Record in Web of Science</v>
      </c>
    </row>
    <row r="406" spans="1:72" x14ac:dyDescent="0.15">
      <c r="A406" t="s">
        <v>72</v>
      </c>
      <c r="B406" t="s">
        <v>8314</v>
      </c>
      <c r="C406" t="s">
        <v>74</v>
      </c>
      <c r="D406" t="s">
        <v>74</v>
      </c>
      <c r="E406" t="s">
        <v>74</v>
      </c>
      <c r="F406" t="s">
        <v>8315</v>
      </c>
      <c r="G406" t="s">
        <v>74</v>
      </c>
      <c r="H406" t="s">
        <v>74</v>
      </c>
      <c r="I406" t="s">
        <v>8316</v>
      </c>
      <c r="J406" t="s">
        <v>1421</v>
      </c>
      <c r="K406" t="s">
        <v>74</v>
      </c>
      <c r="L406" t="s">
        <v>74</v>
      </c>
      <c r="M406" t="s">
        <v>78</v>
      </c>
      <c r="N406" t="s">
        <v>79</v>
      </c>
      <c r="O406" t="s">
        <v>74</v>
      </c>
      <c r="P406" t="s">
        <v>74</v>
      </c>
      <c r="Q406" t="s">
        <v>74</v>
      </c>
      <c r="R406" t="s">
        <v>74</v>
      </c>
      <c r="S406" t="s">
        <v>74</v>
      </c>
      <c r="T406" t="s">
        <v>8317</v>
      </c>
      <c r="U406" t="s">
        <v>8318</v>
      </c>
      <c r="V406" t="s">
        <v>8319</v>
      </c>
      <c r="W406" t="s">
        <v>8320</v>
      </c>
      <c r="X406" t="s">
        <v>8321</v>
      </c>
      <c r="Y406" t="s">
        <v>8322</v>
      </c>
      <c r="Z406" t="s">
        <v>8323</v>
      </c>
      <c r="AA406" t="s">
        <v>8324</v>
      </c>
      <c r="AB406" t="s">
        <v>8325</v>
      </c>
      <c r="AC406" t="s">
        <v>8326</v>
      </c>
      <c r="AD406" t="s">
        <v>8327</v>
      </c>
      <c r="AE406" t="s">
        <v>8328</v>
      </c>
      <c r="AF406" t="s">
        <v>74</v>
      </c>
      <c r="AG406">
        <v>90</v>
      </c>
      <c r="AH406">
        <v>3</v>
      </c>
      <c r="AI406">
        <v>3</v>
      </c>
      <c r="AJ406">
        <v>0</v>
      </c>
      <c r="AK406">
        <v>7</v>
      </c>
      <c r="AL406" t="s">
        <v>166</v>
      </c>
      <c r="AM406" t="s">
        <v>167</v>
      </c>
      <c r="AN406" t="s">
        <v>168</v>
      </c>
      <c r="AO406" t="s">
        <v>1433</v>
      </c>
      <c r="AP406" t="s">
        <v>1434</v>
      </c>
      <c r="AQ406" t="s">
        <v>74</v>
      </c>
      <c r="AR406" t="s">
        <v>1435</v>
      </c>
      <c r="AS406" t="s">
        <v>1436</v>
      </c>
      <c r="AT406" t="s">
        <v>2859</v>
      </c>
      <c r="AU406">
        <v>2021</v>
      </c>
      <c r="AV406">
        <v>44</v>
      </c>
      <c r="AW406">
        <v>4</v>
      </c>
      <c r="AX406" t="s">
        <v>74</v>
      </c>
      <c r="AY406" t="s">
        <v>74</v>
      </c>
      <c r="AZ406" t="s">
        <v>74</v>
      </c>
      <c r="BA406" t="s">
        <v>74</v>
      </c>
      <c r="BB406">
        <v>795</v>
      </c>
      <c r="BC406">
        <v>808</v>
      </c>
      <c r="BD406" t="s">
        <v>74</v>
      </c>
      <c r="BE406" t="s">
        <v>8329</v>
      </c>
      <c r="BF406" t="str">
        <f>HYPERLINK("http://dx.doi.org/10.1007/s00300-021-02841-4","http://dx.doi.org/10.1007/s00300-021-02841-4")</f>
        <v>http://dx.doi.org/10.1007/s00300-021-02841-4</v>
      </c>
      <c r="BG406" t="s">
        <v>74</v>
      </c>
      <c r="BH406" t="s">
        <v>6407</v>
      </c>
      <c r="BI406">
        <v>14</v>
      </c>
      <c r="BJ406" t="s">
        <v>1438</v>
      </c>
      <c r="BK406" t="s">
        <v>101</v>
      </c>
      <c r="BL406" t="s">
        <v>1439</v>
      </c>
      <c r="BM406" t="s">
        <v>8214</v>
      </c>
      <c r="BN406" t="s">
        <v>74</v>
      </c>
      <c r="BO406" t="s">
        <v>496</v>
      </c>
      <c r="BP406" t="s">
        <v>74</v>
      </c>
      <c r="BQ406" t="s">
        <v>74</v>
      </c>
      <c r="BR406" t="s">
        <v>104</v>
      </c>
      <c r="BS406" t="s">
        <v>8330</v>
      </c>
      <c r="BT406" t="str">
        <f>HYPERLINK("https%3A%2F%2Fwww.webofscience.com%2Fwos%2Fwoscc%2Ffull-record%2FWOS:000629869500001","View Full Record in Web of Science")</f>
        <v>View Full Record in Web of Science</v>
      </c>
    </row>
    <row r="407" spans="1:72" x14ac:dyDescent="0.15">
      <c r="A407" t="s">
        <v>72</v>
      </c>
      <c r="B407" t="s">
        <v>8331</v>
      </c>
      <c r="C407" t="s">
        <v>74</v>
      </c>
      <c r="D407" t="s">
        <v>74</v>
      </c>
      <c r="E407" t="s">
        <v>74</v>
      </c>
      <c r="F407" t="s">
        <v>8332</v>
      </c>
      <c r="G407" t="s">
        <v>74</v>
      </c>
      <c r="H407" t="s">
        <v>74</v>
      </c>
      <c r="I407" t="s">
        <v>8333</v>
      </c>
      <c r="J407" t="s">
        <v>1980</v>
      </c>
      <c r="K407" t="s">
        <v>74</v>
      </c>
      <c r="L407" t="s">
        <v>74</v>
      </c>
      <c r="M407" t="s">
        <v>78</v>
      </c>
      <c r="N407" t="s">
        <v>79</v>
      </c>
      <c r="O407" t="s">
        <v>74</v>
      </c>
      <c r="P407" t="s">
        <v>74</v>
      </c>
      <c r="Q407" t="s">
        <v>74</v>
      </c>
      <c r="R407" t="s">
        <v>74</v>
      </c>
      <c r="S407" t="s">
        <v>74</v>
      </c>
      <c r="T407" t="s">
        <v>74</v>
      </c>
      <c r="U407" t="s">
        <v>8334</v>
      </c>
      <c r="V407" t="s">
        <v>8335</v>
      </c>
      <c r="W407" t="s">
        <v>8336</v>
      </c>
      <c r="X407" t="s">
        <v>8337</v>
      </c>
      <c r="Y407" t="s">
        <v>8338</v>
      </c>
      <c r="Z407" t="s">
        <v>8339</v>
      </c>
      <c r="AA407" t="s">
        <v>8340</v>
      </c>
      <c r="AB407" t="s">
        <v>8341</v>
      </c>
      <c r="AC407" t="s">
        <v>8342</v>
      </c>
      <c r="AD407" t="s">
        <v>8343</v>
      </c>
      <c r="AE407" t="s">
        <v>8344</v>
      </c>
      <c r="AF407" t="s">
        <v>74</v>
      </c>
      <c r="AG407">
        <v>122</v>
      </c>
      <c r="AH407">
        <v>20</v>
      </c>
      <c r="AI407">
        <v>20</v>
      </c>
      <c r="AJ407">
        <v>0</v>
      </c>
      <c r="AK407">
        <v>13</v>
      </c>
      <c r="AL407" t="s">
        <v>1269</v>
      </c>
      <c r="AM407" t="s">
        <v>1270</v>
      </c>
      <c r="AN407" t="s">
        <v>1271</v>
      </c>
      <c r="AO407" t="s">
        <v>1992</v>
      </c>
      <c r="AP407" t="s">
        <v>1993</v>
      </c>
      <c r="AQ407" t="s">
        <v>74</v>
      </c>
      <c r="AR407" t="s">
        <v>1994</v>
      </c>
      <c r="AS407" t="s">
        <v>1995</v>
      </c>
      <c r="AT407" t="s">
        <v>8293</v>
      </c>
      <c r="AU407">
        <v>2021</v>
      </c>
      <c r="AV407">
        <v>21</v>
      </c>
      <c r="AW407">
        <v>5</v>
      </c>
      <c r="AX407" t="s">
        <v>74</v>
      </c>
      <c r="AY407" t="s">
        <v>74</v>
      </c>
      <c r="AZ407" t="s">
        <v>74</v>
      </c>
      <c r="BA407" t="s">
        <v>74</v>
      </c>
      <c r="BB407">
        <v>3949</v>
      </c>
      <c r="BC407">
        <v>3971</v>
      </c>
      <c r="BD407" t="s">
        <v>74</v>
      </c>
      <c r="BE407" t="s">
        <v>8345</v>
      </c>
      <c r="BF407" t="str">
        <f>HYPERLINK("http://dx.doi.org/10.5194/acp-21-3949-2021","http://dx.doi.org/10.5194/acp-21-3949-2021")</f>
        <v>http://dx.doi.org/10.5194/acp-21-3949-2021</v>
      </c>
      <c r="BG407" t="s">
        <v>74</v>
      </c>
      <c r="BH407" t="s">
        <v>74</v>
      </c>
      <c r="BI407">
        <v>23</v>
      </c>
      <c r="BJ407" t="s">
        <v>199</v>
      </c>
      <c r="BK407" t="s">
        <v>101</v>
      </c>
      <c r="BL407" t="s">
        <v>200</v>
      </c>
      <c r="BM407" t="s">
        <v>8346</v>
      </c>
      <c r="BN407" t="s">
        <v>74</v>
      </c>
      <c r="BO407" t="s">
        <v>1779</v>
      </c>
      <c r="BP407" t="s">
        <v>74</v>
      </c>
      <c r="BQ407" t="s">
        <v>74</v>
      </c>
      <c r="BR407" t="s">
        <v>104</v>
      </c>
      <c r="BS407" t="s">
        <v>8347</v>
      </c>
      <c r="BT407" t="str">
        <f>HYPERLINK("https%3A%2F%2Fwww.webofscience.com%2Fwos%2Fwoscc%2Ffull-record%2FWOS:000630230400002","View Full Record in Web of Science")</f>
        <v>View Full Record in Web of Science</v>
      </c>
    </row>
    <row r="408" spans="1:72" x14ac:dyDescent="0.15">
      <c r="A408" t="s">
        <v>72</v>
      </c>
      <c r="B408" t="s">
        <v>8348</v>
      </c>
      <c r="C408" t="s">
        <v>74</v>
      </c>
      <c r="D408" t="s">
        <v>74</v>
      </c>
      <c r="E408" t="s">
        <v>74</v>
      </c>
      <c r="F408" t="s">
        <v>8349</v>
      </c>
      <c r="G408" t="s">
        <v>74</v>
      </c>
      <c r="H408" t="s">
        <v>74</v>
      </c>
      <c r="I408" t="s">
        <v>8350</v>
      </c>
      <c r="J408" t="s">
        <v>8351</v>
      </c>
      <c r="K408" t="s">
        <v>74</v>
      </c>
      <c r="L408" t="s">
        <v>74</v>
      </c>
      <c r="M408" t="s">
        <v>78</v>
      </c>
      <c r="N408" t="s">
        <v>79</v>
      </c>
      <c r="O408" t="s">
        <v>74</v>
      </c>
      <c r="P408" t="s">
        <v>74</v>
      </c>
      <c r="Q408" t="s">
        <v>74</v>
      </c>
      <c r="R408" t="s">
        <v>74</v>
      </c>
      <c r="S408" t="s">
        <v>74</v>
      </c>
      <c r="T408" t="s">
        <v>8352</v>
      </c>
      <c r="U408" t="s">
        <v>8353</v>
      </c>
      <c r="V408" t="s">
        <v>8354</v>
      </c>
      <c r="W408" t="s">
        <v>8355</v>
      </c>
      <c r="X408" t="s">
        <v>8356</v>
      </c>
      <c r="Y408" t="s">
        <v>8357</v>
      </c>
      <c r="Z408" t="s">
        <v>8210</v>
      </c>
      <c r="AA408" t="s">
        <v>8358</v>
      </c>
      <c r="AB408" t="s">
        <v>8359</v>
      </c>
      <c r="AC408" t="s">
        <v>8360</v>
      </c>
      <c r="AD408" t="s">
        <v>8361</v>
      </c>
      <c r="AE408" t="s">
        <v>8362</v>
      </c>
      <c r="AF408" t="s">
        <v>74</v>
      </c>
      <c r="AG408">
        <v>60</v>
      </c>
      <c r="AH408">
        <v>2</v>
      </c>
      <c r="AI408">
        <v>2</v>
      </c>
      <c r="AJ408">
        <v>0</v>
      </c>
      <c r="AK408">
        <v>0</v>
      </c>
      <c r="AL408" t="s">
        <v>1160</v>
      </c>
      <c r="AM408" t="s">
        <v>891</v>
      </c>
      <c r="AN408" t="s">
        <v>1161</v>
      </c>
      <c r="AO408" t="s">
        <v>8363</v>
      </c>
      <c r="AP408" t="s">
        <v>8364</v>
      </c>
      <c r="AQ408" t="s">
        <v>74</v>
      </c>
      <c r="AR408" t="s">
        <v>8365</v>
      </c>
      <c r="AS408" t="s">
        <v>8366</v>
      </c>
      <c r="AT408" t="s">
        <v>2859</v>
      </c>
      <c r="AU408">
        <v>2021</v>
      </c>
      <c r="AV408">
        <v>97</v>
      </c>
      <c r="AW408">
        <v>4</v>
      </c>
      <c r="AX408" t="s">
        <v>74</v>
      </c>
      <c r="AY408" t="s">
        <v>74</v>
      </c>
      <c r="AZ408" t="s">
        <v>74</v>
      </c>
      <c r="BA408" t="s">
        <v>74</v>
      </c>
      <c r="BB408" t="s">
        <v>74</v>
      </c>
      <c r="BC408" t="s">
        <v>74</v>
      </c>
      <c r="BD408" t="s">
        <v>8367</v>
      </c>
      <c r="BE408" t="s">
        <v>8368</v>
      </c>
      <c r="BF408" t="str">
        <f>HYPERLINK("http://dx.doi.org/10.1093/femsec/fiab044","http://dx.doi.org/10.1093/femsec/fiab044")</f>
        <v>http://dx.doi.org/10.1093/femsec/fiab044</v>
      </c>
      <c r="BG408" t="s">
        <v>74</v>
      </c>
      <c r="BH408" t="s">
        <v>6407</v>
      </c>
      <c r="BI408">
        <v>12</v>
      </c>
      <c r="BJ408" t="s">
        <v>396</v>
      </c>
      <c r="BK408" t="s">
        <v>101</v>
      </c>
      <c r="BL408" t="s">
        <v>396</v>
      </c>
      <c r="BM408" t="s">
        <v>8369</v>
      </c>
      <c r="BN408">
        <v>33729491</v>
      </c>
      <c r="BO408" t="s">
        <v>8370</v>
      </c>
      <c r="BP408" t="s">
        <v>74</v>
      </c>
      <c r="BQ408" t="s">
        <v>74</v>
      </c>
      <c r="BR408" t="s">
        <v>104</v>
      </c>
      <c r="BS408" t="s">
        <v>8371</v>
      </c>
      <c r="BT408" t="str">
        <f>HYPERLINK("https%3A%2F%2Fwww.webofscience.com%2Fwos%2Fwoscc%2Ffull-record%2FWOS:000644508800021","View Full Record in Web of Science")</f>
        <v>View Full Record in Web of Science</v>
      </c>
    </row>
    <row r="409" spans="1:72" x14ac:dyDescent="0.15">
      <c r="A409" t="s">
        <v>72</v>
      </c>
      <c r="B409" t="s">
        <v>8372</v>
      </c>
      <c r="C409" t="s">
        <v>74</v>
      </c>
      <c r="D409" t="s">
        <v>74</v>
      </c>
      <c r="E409" t="s">
        <v>74</v>
      </c>
      <c r="F409" t="s">
        <v>8373</v>
      </c>
      <c r="G409" t="s">
        <v>74</v>
      </c>
      <c r="H409" t="s">
        <v>74</v>
      </c>
      <c r="I409" t="s">
        <v>8374</v>
      </c>
      <c r="J409" t="s">
        <v>3943</v>
      </c>
      <c r="K409" t="s">
        <v>74</v>
      </c>
      <c r="L409" t="s">
        <v>74</v>
      </c>
      <c r="M409" t="s">
        <v>78</v>
      </c>
      <c r="N409" t="s">
        <v>79</v>
      </c>
      <c r="O409" t="s">
        <v>74</v>
      </c>
      <c r="P409" t="s">
        <v>74</v>
      </c>
      <c r="Q409" t="s">
        <v>74</v>
      </c>
      <c r="R409" t="s">
        <v>74</v>
      </c>
      <c r="S409" t="s">
        <v>74</v>
      </c>
      <c r="T409" t="s">
        <v>8375</v>
      </c>
      <c r="U409" t="s">
        <v>8376</v>
      </c>
      <c r="V409" t="s">
        <v>8377</v>
      </c>
      <c r="W409" t="s">
        <v>8378</v>
      </c>
      <c r="X409" t="s">
        <v>8379</v>
      </c>
      <c r="Y409" t="s">
        <v>8380</v>
      </c>
      <c r="Z409" t="s">
        <v>8381</v>
      </c>
      <c r="AA409" t="s">
        <v>3286</v>
      </c>
      <c r="AB409" t="s">
        <v>8382</v>
      </c>
      <c r="AC409" t="s">
        <v>8383</v>
      </c>
      <c r="AD409" t="s">
        <v>8384</v>
      </c>
      <c r="AE409" t="s">
        <v>8385</v>
      </c>
      <c r="AF409" t="s">
        <v>74</v>
      </c>
      <c r="AG409">
        <v>59</v>
      </c>
      <c r="AH409">
        <v>12</v>
      </c>
      <c r="AI409">
        <v>12</v>
      </c>
      <c r="AJ409">
        <v>1</v>
      </c>
      <c r="AK409">
        <v>25</v>
      </c>
      <c r="AL409" t="s">
        <v>166</v>
      </c>
      <c r="AM409" t="s">
        <v>167</v>
      </c>
      <c r="AN409" t="s">
        <v>168</v>
      </c>
      <c r="AO409" t="s">
        <v>3956</v>
      </c>
      <c r="AP409" t="s">
        <v>3957</v>
      </c>
      <c r="AQ409" t="s">
        <v>74</v>
      </c>
      <c r="AR409" t="s">
        <v>3958</v>
      </c>
      <c r="AS409" t="s">
        <v>3959</v>
      </c>
      <c r="AT409" t="s">
        <v>3960</v>
      </c>
      <c r="AU409">
        <v>2022</v>
      </c>
      <c r="AV409">
        <v>83</v>
      </c>
      <c r="AW409">
        <v>1</v>
      </c>
      <c r="AX409" t="s">
        <v>74</v>
      </c>
      <c r="AY409" t="s">
        <v>74</v>
      </c>
      <c r="AZ409" t="s">
        <v>74</v>
      </c>
      <c r="BA409" t="s">
        <v>74</v>
      </c>
      <c r="BB409">
        <v>58</v>
      </c>
      <c r="BC409">
        <v>67</v>
      </c>
      <c r="BD409" t="s">
        <v>74</v>
      </c>
      <c r="BE409" t="s">
        <v>8386</v>
      </c>
      <c r="BF409" t="str">
        <f>HYPERLINK("http://dx.doi.org/10.1007/s00248-021-01735-6","http://dx.doi.org/10.1007/s00248-021-01735-6")</f>
        <v>http://dx.doi.org/10.1007/s00248-021-01735-6</v>
      </c>
      <c r="BG409" t="s">
        <v>74</v>
      </c>
      <c r="BH409" t="s">
        <v>6407</v>
      </c>
      <c r="BI409">
        <v>10</v>
      </c>
      <c r="BJ409" t="s">
        <v>3962</v>
      </c>
      <c r="BK409" t="s">
        <v>101</v>
      </c>
      <c r="BL409" t="s">
        <v>3963</v>
      </c>
      <c r="BM409" t="s">
        <v>3964</v>
      </c>
      <c r="BN409">
        <v>33733305</v>
      </c>
      <c r="BO409" t="s">
        <v>663</v>
      </c>
      <c r="BP409" t="s">
        <v>74</v>
      </c>
      <c r="BQ409" t="s">
        <v>74</v>
      </c>
      <c r="BR409" t="s">
        <v>104</v>
      </c>
      <c r="BS409" t="s">
        <v>8387</v>
      </c>
      <c r="BT409" t="str">
        <f>HYPERLINK("https%3A%2F%2Fwww.webofscience.com%2Fwos%2Fwoscc%2Ffull-record%2FWOS:000629902700003","View Full Record in Web of Science")</f>
        <v>View Full Record in Web of Science</v>
      </c>
    </row>
    <row r="410" spans="1:72" x14ac:dyDescent="0.15">
      <c r="A410" t="s">
        <v>72</v>
      </c>
      <c r="B410" t="s">
        <v>8388</v>
      </c>
      <c r="C410" t="s">
        <v>74</v>
      </c>
      <c r="D410" t="s">
        <v>74</v>
      </c>
      <c r="E410" t="s">
        <v>74</v>
      </c>
      <c r="F410" t="s">
        <v>8389</v>
      </c>
      <c r="G410" t="s">
        <v>74</v>
      </c>
      <c r="H410" t="s">
        <v>74</v>
      </c>
      <c r="I410" t="s">
        <v>8390</v>
      </c>
      <c r="J410" t="s">
        <v>8391</v>
      </c>
      <c r="K410" t="s">
        <v>74</v>
      </c>
      <c r="L410" t="s">
        <v>74</v>
      </c>
      <c r="M410" t="s">
        <v>78</v>
      </c>
      <c r="N410" t="s">
        <v>79</v>
      </c>
      <c r="O410" t="s">
        <v>74</v>
      </c>
      <c r="P410" t="s">
        <v>74</v>
      </c>
      <c r="Q410" t="s">
        <v>74</v>
      </c>
      <c r="R410" t="s">
        <v>74</v>
      </c>
      <c r="S410" t="s">
        <v>74</v>
      </c>
      <c r="T410" t="s">
        <v>8392</v>
      </c>
      <c r="U410" t="s">
        <v>8393</v>
      </c>
      <c r="V410" t="s">
        <v>8394</v>
      </c>
      <c r="W410" t="s">
        <v>8395</v>
      </c>
      <c r="X410" t="s">
        <v>8396</v>
      </c>
      <c r="Y410" t="s">
        <v>8397</v>
      </c>
      <c r="Z410" t="s">
        <v>8398</v>
      </c>
      <c r="AA410" t="s">
        <v>8399</v>
      </c>
      <c r="AB410" t="s">
        <v>8400</v>
      </c>
      <c r="AC410" t="s">
        <v>8401</v>
      </c>
      <c r="AD410" t="s">
        <v>8402</v>
      </c>
      <c r="AE410" t="s">
        <v>8403</v>
      </c>
      <c r="AF410" t="s">
        <v>74</v>
      </c>
      <c r="AG410">
        <v>67</v>
      </c>
      <c r="AH410">
        <v>8</v>
      </c>
      <c r="AI410">
        <v>9</v>
      </c>
      <c r="AJ410">
        <v>4</v>
      </c>
      <c r="AK410">
        <v>35</v>
      </c>
      <c r="AL410" t="s">
        <v>8404</v>
      </c>
      <c r="AM410" t="s">
        <v>8405</v>
      </c>
      <c r="AN410" t="s">
        <v>8406</v>
      </c>
      <c r="AO410" t="s">
        <v>8407</v>
      </c>
      <c r="AP410" t="s">
        <v>8408</v>
      </c>
      <c r="AQ410" t="s">
        <v>74</v>
      </c>
      <c r="AR410" t="s">
        <v>8391</v>
      </c>
      <c r="AS410" t="s">
        <v>1229</v>
      </c>
      <c r="AT410" t="s">
        <v>707</v>
      </c>
      <c r="AU410">
        <v>2021</v>
      </c>
      <c r="AV410">
        <v>146</v>
      </c>
      <c r="AW410" t="s">
        <v>74</v>
      </c>
      <c r="AX410" t="s">
        <v>74</v>
      </c>
      <c r="AY410" t="s">
        <v>74</v>
      </c>
      <c r="AZ410" t="s">
        <v>74</v>
      </c>
      <c r="BA410" t="s">
        <v>74</v>
      </c>
      <c r="BB410" t="s">
        <v>74</v>
      </c>
      <c r="BC410" t="s">
        <v>74</v>
      </c>
      <c r="BD410">
        <v>125910</v>
      </c>
      <c r="BE410" t="s">
        <v>8409</v>
      </c>
      <c r="BF410" t="str">
        <f>HYPERLINK("http://dx.doi.org/10.1016/j.zool.2021.125910","http://dx.doi.org/10.1016/j.zool.2021.125910")</f>
        <v>http://dx.doi.org/10.1016/j.zool.2021.125910</v>
      </c>
      <c r="BG410" t="s">
        <v>74</v>
      </c>
      <c r="BH410" t="s">
        <v>6407</v>
      </c>
      <c r="BI410">
        <v>10</v>
      </c>
      <c r="BJ410" t="s">
        <v>1229</v>
      </c>
      <c r="BK410" t="s">
        <v>101</v>
      </c>
      <c r="BL410" t="s">
        <v>1229</v>
      </c>
      <c r="BM410" t="s">
        <v>8410</v>
      </c>
      <c r="BN410">
        <v>33735797</v>
      </c>
      <c r="BO410" t="s">
        <v>398</v>
      </c>
      <c r="BP410" t="s">
        <v>74</v>
      </c>
      <c r="BQ410" t="s">
        <v>74</v>
      </c>
      <c r="BR410" t="s">
        <v>104</v>
      </c>
      <c r="BS410" t="s">
        <v>8411</v>
      </c>
      <c r="BT410" t="str">
        <f>HYPERLINK("https%3A%2F%2Fwww.webofscience.com%2Fwos%2Fwoscc%2Ffull-record%2FWOS:000663593400005","View Full Record in Web of Science")</f>
        <v>View Full Record in Web of Science</v>
      </c>
    </row>
    <row r="411" spans="1:72" x14ac:dyDescent="0.15">
      <c r="A411" t="s">
        <v>72</v>
      </c>
      <c r="B411" t="s">
        <v>8412</v>
      </c>
      <c r="C411" t="s">
        <v>74</v>
      </c>
      <c r="D411" t="s">
        <v>74</v>
      </c>
      <c r="E411" t="s">
        <v>74</v>
      </c>
      <c r="F411" t="s">
        <v>8413</v>
      </c>
      <c r="G411" t="s">
        <v>74</v>
      </c>
      <c r="H411" t="s">
        <v>74</v>
      </c>
      <c r="I411" t="s">
        <v>8414</v>
      </c>
      <c r="J411" t="s">
        <v>2965</v>
      </c>
      <c r="K411" t="s">
        <v>74</v>
      </c>
      <c r="L411" t="s">
        <v>74</v>
      </c>
      <c r="M411" t="s">
        <v>78</v>
      </c>
      <c r="N411" t="s">
        <v>79</v>
      </c>
      <c r="O411" t="s">
        <v>74</v>
      </c>
      <c r="P411" t="s">
        <v>74</v>
      </c>
      <c r="Q411" t="s">
        <v>74</v>
      </c>
      <c r="R411" t="s">
        <v>74</v>
      </c>
      <c r="S411" t="s">
        <v>74</v>
      </c>
      <c r="T411" t="s">
        <v>8415</v>
      </c>
      <c r="U411" t="s">
        <v>74</v>
      </c>
      <c r="V411" t="s">
        <v>8416</v>
      </c>
      <c r="W411" t="s">
        <v>8417</v>
      </c>
      <c r="X411" t="s">
        <v>6563</v>
      </c>
      <c r="Y411" t="s">
        <v>8418</v>
      </c>
      <c r="Z411" t="s">
        <v>8419</v>
      </c>
      <c r="AA411" t="s">
        <v>74</v>
      </c>
      <c r="AB411" t="s">
        <v>8420</v>
      </c>
      <c r="AC411" t="s">
        <v>74</v>
      </c>
      <c r="AD411" t="s">
        <v>74</v>
      </c>
      <c r="AE411" t="s">
        <v>74</v>
      </c>
      <c r="AF411" t="s">
        <v>74</v>
      </c>
      <c r="AG411">
        <v>50</v>
      </c>
      <c r="AH411">
        <v>8</v>
      </c>
      <c r="AI411">
        <v>9</v>
      </c>
      <c r="AJ411">
        <v>1</v>
      </c>
      <c r="AK411">
        <v>13</v>
      </c>
      <c r="AL411" t="s">
        <v>1058</v>
      </c>
      <c r="AM411" t="s">
        <v>891</v>
      </c>
      <c r="AN411" t="s">
        <v>1059</v>
      </c>
      <c r="AO411" t="s">
        <v>2978</v>
      </c>
      <c r="AP411" t="s">
        <v>2979</v>
      </c>
      <c r="AQ411" t="s">
        <v>74</v>
      </c>
      <c r="AR411" t="s">
        <v>2980</v>
      </c>
      <c r="AS411" t="s">
        <v>2981</v>
      </c>
      <c r="AT411" t="s">
        <v>1809</v>
      </c>
      <c r="AU411">
        <v>2021</v>
      </c>
      <c r="AV411">
        <v>169</v>
      </c>
      <c r="AW411" t="s">
        <v>74</v>
      </c>
      <c r="AX411" t="s">
        <v>74</v>
      </c>
      <c r="AY411" t="s">
        <v>74</v>
      </c>
      <c r="AZ411" t="s">
        <v>74</v>
      </c>
      <c r="BA411" t="s">
        <v>74</v>
      </c>
      <c r="BB411" t="s">
        <v>74</v>
      </c>
      <c r="BC411" t="s">
        <v>74</v>
      </c>
      <c r="BD411">
        <v>103490</v>
      </c>
      <c r="BE411" t="s">
        <v>8421</v>
      </c>
      <c r="BF411" t="str">
        <f>HYPERLINK("http://dx.doi.org/10.1016/j.dsr.2021.103490","http://dx.doi.org/10.1016/j.dsr.2021.103490")</f>
        <v>http://dx.doi.org/10.1016/j.dsr.2021.103490</v>
      </c>
      <c r="BG411" t="s">
        <v>74</v>
      </c>
      <c r="BH411" t="s">
        <v>6407</v>
      </c>
      <c r="BI411">
        <v>9</v>
      </c>
      <c r="BJ411" t="s">
        <v>369</v>
      </c>
      <c r="BK411" t="s">
        <v>101</v>
      </c>
      <c r="BL411" t="s">
        <v>369</v>
      </c>
      <c r="BM411" t="s">
        <v>8422</v>
      </c>
      <c r="BN411" t="s">
        <v>74</v>
      </c>
      <c r="BO411" t="s">
        <v>1492</v>
      </c>
      <c r="BP411" t="s">
        <v>74</v>
      </c>
      <c r="BQ411" t="s">
        <v>74</v>
      </c>
      <c r="BR411" t="s">
        <v>104</v>
      </c>
      <c r="BS411" t="s">
        <v>8423</v>
      </c>
      <c r="BT411" t="str">
        <f>HYPERLINK("https%3A%2F%2Fwww.webofscience.com%2Fwos%2Fwoscc%2Ffull-record%2FWOS:000634873800001","View Full Record in Web of Science")</f>
        <v>View Full Record in Web of Science</v>
      </c>
    </row>
    <row r="412" spans="1:72" x14ac:dyDescent="0.15">
      <c r="A412" t="s">
        <v>72</v>
      </c>
      <c r="B412" t="s">
        <v>8424</v>
      </c>
      <c r="C412" t="s">
        <v>74</v>
      </c>
      <c r="D412" t="s">
        <v>74</v>
      </c>
      <c r="E412" t="s">
        <v>74</v>
      </c>
      <c r="F412" t="s">
        <v>8425</v>
      </c>
      <c r="G412" t="s">
        <v>74</v>
      </c>
      <c r="H412" t="s">
        <v>74</v>
      </c>
      <c r="I412" t="s">
        <v>8426</v>
      </c>
      <c r="J412" t="s">
        <v>904</v>
      </c>
      <c r="K412" t="s">
        <v>74</v>
      </c>
      <c r="L412" t="s">
        <v>74</v>
      </c>
      <c r="M412" t="s">
        <v>78</v>
      </c>
      <c r="N412" t="s">
        <v>79</v>
      </c>
      <c r="O412" t="s">
        <v>74</v>
      </c>
      <c r="P412" t="s">
        <v>74</v>
      </c>
      <c r="Q412" t="s">
        <v>74</v>
      </c>
      <c r="R412" t="s">
        <v>74</v>
      </c>
      <c r="S412" t="s">
        <v>74</v>
      </c>
      <c r="T412" t="s">
        <v>74</v>
      </c>
      <c r="U412" t="s">
        <v>8427</v>
      </c>
      <c r="V412" t="s">
        <v>8428</v>
      </c>
      <c r="W412" t="s">
        <v>8429</v>
      </c>
      <c r="X412" t="s">
        <v>8430</v>
      </c>
      <c r="Y412" t="s">
        <v>8431</v>
      </c>
      <c r="Z412" t="s">
        <v>8432</v>
      </c>
      <c r="AA412" t="s">
        <v>74</v>
      </c>
      <c r="AB412" t="s">
        <v>8433</v>
      </c>
      <c r="AC412" t="s">
        <v>8434</v>
      </c>
      <c r="AD412" t="s">
        <v>8435</v>
      </c>
      <c r="AE412" t="s">
        <v>8436</v>
      </c>
      <c r="AF412" t="s">
        <v>74</v>
      </c>
      <c r="AG412">
        <v>54</v>
      </c>
      <c r="AH412">
        <v>33</v>
      </c>
      <c r="AI412">
        <v>37</v>
      </c>
      <c r="AJ412">
        <v>1</v>
      </c>
      <c r="AK412">
        <v>25</v>
      </c>
      <c r="AL412" t="s">
        <v>917</v>
      </c>
      <c r="AM412" t="s">
        <v>390</v>
      </c>
      <c r="AN412" t="s">
        <v>918</v>
      </c>
      <c r="AO412" t="s">
        <v>919</v>
      </c>
      <c r="AP412" t="s">
        <v>920</v>
      </c>
      <c r="AQ412" t="s">
        <v>74</v>
      </c>
      <c r="AR412" t="s">
        <v>921</v>
      </c>
      <c r="AS412" t="s">
        <v>922</v>
      </c>
      <c r="AT412" t="s">
        <v>8437</v>
      </c>
      <c r="AU412">
        <v>2021</v>
      </c>
      <c r="AV412">
        <v>48</v>
      </c>
      <c r="AW412">
        <v>5</v>
      </c>
      <c r="AX412" t="s">
        <v>74</v>
      </c>
      <c r="AY412" t="s">
        <v>74</v>
      </c>
      <c r="AZ412" t="s">
        <v>74</v>
      </c>
      <c r="BA412" t="s">
        <v>74</v>
      </c>
      <c r="BB412" t="s">
        <v>74</v>
      </c>
      <c r="BC412" t="s">
        <v>74</v>
      </c>
      <c r="BD412" t="s">
        <v>8438</v>
      </c>
      <c r="BE412" t="s">
        <v>8439</v>
      </c>
      <c r="BF412" t="str">
        <f>HYPERLINK("http://dx.doi.org/10.1029/2020GL091076","http://dx.doi.org/10.1029/2020GL091076")</f>
        <v>http://dx.doi.org/10.1029/2020GL091076</v>
      </c>
      <c r="BG412" t="s">
        <v>74</v>
      </c>
      <c r="BH412" t="s">
        <v>74</v>
      </c>
      <c r="BI412">
        <v>11</v>
      </c>
      <c r="BJ412" t="s">
        <v>100</v>
      </c>
      <c r="BK412" t="s">
        <v>101</v>
      </c>
      <c r="BL412" t="s">
        <v>102</v>
      </c>
      <c r="BM412" t="s">
        <v>8440</v>
      </c>
      <c r="BN412" t="s">
        <v>74</v>
      </c>
      <c r="BO412" t="s">
        <v>74</v>
      </c>
      <c r="BP412" t="s">
        <v>74</v>
      </c>
      <c r="BQ412" t="s">
        <v>74</v>
      </c>
      <c r="BR412" t="s">
        <v>104</v>
      </c>
      <c r="BS412" t="s">
        <v>8441</v>
      </c>
      <c r="BT412" t="str">
        <f>HYPERLINK("https%3A%2F%2Fwww.webofscience.com%2Fwos%2Fwoscc%2Ffull-record%2FWOS:000627892100089","View Full Record in Web of Science")</f>
        <v>View Full Record in Web of Science</v>
      </c>
    </row>
    <row r="413" spans="1:72" x14ac:dyDescent="0.15">
      <c r="A413" t="s">
        <v>72</v>
      </c>
      <c r="B413" t="s">
        <v>8442</v>
      </c>
      <c r="C413" t="s">
        <v>74</v>
      </c>
      <c r="D413" t="s">
        <v>74</v>
      </c>
      <c r="E413" t="s">
        <v>74</v>
      </c>
      <c r="F413" t="s">
        <v>8443</v>
      </c>
      <c r="G413" t="s">
        <v>74</v>
      </c>
      <c r="H413" t="s">
        <v>74</v>
      </c>
      <c r="I413" t="s">
        <v>8444</v>
      </c>
      <c r="J413" t="s">
        <v>904</v>
      </c>
      <c r="K413" t="s">
        <v>74</v>
      </c>
      <c r="L413" t="s">
        <v>74</v>
      </c>
      <c r="M413" t="s">
        <v>78</v>
      </c>
      <c r="N413" t="s">
        <v>79</v>
      </c>
      <c r="O413" t="s">
        <v>74</v>
      </c>
      <c r="P413" t="s">
        <v>74</v>
      </c>
      <c r="Q413" t="s">
        <v>74</v>
      </c>
      <c r="R413" t="s">
        <v>74</v>
      </c>
      <c r="S413" t="s">
        <v>74</v>
      </c>
      <c r="T413" t="s">
        <v>8445</v>
      </c>
      <c r="U413" t="s">
        <v>8446</v>
      </c>
      <c r="V413" t="s">
        <v>8447</v>
      </c>
      <c r="W413" t="s">
        <v>8448</v>
      </c>
      <c r="X413" t="s">
        <v>8449</v>
      </c>
      <c r="Y413" t="s">
        <v>8450</v>
      </c>
      <c r="Z413" t="s">
        <v>8451</v>
      </c>
      <c r="AA413" t="s">
        <v>8452</v>
      </c>
      <c r="AB413" t="s">
        <v>8453</v>
      </c>
      <c r="AC413" t="s">
        <v>8454</v>
      </c>
      <c r="AD413" t="s">
        <v>8455</v>
      </c>
      <c r="AE413" t="s">
        <v>8456</v>
      </c>
      <c r="AF413" t="s">
        <v>74</v>
      </c>
      <c r="AG413">
        <v>32</v>
      </c>
      <c r="AH413">
        <v>11</v>
      </c>
      <c r="AI413">
        <v>14</v>
      </c>
      <c r="AJ413">
        <v>0</v>
      </c>
      <c r="AK413">
        <v>11</v>
      </c>
      <c r="AL413" t="s">
        <v>917</v>
      </c>
      <c r="AM413" t="s">
        <v>390</v>
      </c>
      <c r="AN413" t="s">
        <v>918</v>
      </c>
      <c r="AO413" t="s">
        <v>919</v>
      </c>
      <c r="AP413" t="s">
        <v>920</v>
      </c>
      <c r="AQ413" t="s">
        <v>74</v>
      </c>
      <c r="AR413" t="s">
        <v>921</v>
      </c>
      <c r="AS413" t="s">
        <v>922</v>
      </c>
      <c r="AT413" t="s">
        <v>8437</v>
      </c>
      <c r="AU413">
        <v>2021</v>
      </c>
      <c r="AV413">
        <v>48</v>
      </c>
      <c r="AW413">
        <v>5</v>
      </c>
      <c r="AX413" t="s">
        <v>74</v>
      </c>
      <c r="AY413" t="s">
        <v>74</v>
      </c>
      <c r="AZ413" t="s">
        <v>74</v>
      </c>
      <c r="BA413" t="s">
        <v>74</v>
      </c>
      <c r="BB413" t="s">
        <v>74</v>
      </c>
      <c r="BC413" t="s">
        <v>74</v>
      </c>
      <c r="BD413" t="s">
        <v>8457</v>
      </c>
      <c r="BE413" t="s">
        <v>8458</v>
      </c>
      <c r="BF413" t="str">
        <f>HYPERLINK("http://dx.doi.org/10.1029/2020GL089412","http://dx.doi.org/10.1029/2020GL089412")</f>
        <v>http://dx.doi.org/10.1029/2020GL089412</v>
      </c>
      <c r="BG413" t="s">
        <v>74</v>
      </c>
      <c r="BH413" t="s">
        <v>74</v>
      </c>
      <c r="BI413">
        <v>8</v>
      </c>
      <c r="BJ413" t="s">
        <v>100</v>
      </c>
      <c r="BK413" t="s">
        <v>101</v>
      </c>
      <c r="BL413" t="s">
        <v>102</v>
      </c>
      <c r="BM413" t="s">
        <v>8440</v>
      </c>
      <c r="BN413" t="s">
        <v>74</v>
      </c>
      <c r="BO413" t="s">
        <v>398</v>
      </c>
      <c r="BP413" t="s">
        <v>74</v>
      </c>
      <c r="BQ413" t="s">
        <v>74</v>
      </c>
      <c r="BR413" t="s">
        <v>104</v>
      </c>
      <c r="BS413" t="s">
        <v>8459</v>
      </c>
      <c r="BT413" t="str">
        <f>HYPERLINK("https%3A%2F%2Fwww.webofscience.com%2Fwos%2Fwoscc%2Ffull-record%2FWOS:000627892100048","View Full Record in Web of Science")</f>
        <v>View Full Record in Web of Science</v>
      </c>
    </row>
    <row r="414" spans="1:72" x14ac:dyDescent="0.15">
      <c r="A414" t="s">
        <v>72</v>
      </c>
      <c r="B414" t="s">
        <v>8460</v>
      </c>
      <c r="C414" t="s">
        <v>74</v>
      </c>
      <c r="D414" t="s">
        <v>74</v>
      </c>
      <c r="E414" t="s">
        <v>74</v>
      </c>
      <c r="F414" t="s">
        <v>8461</v>
      </c>
      <c r="G414" t="s">
        <v>74</v>
      </c>
      <c r="H414" t="s">
        <v>74</v>
      </c>
      <c r="I414" t="s">
        <v>8462</v>
      </c>
      <c r="J414" t="s">
        <v>904</v>
      </c>
      <c r="K414" t="s">
        <v>74</v>
      </c>
      <c r="L414" t="s">
        <v>74</v>
      </c>
      <c r="M414" t="s">
        <v>78</v>
      </c>
      <c r="N414" t="s">
        <v>79</v>
      </c>
      <c r="O414" t="s">
        <v>74</v>
      </c>
      <c r="P414" t="s">
        <v>74</v>
      </c>
      <c r="Q414" t="s">
        <v>74</v>
      </c>
      <c r="R414" t="s">
        <v>74</v>
      </c>
      <c r="S414" t="s">
        <v>74</v>
      </c>
      <c r="T414" t="s">
        <v>8463</v>
      </c>
      <c r="U414" t="s">
        <v>74</v>
      </c>
      <c r="V414" t="s">
        <v>8464</v>
      </c>
      <c r="W414" t="s">
        <v>8465</v>
      </c>
      <c r="X414" t="s">
        <v>8466</v>
      </c>
      <c r="Y414" t="s">
        <v>8467</v>
      </c>
      <c r="Z414" t="s">
        <v>8468</v>
      </c>
      <c r="AA414" t="s">
        <v>8469</v>
      </c>
      <c r="AB414" t="s">
        <v>8470</v>
      </c>
      <c r="AC414" t="s">
        <v>8471</v>
      </c>
      <c r="AD414" t="s">
        <v>8472</v>
      </c>
      <c r="AE414" t="s">
        <v>8473</v>
      </c>
      <c r="AF414" t="s">
        <v>74</v>
      </c>
      <c r="AG414">
        <v>56</v>
      </c>
      <c r="AH414">
        <v>9</v>
      </c>
      <c r="AI414">
        <v>9</v>
      </c>
      <c r="AJ414">
        <v>1</v>
      </c>
      <c r="AK414">
        <v>2</v>
      </c>
      <c r="AL414" t="s">
        <v>917</v>
      </c>
      <c r="AM414" t="s">
        <v>390</v>
      </c>
      <c r="AN414" t="s">
        <v>918</v>
      </c>
      <c r="AO414" t="s">
        <v>919</v>
      </c>
      <c r="AP414" t="s">
        <v>920</v>
      </c>
      <c r="AQ414" t="s">
        <v>74</v>
      </c>
      <c r="AR414" t="s">
        <v>921</v>
      </c>
      <c r="AS414" t="s">
        <v>922</v>
      </c>
      <c r="AT414" t="s">
        <v>8437</v>
      </c>
      <c r="AU414">
        <v>2021</v>
      </c>
      <c r="AV414">
        <v>48</v>
      </c>
      <c r="AW414">
        <v>5</v>
      </c>
      <c r="AX414" t="s">
        <v>74</v>
      </c>
      <c r="AY414" t="s">
        <v>74</v>
      </c>
      <c r="AZ414" t="s">
        <v>74</v>
      </c>
      <c r="BA414" t="s">
        <v>74</v>
      </c>
      <c r="BB414" t="s">
        <v>74</v>
      </c>
      <c r="BC414" t="s">
        <v>74</v>
      </c>
      <c r="BD414" t="s">
        <v>8474</v>
      </c>
      <c r="BE414" t="s">
        <v>8475</v>
      </c>
      <c r="BF414" t="str">
        <f>HYPERLINK("http://dx.doi.org/10.1029/2020GL091384","http://dx.doi.org/10.1029/2020GL091384")</f>
        <v>http://dx.doi.org/10.1029/2020GL091384</v>
      </c>
      <c r="BG414" t="s">
        <v>74</v>
      </c>
      <c r="BH414" t="s">
        <v>74</v>
      </c>
      <c r="BI414">
        <v>10</v>
      </c>
      <c r="BJ414" t="s">
        <v>100</v>
      </c>
      <c r="BK414" t="s">
        <v>101</v>
      </c>
      <c r="BL414" t="s">
        <v>102</v>
      </c>
      <c r="BM414" t="s">
        <v>8440</v>
      </c>
      <c r="BN414" t="s">
        <v>74</v>
      </c>
      <c r="BO414" t="s">
        <v>663</v>
      </c>
      <c r="BP414" t="s">
        <v>74</v>
      </c>
      <c r="BQ414" t="s">
        <v>74</v>
      </c>
      <c r="BR414" t="s">
        <v>104</v>
      </c>
      <c r="BS414" t="s">
        <v>8476</v>
      </c>
      <c r="BT414" t="str">
        <f>HYPERLINK("https%3A%2F%2Fwww.webofscience.com%2Fwos%2Fwoscc%2Ffull-record%2FWOS:000627892100097","View Full Record in Web of Science")</f>
        <v>View Full Record in Web of Science</v>
      </c>
    </row>
    <row r="415" spans="1:72" x14ac:dyDescent="0.15">
      <c r="A415" t="s">
        <v>72</v>
      </c>
      <c r="B415" t="s">
        <v>8477</v>
      </c>
      <c r="C415" t="s">
        <v>74</v>
      </c>
      <c r="D415" t="s">
        <v>74</v>
      </c>
      <c r="E415" t="s">
        <v>74</v>
      </c>
      <c r="F415" t="s">
        <v>8478</v>
      </c>
      <c r="G415" t="s">
        <v>74</v>
      </c>
      <c r="H415" t="s">
        <v>74</v>
      </c>
      <c r="I415" t="s">
        <v>8479</v>
      </c>
      <c r="J415" t="s">
        <v>904</v>
      </c>
      <c r="K415" t="s">
        <v>74</v>
      </c>
      <c r="L415" t="s">
        <v>74</v>
      </c>
      <c r="M415" t="s">
        <v>78</v>
      </c>
      <c r="N415" t="s">
        <v>79</v>
      </c>
      <c r="O415" t="s">
        <v>74</v>
      </c>
      <c r="P415" t="s">
        <v>74</v>
      </c>
      <c r="Q415" t="s">
        <v>74</v>
      </c>
      <c r="R415" t="s">
        <v>74</v>
      </c>
      <c r="S415" t="s">
        <v>74</v>
      </c>
      <c r="T415" t="s">
        <v>8480</v>
      </c>
      <c r="U415" t="s">
        <v>8481</v>
      </c>
      <c r="V415" t="s">
        <v>8482</v>
      </c>
      <c r="W415" t="s">
        <v>8483</v>
      </c>
      <c r="X415" t="s">
        <v>8484</v>
      </c>
      <c r="Y415" t="s">
        <v>8485</v>
      </c>
      <c r="Z415" t="s">
        <v>8486</v>
      </c>
      <c r="AA415" t="s">
        <v>8487</v>
      </c>
      <c r="AB415" t="s">
        <v>8488</v>
      </c>
      <c r="AC415" t="s">
        <v>8489</v>
      </c>
      <c r="AD415" t="s">
        <v>8490</v>
      </c>
      <c r="AE415" t="s">
        <v>8491</v>
      </c>
      <c r="AF415" t="s">
        <v>74</v>
      </c>
      <c r="AG415">
        <v>58</v>
      </c>
      <c r="AH415">
        <v>19</v>
      </c>
      <c r="AI415">
        <v>19</v>
      </c>
      <c r="AJ415">
        <v>1</v>
      </c>
      <c r="AK415">
        <v>4</v>
      </c>
      <c r="AL415" t="s">
        <v>917</v>
      </c>
      <c r="AM415" t="s">
        <v>390</v>
      </c>
      <c r="AN415" t="s">
        <v>918</v>
      </c>
      <c r="AO415" t="s">
        <v>919</v>
      </c>
      <c r="AP415" t="s">
        <v>920</v>
      </c>
      <c r="AQ415" t="s">
        <v>74</v>
      </c>
      <c r="AR415" t="s">
        <v>921</v>
      </c>
      <c r="AS415" t="s">
        <v>922</v>
      </c>
      <c r="AT415" t="s">
        <v>8437</v>
      </c>
      <c r="AU415">
        <v>2021</v>
      </c>
      <c r="AV415">
        <v>48</v>
      </c>
      <c r="AW415">
        <v>5</v>
      </c>
      <c r="AX415" t="s">
        <v>74</v>
      </c>
      <c r="AY415" t="s">
        <v>74</v>
      </c>
      <c r="AZ415" t="s">
        <v>74</v>
      </c>
      <c r="BA415" t="s">
        <v>74</v>
      </c>
      <c r="BB415" t="s">
        <v>74</v>
      </c>
      <c r="BC415" t="s">
        <v>74</v>
      </c>
      <c r="BD415" t="s">
        <v>8492</v>
      </c>
      <c r="BE415" t="s">
        <v>8493</v>
      </c>
      <c r="BF415" t="str">
        <f>HYPERLINK("http://dx.doi.org/10.1029/2020GL091235","http://dx.doi.org/10.1029/2020GL091235")</f>
        <v>http://dx.doi.org/10.1029/2020GL091235</v>
      </c>
      <c r="BG415" t="s">
        <v>74</v>
      </c>
      <c r="BH415" t="s">
        <v>74</v>
      </c>
      <c r="BI415">
        <v>11</v>
      </c>
      <c r="BJ415" t="s">
        <v>100</v>
      </c>
      <c r="BK415" t="s">
        <v>101</v>
      </c>
      <c r="BL415" t="s">
        <v>102</v>
      </c>
      <c r="BM415" t="s">
        <v>8440</v>
      </c>
      <c r="BN415" t="s">
        <v>74</v>
      </c>
      <c r="BO415" t="s">
        <v>496</v>
      </c>
      <c r="BP415" t="s">
        <v>74</v>
      </c>
      <c r="BQ415" t="s">
        <v>74</v>
      </c>
      <c r="BR415" t="s">
        <v>104</v>
      </c>
      <c r="BS415" t="s">
        <v>8494</v>
      </c>
      <c r="BT415" t="str">
        <f>HYPERLINK("https%3A%2F%2Fwww.webofscience.com%2Fwos%2Fwoscc%2Ffull-record%2FWOS:000627892100025","View Full Record in Web of Science")</f>
        <v>View Full Record in Web of Science</v>
      </c>
    </row>
    <row r="416" spans="1:72" x14ac:dyDescent="0.15">
      <c r="A416" t="s">
        <v>72</v>
      </c>
      <c r="B416" t="s">
        <v>8495</v>
      </c>
      <c r="C416" t="s">
        <v>74</v>
      </c>
      <c r="D416" t="s">
        <v>74</v>
      </c>
      <c r="E416" t="s">
        <v>74</v>
      </c>
      <c r="F416" t="s">
        <v>8496</v>
      </c>
      <c r="G416" t="s">
        <v>74</v>
      </c>
      <c r="H416" t="s">
        <v>74</v>
      </c>
      <c r="I416" t="s">
        <v>8497</v>
      </c>
      <c r="J416" t="s">
        <v>8498</v>
      </c>
      <c r="K416" t="s">
        <v>74</v>
      </c>
      <c r="L416" t="s">
        <v>74</v>
      </c>
      <c r="M416" t="s">
        <v>78</v>
      </c>
      <c r="N416" t="s">
        <v>79</v>
      </c>
      <c r="O416" t="s">
        <v>74</v>
      </c>
      <c r="P416" t="s">
        <v>74</v>
      </c>
      <c r="Q416" t="s">
        <v>74</v>
      </c>
      <c r="R416" t="s">
        <v>74</v>
      </c>
      <c r="S416" t="s">
        <v>74</v>
      </c>
      <c r="T416" t="s">
        <v>8499</v>
      </c>
      <c r="U416" t="s">
        <v>74</v>
      </c>
      <c r="V416" t="s">
        <v>8500</v>
      </c>
      <c r="W416" t="s">
        <v>8501</v>
      </c>
      <c r="X416" t="s">
        <v>8502</v>
      </c>
      <c r="Y416" t="s">
        <v>8503</v>
      </c>
      <c r="Z416" t="s">
        <v>8504</v>
      </c>
      <c r="AA416" t="s">
        <v>8505</v>
      </c>
      <c r="AB416" t="s">
        <v>8506</v>
      </c>
      <c r="AC416" t="s">
        <v>8507</v>
      </c>
      <c r="AD416" t="s">
        <v>8508</v>
      </c>
      <c r="AE416" t="s">
        <v>8509</v>
      </c>
      <c r="AF416" t="s">
        <v>74</v>
      </c>
      <c r="AG416">
        <v>93</v>
      </c>
      <c r="AH416">
        <v>10</v>
      </c>
      <c r="AI416">
        <v>10</v>
      </c>
      <c r="AJ416">
        <v>5</v>
      </c>
      <c r="AK416">
        <v>40</v>
      </c>
      <c r="AL416" t="s">
        <v>652</v>
      </c>
      <c r="AM416" t="s">
        <v>653</v>
      </c>
      <c r="AN416" t="s">
        <v>654</v>
      </c>
      <c r="AO416" t="s">
        <v>74</v>
      </c>
      <c r="AP416" t="s">
        <v>8510</v>
      </c>
      <c r="AQ416" t="s">
        <v>74</v>
      </c>
      <c r="AR416" t="s">
        <v>8511</v>
      </c>
      <c r="AS416" t="s">
        <v>8512</v>
      </c>
      <c r="AT416" t="s">
        <v>74</v>
      </c>
      <c r="AU416">
        <v>2021</v>
      </c>
      <c r="AV416">
        <v>71</v>
      </c>
      <c r="AW416">
        <v>1</v>
      </c>
      <c r="AX416" t="s">
        <v>74</v>
      </c>
      <c r="AY416" t="s">
        <v>74</v>
      </c>
      <c r="AZ416" t="s">
        <v>74</v>
      </c>
      <c r="BA416" t="s">
        <v>74</v>
      </c>
      <c r="BB416">
        <v>66</v>
      </c>
      <c r="BC416">
        <v>91</v>
      </c>
      <c r="BD416" t="s">
        <v>74</v>
      </c>
      <c r="BE416" t="s">
        <v>8513</v>
      </c>
      <c r="BF416" t="str">
        <f>HYPERLINK("http://dx.doi.org/10.1071/ES20010","http://dx.doi.org/10.1071/ES20010")</f>
        <v>http://dx.doi.org/10.1071/ES20010</v>
      </c>
      <c r="BG416" t="s">
        <v>74</v>
      </c>
      <c r="BH416" t="s">
        <v>6407</v>
      </c>
      <c r="BI416">
        <v>26</v>
      </c>
      <c r="BJ416" t="s">
        <v>3271</v>
      </c>
      <c r="BK416" t="s">
        <v>101</v>
      </c>
      <c r="BL416" t="s">
        <v>3271</v>
      </c>
      <c r="BM416" t="s">
        <v>8514</v>
      </c>
      <c r="BN416" t="s">
        <v>74</v>
      </c>
      <c r="BO416" t="s">
        <v>1998</v>
      </c>
      <c r="BP416" t="s">
        <v>74</v>
      </c>
      <c r="BQ416" t="s">
        <v>74</v>
      </c>
      <c r="BR416" t="s">
        <v>104</v>
      </c>
      <c r="BS416" t="s">
        <v>8515</v>
      </c>
      <c r="BT416" t="str">
        <f>HYPERLINK("https%3A%2F%2Fwww.webofscience.com%2Fwos%2Fwoscc%2Ffull-record%2FWOS:000630123900001","View Full Record in Web of Science")</f>
        <v>View Full Record in Web of Science</v>
      </c>
    </row>
    <row r="417" spans="1:72" x14ac:dyDescent="0.15">
      <c r="A417" t="s">
        <v>72</v>
      </c>
      <c r="B417" t="s">
        <v>8516</v>
      </c>
      <c r="C417" t="s">
        <v>74</v>
      </c>
      <c r="D417" t="s">
        <v>74</v>
      </c>
      <c r="E417" t="s">
        <v>74</v>
      </c>
      <c r="F417" t="s">
        <v>8517</v>
      </c>
      <c r="G417" t="s">
        <v>74</v>
      </c>
      <c r="H417" t="s">
        <v>74</v>
      </c>
      <c r="I417" t="s">
        <v>8518</v>
      </c>
      <c r="J417" t="s">
        <v>1692</v>
      </c>
      <c r="K417" t="s">
        <v>74</v>
      </c>
      <c r="L417" t="s">
        <v>74</v>
      </c>
      <c r="M417" t="s">
        <v>78</v>
      </c>
      <c r="N417" t="s">
        <v>79</v>
      </c>
      <c r="O417" t="s">
        <v>74</v>
      </c>
      <c r="P417" t="s">
        <v>74</v>
      </c>
      <c r="Q417" t="s">
        <v>74</v>
      </c>
      <c r="R417" t="s">
        <v>74</v>
      </c>
      <c r="S417" t="s">
        <v>74</v>
      </c>
      <c r="T417" t="s">
        <v>74</v>
      </c>
      <c r="U417" t="s">
        <v>8519</v>
      </c>
      <c r="V417" t="s">
        <v>8520</v>
      </c>
      <c r="W417" t="s">
        <v>8521</v>
      </c>
      <c r="X417" t="s">
        <v>8522</v>
      </c>
      <c r="Y417" t="s">
        <v>8523</v>
      </c>
      <c r="Z417" t="s">
        <v>8524</v>
      </c>
      <c r="AA417" t="s">
        <v>8525</v>
      </c>
      <c r="AB417" t="s">
        <v>8526</v>
      </c>
      <c r="AC417" t="s">
        <v>8527</v>
      </c>
      <c r="AD417" t="s">
        <v>8528</v>
      </c>
      <c r="AE417" t="s">
        <v>8529</v>
      </c>
      <c r="AF417" t="s">
        <v>74</v>
      </c>
      <c r="AG417">
        <v>64</v>
      </c>
      <c r="AH417">
        <v>27</v>
      </c>
      <c r="AI417">
        <v>29</v>
      </c>
      <c r="AJ417">
        <v>1</v>
      </c>
      <c r="AK417">
        <v>27</v>
      </c>
      <c r="AL417" t="s">
        <v>3620</v>
      </c>
      <c r="AM417" t="s">
        <v>862</v>
      </c>
      <c r="AN417" t="s">
        <v>863</v>
      </c>
      <c r="AO417" t="s">
        <v>1704</v>
      </c>
      <c r="AP417" t="s">
        <v>74</v>
      </c>
      <c r="AQ417" t="s">
        <v>74</v>
      </c>
      <c r="AR417" t="s">
        <v>1705</v>
      </c>
      <c r="AS417" t="s">
        <v>1706</v>
      </c>
      <c r="AT417" t="s">
        <v>8437</v>
      </c>
      <c r="AU417">
        <v>2021</v>
      </c>
      <c r="AV417">
        <v>12</v>
      </c>
      <c r="AW417">
        <v>1</v>
      </c>
      <c r="AX417" t="s">
        <v>74</v>
      </c>
      <c r="AY417" t="s">
        <v>74</v>
      </c>
      <c r="AZ417" t="s">
        <v>74</v>
      </c>
      <c r="BA417" t="s">
        <v>74</v>
      </c>
      <c r="BB417" t="s">
        <v>74</v>
      </c>
      <c r="BC417" t="s">
        <v>74</v>
      </c>
      <c r="BD417">
        <v>1685</v>
      </c>
      <c r="BE417" t="s">
        <v>8530</v>
      </c>
      <c r="BF417" t="str">
        <f>HYPERLINK("http://dx.doi.org/10.1038/s41467-021-21760-w","http://dx.doi.org/10.1038/s41467-021-21760-w")</f>
        <v>http://dx.doi.org/10.1038/s41467-021-21760-w</v>
      </c>
      <c r="BG417" t="s">
        <v>74</v>
      </c>
      <c r="BH417" t="s">
        <v>74</v>
      </c>
      <c r="BI417">
        <v>11</v>
      </c>
      <c r="BJ417" t="s">
        <v>555</v>
      </c>
      <c r="BK417" t="s">
        <v>101</v>
      </c>
      <c r="BL417" t="s">
        <v>556</v>
      </c>
      <c r="BM417" t="s">
        <v>8531</v>
      </c>
      <c r="BN417">
        <v>33727553</v>
      </c>
      <c r="BO417" t="s">
        <v>1319</v>
      </c>
      <c r="BP417" t="s">
        <v>74</v>
      </c>
      <c r="BQ417" t="s">
        <v>74</v>
      </c>
      <c r="BR417" t="s">
        <v>104</v>
      </c>
      <c r="BS417" t="s">
        <v>8532</v>
      </c>
      <c r="BT417" t="str">
        <f>HYPERLINK("https%3A%2F%2Fwww.webofscience.com%2Fwos%2Fwoscc%2Ffull-record%2FWOS:000629990000005","View Full Record in Web of Science")</f>
        <v>View Full Record in Web of Science</v>
      </c>
    </row>
    <row r="418" spans="1:72" x14ac:dyDescent="0.15">
      <c r="A418" t="s">
        <v>72</v>
      </c>
      <c r="B418" t="s">
        <v>8533</v>
      </c>
      <c r="C418" t="s">
        <v>74</v>
      </c>
      <c r="D418" t="s">
        <v>74</v>
      </c>
      <c r="E418" t="s">
        <v>74</v>
      </c>
      <c r="F418" t="s">
        <v>8534</v>
      </c>
      <c r="G418" t="s">
        <v>74</v>
      </c>
      <c r="H418" t="s">
        <v>74</v>
      </c>
      <c r="I418" t="s">
        <v>8535</v>
      </c>
      <c r="J418" t="s">
        <v>1833</v>
      </c>
      <c r="K418" t="s">
        <v>74</v>
      </c>
      <c r="L418" t="s">
        <v>74</v>
      </c>
      <c r="M418" t="s">
        <v>78</v>
      </c>
      <c r="N418" t="s">
        <v>79</v>
      </c>
      <c r="O418" t="s">
        <v>74</v>
      </c>
      <c r="P418" t="s">
        <v>74</v>
      </c>
      <c r="Q418" t="s">
        <v>74</v>
      </c>
      <c r="R418" t="s">
        <v>74</v>
      </c>
      <c r="S418" t="s">
        <v>74</v>
      </c>
      <c r="T418" t="s">
        <v>8536</v>
      </c>
      <c r="U418" t="s">
        <v>8537</v>
      </c>
      <c r="V418" t="s">
        <v>8538</v>
      </c>
      <c r="W418" t="s">
        <v>8539</v>
      </c>
      <c r="X418" t="s">
        <v>8540</v>
      </c>
      <c r="Y418" t="s">
        <v>8541</v>
      </c>
      <c r="Z418" t="s">
        <v>8542</v>
      </c>
      <c r="AA418" t="s">
        <v>74</v>
      </c>
      <c r="AB418" t="s">
        <v>8543</v>
      </c>
      <c r="AC418" t="s">
        <v>8544</v>
      </c>
      <c r="AD418" t="s">
        <v>8544</v>
      </c>
      <c r="AE418" t="s">
        <v>8545</v>
      </c>
      <c r="AF418" t="s">
        <v>74</v>
      </c>
      <c r="AG418">
        <v>71</v>
      </c>
      <c r="AH418">
        <v>8</v>
      </c>
      <c r="AI418">
        <v>8</v>
      </c>
      <c r="AJ418">
        <v>1</v>
      </c>
      <c r="AK418">
        <v>12</v>
      </c>
      <c r="AL418" t="s">
        <v>917</v>
      </c>
      <c r="AM418" t="s">
        <v>390</v>
      </c>
      <c r="AN418" t="s">
        <v>918</v>
      </c>
      <c r="AO418" t="s">
        <v>1846</v>
      </c>
      <c r="AP418" t="s">
        <v>1847</v>
      </c>
      <c r="AQ418" t="s">
        <v>74</v>
      </c>
      <c r="AR418" t="s">
        <v>1848</v>
      </c>
      <c r="AS418" t="s">
        <v>1849</v>
      </c>
      <c r="AT418" t="s">
        <v>8437</v>
      </c>
      <c r="AU418">
        <v>2021</v>
      </c>
      <c r="AV418">
        <v>126</v>
      </c>
      <c r="AW418">
        <v>5</v>
      </c>
      <c r="AX418" t="s">
        <v>74</v>
      </c>
      <c r="AY418" t="s">
        <v>74</v>
      </c>
      <c r="AZ418" t="s">
        <v>74</v>
      </c>
      <c r="BA418" t="s">
        <v>74</v>
      </c>
      <c r="BB418" t="s">
        <v>74</v>
      </c>
      <c r="BC418" t="s">
        <v>74</v>
      </c>
      <c r="BD418" t="s">
        <v>8546</v>
      </c>
      <c r="BE418" t="s">
        <v>8547</v>
      </c>
      <c r="BF418" t="str">
        <f>HYPERLINK("http://dx.doi.org/10.1029/2020JD033140","http://dx.doi.org/10.1029/2020JD033140")</f>
        <v>http://dx.doi.org/10.1029/2020JD033140</v>
      </c>
      <c r="BG418" t="s">
        <v>74</v>
      </c>
      <c r="BH418" t="s">
        <v>74</v>
      </c>
      <c r="BI418">
        <v>17</v>
      </c>
      <c r="BJ418" t="s">
        <v>129</v>
      </c>
      <c r="BK418" t="s">
        <v>101</v>
      </c>
      <c r="BL418" t="s">
        <v>129</v>
      </c>
      <c r="BM418" t="s">
        <v>8548</v>
      </c>
      <c r="BN418" t="s">
        <v>74</v>
      </c>
      <c r="BO418" t="s">
        <v>398</v>
      </c>
      <c r="BP418" t="s">
        <v>74</v>
      </c>
      <c r="BQ418" t="s">
        <v>74</v>
      </c>
      <c r="BR418" t="s">
        <v>104</v>
      </c>
      <c r="BS418" t="s">
        <v>8549</v>
      </c>
      <c r="BT418" t="str">
        <f>HYPERLINK("https%3A%2F%2Fwww.webofscience.com%2Fwos%2Fwoscc%2Ffull-record%2FWOS:000629772000017","View Full Record in Web of Science")</f>
        <v>View Full Record in Web of Science</v>
      </c>
    </row>
    <row r="419" spans="1:72" x14ac:dyDescent="0.15">
      <c r="A419" t="s">
        <v>72</v>
      </c>
      <c r="B419" t="s">
        <v>8550</v>
      </c>
      <c r="C419" t="s">
        <v>74</v>
      </c>
      <c r="D419" t="s">
        <v>74</v>
      </c>
      <c r="E419" t="s">
        <v>74</v>
      </c>
      <c r="F419" t="s">
        <v>8551</v>
      </c>
      <c r="G419" t="s">
        <v>74</v>
      </c>
      <c r="H419" t="s">
        <v>74</v>
      </c>
      <c r="I419" t="s">
        <v>8552</v>
      </c>
      <c r="J419" t="s">
        <v>1833</v>
      </c>
      <c r="K419" t="s">
        <v>74</v>
      </c>
      <c r="L419" t="s">
        <v>74</v>
      </c>
      <c r="M419" t="s">
        <v>78</v>
      </c>
      <c r="N419" t="s">
        <v>79</v>
      </c>
      <c r="O419" t="s">
        <v>74</v>
      </c>
      <c r="P419" t="s">
        <v>74</v>
      </c>
      <c r="Q419" t="s">
        <v>74</v>
      </c>
      <c r="R419" t="s">
        <v>74</v>
      </c>
      <c r="S419" t="s">
        <v>74</v>
      </c>
      <c r="T419" t="s">
        <v>8553</v>
      </c>
      <c r="U419" t="s">
        <v>74</v>
      </c>
      <c r="V419" t="s">
        <v>8554</v>
      </c>
      <c r="W419" t="s">
        <v>8555</v>
      </c>
      <c r="X419" t="s">
        <v>8556</v>
      </c>
      <c r="Y419" t="s">
        <v>8557</v>
      </c>
      <c r="Z419" t="s">
        <v>8558</v>
      </c>
      <c r="AA419" t="s">
        <v>74</v>
      </c>
      <c r="AB419" t="s">
        <v>8559</v>
      </c>
      <c r="AC419" t="s">
        <v>8560</v>
      </c>
      <c r="AD419" t="s">
        <v>8560</v>
      </c>
      <c r="AE419" t="s">
        <v>8561</v>
      </c>
      <c r="AF419" t="s">
        <v>74</v>
      </c>
      <c r="AG419">
        <v>61</v>
      </c>
      <c r="AH419">
        <v>9</v>
      </c>
      <c r="AI419">
        <v>9</v>
      </c>
      <c r="AJ419">
        <v>0</v>
      </c>
      <c r="AK419">
        <v>26</v>
      </c>
      <c r="AL419" t="s">
        <v>917</v>
      </c>
      <c r="AM419" t="s">
        <v>390</v>
      </c>
      <c r="AN419" t="s">
        <v>918</v>
      </c>
      <c r="AO419" t="s">
        <v>1846</v>
      </c>
      <c r="AP419" t="s">
        <v>1847</v>
      </c>
      <c r="AQ419" t="s">
        <v>74</v>
      </c>
      <c r="AR419" t="s">
        <v>1848</v>
      </c>
      <c r="AS419" t="s">
        <v>1849</v>
      </c>
      <c r="AT419" t="s">
        <v>8437</v>
      </c>
      <c r="AU419">
        <v>2021</v>
      </c>
      <c r="AV419">
        <v>126</v>
      </c>
      <c r="AW419">
        <v>5</v>
      </c>
      <c r="AX419" t="s">
        <v>74</v>
      </c>
      <c r="AY419" t="s">
        <v>74</v>
      </c>
      <c r="AZ419" t="s">
        <v>74</v>
      </c>
      <c r="BA419" t="s">
        <v>74</v>
      </c>
      <c r="BB419" t="s">
        <v>74</v>
      </c>
      <c r="BC419" t="s">
        <v>74</v>
      </c>
      <c r="BD419" t="s">
        <v>8562</v>
      </c>
      <c r="BE419" t="s">
        <v>8563</v>
      </c>
      <c r="BF419" t="str">
        <f>HYPERLINK("http://dx.doi.org/10.1029/2020JD034161","http://dx.doi.org/10.1029/2020JD034161")</f>
        <v>http://dx.doi.org/10.1029/2020JD034161</v>
      </c>
      <c r="BG419" t="s">
        <v>74</v>
      </c>
      <c r="BH419" t="s">
        <v>74</v>
      </c>
      <c r="BI419">
        <v>20</v>
      </c>
      <c r="BJ419" t="s">
        <v>129</v>
      </c>
      <c r="BK419" t="s">
        <v>101</v>
      </c>
      <c r="BL419" t="s">
        <v>129</v>
      </c>
      <c r="BM419" t="s">
        <v>8548</v>
      </c>
      <c r="BN419" t="s">
        <v>74</v>
      </c>
      <c r="BO419" t="s">
        <v>496</v>
      </c>
      <c r="BP419" t="s">
        <v>74</v>
      </c>
      <c r="BQ419" t="s">
        <v>74</v>
      </c>
      <c r="BR419" t="s">
        <v>104</v>
      </c>
      <c r="BS419" t="s">
        <v>8564</v>
      </c>
      <c r="BT419" t="str">
        <f>HYPERLINK("https%3A%2F%2Fwww.webofscience.com%2Fwos%2Fwoscc%2Ffull-record%2FWOS:000629772000006","View Full Record in Web of Science")</f>
        <v>View Full Record in Web of Science</v>
      </c>
    </row>
    <row r="420" spans="1:72" x14ac:dyDescent="0.15">
      <c r="A420" t="s">
        <v>72</v>
      </c>
      <c r="B420" t="s">
        <v>8565</v>
      </c>
      <c r="C420" t="s">
        <v>74</v>
      </c>
      <c r="D420" t="s">
        <v>74</v>
      </c>
      <c r="E420" t="s">
        <v>74</v>
      </c>
      <c r="F420" t="s">
        <v>8566</v>
      </c>
      <c r="G420" t="s">
        <v>74</v>
      </c>
      <c r="H420" t="s">
        <v>74</v>
      </c>
      <c r="I420" t="s">
        <v>8567</v>
      </c>
      <c r="J420" t="s">
        <v>8498</v>
      </c>
      <c r="K420" t="s">
        <v>74</v>
      </c>
      <c r="L420" t="s">
        <v>74</v>
      </c>
      <c r="M420" t="s">
        <v>78</v>
      </c>
      <c r="N420" t="s">
        <v>79</v>
      </c>
      <c r="O420" t="s">
        <v>74</v>
      </c>
      <c r="P420" t="s">
        <v>74</v>
      </c>
      <c r="Q420" t="s">
        <v>74</v>
      </c>
      <c r="R420" t="s">
        <v>74</v>
      </c>
      <c r="S420" t="s">
        <v>74</v>
      </c>
      <c r="T420" t="s">
        <v>8568</v>
      </c>
      <c r="U420" t="s">
        <v>8569</v>
      </c>
      <c r="V420" t="s">
        <v>8570</v>
      </c>
      <c r="W420" t="s">
        <v>8571</v>
      </c>
      <c r="X420" t="s">
        <v>8572</v>
      </c>
      <c r="Y420" t="s">
        <v>8573</v>
      </c>
      <c r="Z420" t="s">
        <v>1986</v>
      </c>
      <c r="AA420" t="s">
        <v>8574</v>
      </c>
      <c r="AB420" t="s">
        <v>8575</v>
      </c>
      <c r="AC420" t="s">
        <v>8576</v>
      </c>
      <c r="AD420" t="s">
        <v>8577</v>
      </c>
      <c r="AE420" t="s">
        <v>8578</v>
      </c>
      <c r="AF420" t="s">
        <v>74</v>
      </c>
      <c r="AG420">
        <v>50</v>
      </c>
      <c r="AH420">
        <v>9</v>
      </c>
      <c r="AI420">
        <v>9</v>
      </c>
      <c r="AJ420">
        <v>1</v>
      </c>
      <c r="AK420">
        <v>2</v>
      </c>
      <c r="AL420" t="s">
        <v>652</v>
      </c>
      <c r="AM420" t="s">
        <v>653</v>
      </c>
      <c r="AN420" t="s">
        <v>654</v>
      </c>
      <c r="AO420" t="s">
        <v>74</v>
      </c>
      <c r="AP420" t="s">
        <v>8510</v>
      </c>
      <c r="AQ420" t="s">
        <v>74</v>
      </c>
      <c r="AR420" t="s">
        <v>8511</v>
      </c>
      <c r="AS420" t="s">
        <v>8512</v>
      </c>
      <c r="AT420" t="s">
        <v>74</v>
      </c>
      <c r="AU420">
        <v>2021</v>
      </c>
      <c r="AV420">
        <v>71</v>
      </c>
      <c r="AW420">
        <v>1</v>
      </c>
      <c r="AX420" t="s">
        <v>74</v>
      </c>
      <c r="AY420" t="s">
        <v>74</v>
      </c>
      <c r="AZ420" t="s">
        <v>74</v>
      </c>
      <c r="BA420" t="s">
        <v>74</v>
      </c>
      <c r="BB420">
        <v>92</v>
      </c>
      <c r="BC420">
        <v>109</v>
      </c>
      <c r="BD420" t="s">
        <v>74</v>
      </c>
      <c r="BE420" t="s">
        <v>8579</v>
      </c>
      <c r="BF420" t="str">
        <f>HYPERLINK("http://dx.doi.org/10.1071/ES20003","http://dx.doi.org/10.1071/ES20003")</f>
        <v>http://dx.doi.org/10.1071/ES20003</v>
      </c>
      <c r="BG420" t="s">
        <v>74</v>
      </c>
      <c r="BH420" t="s">
        <v>6407</v>
      </c>
      <c r="BI420">
        <v>18</v>
      </c>
      <c r="BJ420" t="s">
        <v>3271</v>
      </c>
      <c r="BK420" t="s">
        <v>101</v>
      </c>
      <c r="BL420" t="s">
        <v>3271</v>
      </c>
      <c r="BM420" t="s">
        <v>8514</v>
      </c>
      <c r="BN420" t="s">
        <v>74</v>
      </c>
      <c r="BO420" t="s">
        <v>8580</v>
      </c>
      <c r="BP420" t="s">
        <v>74</v>
      </c>
      <c r="BQ420" t="s">
        <v>74</v>
      </c>
      <c r="BR420" t="s">
        <v>104</v>
      </c>
      <c r="BS420" t="s">
        <v>8581</v>
      </c>
      <c r="BT420" t="str">
        <f>HYPERLINK("https%3A%2F%2Fwww.webofscience.com%2Fwos%2Fwoscc%2Ffull-record%2FWOS:000630123300001","View Full Record in Web of Science")</f>
        <v>View Full Record in Web of Science</v>
      </c>
    </row>
    <row r="421" spans="1:72" x14ac:dyDescent="0.15">
      <c r="A421" t="s">
        <v>72</v>
      </c>
      <c r="B421" t="s">
        <v>8582</v>
      </c>
      <c r="C421" t="s">
        <v>74</v>
      </c>
      <c r="D421" t="s">
        <v>74</v>
      </c>
      <c r="E421" t="s">
        <v>74</v>
      </c>
      <c r="F421" t="s">
        <v>8583</v>
      </c>
      <c r="G421" t="s">
        <v>74</v>
      </c>
      <c r="H421" t="s">
        <v>74</v>
      </c>
      <c r="I421" t="s">
        <v>8584</v>
      </c>
      <c r="J421" t="s">
        <v>8585</v>
      </c>
      <c r="K421" t="s">
        <v>74</v>
      </c>
      <c r="L421" t="s">
        <v>74</v>
      </c>
      <c r="M421" t="s">
        <v>78</v>
      </c>
      <c r="N421" t="s">
        <v>79</v>
      </c>
      <c r="O421" t="s">
        <v>74</v>
      </c>
      <c r="P421" t="s">
        <v>74</v>
      </c>
      <c r="Q421" t="s">
        <v>74</v>
      </c>
      <c r="R421" t="s">
        <v>74</v>
      </c>
      <c r="S421" t="s">
        <v>74</v>
      </c>
      <c r="T421" t="s">
        <v>8586</v>
      </c>
      <c r="U421" t="s">
        <v>8587</v>
      </c>
      <c r="V421" t="s">
        <v>8588</v>
      </c>
      <c r="W421" t="s">
        <v>8589</v>
      </c>
      <c r="X421" t="s">
        <v>8590</v>
      </c>
      <c r="Y421" t="s">
        <v>8591</v>
      </c>
      <c r="Z421" t="s">
        <v>8592</v>
      </c>
      <c r="AA421" t="s">
        <v>8593</v>
      </c>
      <c r="AB421" t="s">
        <v>8594</v>
      </c>
      <c r="AC421" t="s">
        <v>8595</v>
      </c>
      <c r="AD421" t="s">
        <v>8596</v>
      </c>
      <c r="AE421" t="s">
        <v>8597</v>
      </c>
      <c r="AF421" t="s">
        <v>74</v>
      </c>
      <c r="AG421">
        <v>32</v>
      </c>
      <c r="AH421">
        <v>10</v>
      </c>
      <c r="AI421">
        <v>10</v>
      </c>
      <c r="AJ421">
        <v>7</v>
      </c>
      <c r="AK421">
        <v>16</v>
      </c>
      <c r="AL421" t="s">
        <v>8598</v>
      </c>
      <c r="AM421" t="s">
        <v>8599</v>
      </c>
      <c r="AN421" t="s">
        <v>8600</v>
      </c>
      <c r="AO421" t="s">
        <v>8601</v>
      </c>
      <c r="AP421" t="s">
        <v>8602</v>
      </c>
      <c r="AQ421" t="s">
        <v>74</v>
      </c>
      <c r="AR421" t="s">
        <v>8603</v>
      </c>
      <c r="AS421" t="s">
        <v>8604</v>
      </c>
      <c r="AT421" t="s">
        <v>1035</v>
      </c>
      <c r="AU421">
        <v>2021</v>
      </c>
      <c r="AV421">
        <v>195</v>
      </c>
      <c r="AW421">
        <v>3</v>
      </c>
      <c r="AX421" t="s">
        <v>74</v>
      </c>
      <c r="AY421" t="s">
        <v>74</v>
      </c>
      <c r="AZ421" t="s">
        <v>74</v>
      </c>
      <c r="BA421" t="s">
        <v>74</v>
      </c>
      <c r="BB421">
        <v>523</v>
      </c>
      <c r="BC421">
        <v>540</v>
      </c>
      <c r="BD421" t="s">
        <v>74</v>
      </c>
      <c r="BE421" t="s">
        <v>8605</v>
      </c>
      <c r="BF421" t="str">
        <f>HYPERLINK("http://dx.doi.org/10.1007/s00605-021-01539-3","http://dx.doi.org/10.1007/s00605-021-01539-3")</f>
        <v>http://dx.doi.org/10.1007/s00605-021-01539-3</v>
      </c>
      <c r="BG421" t="s">
        <v>74</v>
      </c>
      <c r="BH421" t="s">
        <v>6407</v>
      </c>
      <c r="BI421">
        <v>18</v>
      </c>
      <c r="BJ421" t="s">
        <v>2750</v>
      </c>
      <c r="BK421" t="s">
        <v>101</v>
      </c>
      <c r="BL421" t="s">
        <v>2750</v>
      </c>
      <c r="BM421" t="s">
        <v>8606</v>
      </c>
      <c r="BN421" t="s">
        <v>74</v>
      </c>
      <c r="BO421" t="s">
        <v>74</v>
      </c>
      <c r="BP421" t="s">
        <v>74</v>
      </c>
      <c r="BQ421" t="s">
        <v>74</v>
      </c>
      <c r="BR421" t="s">
        <v>104</v>
      </c>
      <c r="BS421" t="s">
        <v>8607</v>
      </c>
      <c r="BT421" t="str">
        <f>HYPERLINK("https%3A%2F%2Fwww.webofscience.com%2Fwos%2Fwoscc%2Ffull-record%2FWOS:000629088600002","View Full Record in Web of Science")</f>
        <v>View Full Record in Web of Science</v>
      </c>
    </row>
    <row r="422" spans="1:72" x14ac:dyDescent="0.15">
      <c r="A422" t="s">
        <v>72</v>
      </c>
      <c r="B422" t="s">
        <v>8608</v>
      </c>
      <c r="C422" t="s">
        <v>74</v>
      </c>
      <c r="D422" t="s">
        <v>74</v>
      </c>
      <c r="E422" t="s">
        <v>74</v>
      </c>
      <c r="F422" t="s">
        <v>8609</v>
      </c>
      <c r="G422" t="s">
        <v>74</v>
      </c>
      <c r="H422" t="s">
        <v>74</v>
      </c>
      <c r="I422" t="s">
        <v>8610</v>
      </c>
      <c r="J422" t="s">
        <v>2779</v>
      </c>
      <c r="K422" t="s">
        <v>74</v>
      </c>
      <c r="L422" t="s">
        <v>74</v>
      </c>
      <c r="M422" t="s">
        <v>78</v>
      </c>
      <c r="N422" t="s">
        <v>79</v>
      </c>
      <c r="O422" t="s">
        <v>74</v>
      </c>
      <c r="P422" t="s">
        <v>74</v>
      </c>
      <c r="Q422" t="s">
        <v>74</v>
      </c>
      <c r="R422" t="s">
        <v>74</v>
      </c>
      <c r="S422" t="s">
        <v>74</v>
      </c>
      <c r="T422" t="s">
        <v>8611</v>
      </c>
      <c r="U422" t="s">
        <v>8612</v>
      </c>
      <c r="V422" t="s">
        <v>8613</v>
      </c>
      <c r="W422" t="s">
        <v>8614</v>
      </c>
      <c r="X422" t="s">
        <v>8615</v>
      </c>
      <c r="Y422" t="s">
        <v>8616</v>
      </c>
      <c r="Z422" t="s">
        <v>8617</v>
      </c>
      <c r="AA422" t="s">
        <v>8618</v>
      </c>
      <c r="AB422" t="s">
        <v>8619</v>
      </c>
      <c r="AC422" t="s">
        <v>8620</v>
      </c>
      <c r="AD422" t="s">
        <v>8621</v>
      </c>
      <c r="AE422" t="s">
        <v>8622</v>
      </c>
      <c r="AF422" t="s">
        <v>74</v>
      </c>
      <c r="AG422">
        <v>92</v>
      </c>
      <c r="AH422">
        <v>15</v>
      </c>
      <c r="AI422">
        <v>15</v>
      </c>
      <c r="AJ422">
        <v>1</v>
      </c>
      <c r="AK422">
        <v>11</v>
      </c>
      <c r="AL422" t="s">
        <v>576</v>
      </c>
      <c r="AM422" t="s">
        <v>577</v>
      </c>
      <c r="AN422" t="s">
        <v>578</v>
      </c>
      <c r="AO422" t="s">
        <v>2791</v>
      </c>
      <c r="AP422" t="s">
        <v>2792</v>
      </c>
      <c r="AQ422" t="s">
        <v>74</v>
      </c>
      <c r="AR422" t="s">
        <v>2779</v>
      </c>
      <c r="AS422" t="s">
        <v>2793</v>
      </c>
      <c r="AT422" t="s">
        <v>8623</v>
      </c>
      <c r="AU422">
        <v>2021</v>
      </c>
      <c r="AV422">
        <v>539</v>
      </c>
      <c r="AW422" t="s">
        <v>74</v>
      </c>
      <c r="AX422" t="s">
        <v>74</v>
      </c>
      <c r="AY422" t="s">
        <v>74</v>
      </c>
      <c r="AZ422" t="s">
        <v>74</v>
      </c>
      <c r="BA422" t="s">
        <v>74</v>
      </c>
      <c r="BB422" t="s">
        <v>74</v>
      </c>
      <c r="BC422" t="s">
        <v>74</v>
      </c>
      <c r="BD422">
        <v>736584</v>
      </c>
      <c r="BE422" t="s">
        <v>8624</v>
      </c>
      <c r="BF422" t="str">
        <f>HYPERLINK("http://dx.doi.org/10.1016/j.aquaculture.2021.736584","http://dx.doi.org/10.1016/j.aquaculture.2021.736584")</f>
        <v>http://dx.doi.org/10.1016/j.aquaculture.2021.736584</v>
      </c>
      <c r="BG422" t="s">
        <v>74</v>
      </c>
      <c r="BH422" t="s">
        <v>6407</v>
      </c>
      <c r="BI422">
        <v>14</v>
      </c>
      <c r="BJ422" t="s">
        <v>1811</v>
      </c>
      <c r="BK422" t="s">
        <v>101</v>
      </c>
      <c r="BL422" t="s">
        <v>1811</v>
      </c>
      <c r="BM422" t="s">
        <v>8625</v>
      </c>
      <c r="BN422" t="s">
        <v>74</v>
      </c>
      <c r="BO422" t="s">
        <v>74</v>
      </c>
      <c r="BP422" t="s">
        <v>74</v>
      </c>
      <c r="BQ422" t="s">
        <v>74</v>
      </c>
      <c r="BR422" t="s">
        <v>104</v>
      </c>
      <c r="BS422" t="s">
        <v>8626</v>
      </c>
      <c r="BT422" t="str">
        <f>HYPERLINK("https%3A%2F%2Fwww.webofscience.com%2Fwos%2Fwoscc%2Ffull-record%2FWOS:000647594300005","View Full Record in Web of Science")</f>
        <v>View Full Record in Web of Science</v>
      </c>
    </row>
    <row r="423" spans="1:72" x14ac:dyDescent="0.15">
      <c r="A423" t="s">
        <v>72</v>
      </c>
      <c r="B423" t="s">
        <v>8627</v>
      </c>
      <c r="C423" t="s">
        <v>74</v>
      </c>
      <c r="D423" t="s">
        <v>74</v>
      </c>
      <c r="E423" t="s">
        <v>74</v>
      </c>
      <c r="F423" t="s">
        <v>8628</v>
      </c>
      <c r="G423" t="s">
        <v>74</v>
      </c>
      <c r="H423" t="s">
        <v>74</v>
      </c>
      <c r="I423" t="s">
        <v>8629</v>
      </c>
      <c r="J423" t="s">
        <v>8630</v>
      </c>
      <c r="K423" t="s">
        <v>74</v>
      </c>
      <c r="L423" t="s">
        <v>74</v>
      </c>
      <c r="M423" t="s">
        <v>78</v>
      </c>
      <c r="N423" t="s">
        <v>79</v>
      </c>
      <c r="O423" t="s">
        <v>74</v>
      </c>
      <c r="P423" t="s">
        <v>74</v>
      </c>
      <c r="Q423" t="s">
        <v>74</v>
      </c>
      <c r="R423" t="s">
        <v>74</v>
      </c>
      <c r="S423" t="s">
        <v>74</v>
      </c>
      <c r="T423" t="s">
        <v>74</v>
      </c>
      <c r="U423" t="s">
        <v>8631</v>
      </c>
      <c r="V423" t="s">
        <v>8632</v>
      </c>
      <c r="W423" t="s">
        <v>8633</v>
      </c>
      <c r="X423" t="s">
        <v>8634</v>
      </c>
      <c r="Y423" t="s">
        <v>8635</v>
      </c>
      <c r="Z423" t="s">
        <v>8636</v>
      </c>
      <c r="AA423" t="s">
        <v>8637</v>
      </c>
      <c r="AB423" t="s">
        <v>8638</v>
      </c>
      <c r="AC423" t="s">
        <v>8639</v>
      </c>
      <c r="AD423" t="s">
        <v>8640</v>
      </c>
      <c r="AE423" t="s">
        <v>8641</v>
      </c>
      <c r="AF423" t="s">
        <v>74</v>
      </c>
      <c r="AG423">
        <v>101</v>
      </c>
      <c r="AH423">
        <v>36</v>
      </c>
      <c r="AI423">
        <v>36</v>
      </c>
      <c r="AJ423">
        <v>3</v>
      </c>
      <c r="AK423">
        <v>31</v>
      </c>
      <c r="AL423" t="s">
        <v>1269</v>
      </c>
      <c r="AM423" t="s">
        <v>1270</v>
      </c>
      <c r="AN423" t="s">
        <v>1271</v>
      </c>
      <c r="AO423" t="s">
        <v>8642</v>
      </c>
      <c r="AP423" t="s">
        <v>8643</v>
      </c>
      <c r="AQ423" t="s">
        <v>74</v>
      </c>
      <c r="AR423" t="s">
        <v>8644</v>
      </c>
      <c r="AS423" t="s">
        <v>8645</v>
      </c>
      <c r="AT423" t="s">
        <v>8646</v>
      </c>
      <c r="AU423">
        <v>2021</v>
      </c>
      <c r="AV423">
        <v>17</v>
      </c>
      <c r="AW423">
        <v>2</v>
      </c>
      <c r="AX423" t="s">
        <v>74</v>
      </c>
      <c r="AY423" t="s">
        <v>74</v>
      </c>
      <c r="AZ423" t="s">
        <v>74</v>
      </c>
      <c r="BA423" t="s">
        <v>74</v>
      </c>
      <c r="BB423">
        <v>463</v>
      </c>
      <c r="BC423">
        <v>486</v>
      </c>
      <c r="BD423" t="s">
        <v>74</v>
      </c>
      <c r="BE423" t="s">
        <v>8647</v>
      </c>
      <c r="BF423" t="str">
        <f>HYPERLINK("http://dx.doi.org/10.5194/os-17-463-2021","http://dx.doi.org/10.5194/os-17-463-2021")</f>
        <v>http://dx.doi.org/10.5194/os-17-463-2021</v>
      </c>
      <c r="BG423" t="s">
        <v>74</v>
      </c>
      <c r="BH423" t="s">
        <v>74</v>
      </c>
      <c r="BI423">
        <v>24</v>
      </c>
      <c r="BJ423" t="s">
        <v>3271</v>
      </c>
      <c r="BK423" t="s">
        <v>101</v>
      </c>
      <c r="BL423" t="s">
        <v>3271</v>
      </c>
      <c r="BM423" t="s">
        <v>8648</v>
      </c>
      <c r="BN423" t="s">
        <v>74</v>
      </c>
      <c r="BO423" t="s">
        <v>1280</v>
      </c>
      <c r="BP423" t="s">
        <v>74</v>
      </c>
      <c r="BQ423" t="s">
        <v>74</v>
      </c>
      <c r="BR423" t="s">
        <v>104</v>
      </c>
      <c r="BS423" t="s">
        <v>8649</v>
      </c>
      <c r="BT423" t="str">
        <f>HYPERLINK("https%3A%2F%2Fwww.webofscience.com%2Fwos%2Fwoscc%2Ffull-record%2FWOS:000630177500001","View Full Record in Web of Science")</f>
        <v>View Full Record in Web of Science</v>
      </c>
    </row>
    <row r="424" spans="1:72" x14ac:dyDescent="0.15">
      <c r="A424" t="s">
        <v>72</v>
      </c>
      <c r="B424" t="s">
        <v>8650</v>
      </c>
      <c r="C424" t="s">
        <v>74</v>
      </c>
      <c r="D424" t="s">
        <v>74</v>
      </c>
      <c r="E424" t="s">
        <v>74</v>
      </c>
      <c r="F424" t="s">
        <v>8651</v>
      </c>
      <c r="G424" t="s">
        <v>74</v>
      </c>
      <c r="H424" t="s">
        <v>74</v>
      </c>
      <c r="I424" t="s">
        <v>8652</v>
      </c>
      <c r="J424" t="s">
        <v>8653</v>
      </c>
      <c r="K424" t="s">
        <v>74</v>
      </c>
      <c r="L424" t="s">
        <v>74</v>
      </c>
      <c r="M424" t="s">
        <v>78</v>
      </c>
      <c r="N424" t="s">
        <v>79</v>
      </c>
      <c r="O424" t="s">
        <v>74</v>
      </c>
      <c r="P424" t="s">
        <v>74</v>
      </c>
      <c r="Q424" t="s">
        <v>74</v>
      </c>
      <c r="R424" t="s">
        <v>74</v>
      </c>
      <c r="S424" t="s">
        <v>74</v>
      </c>
      <c r="T424" t="s">
        <v>8654</v>
      </c>
      <c r="U424" t="s">
        <v>8655</v>
      </c>
      <c r="V424" t="s">
        <v>8656</v>
      </c>
      <c r="W424" t="s">
        <v>8657</v>
      </c>
      <c r="X424" t="s">
        <v>8658</v>
      </c>
      <c r="Y424" t="s">
        <v>8659</v>
      </c>
      <c r="Z424" t="s">
        <v>8660</v>
      </c>
      <c r="AA424" t="s">
        <v>8661</v>
      </c>
      <c r="AB424" t="s">
        <v>74</v>
      </c>
      <c r="AC424" t="s">
        <v>8662</v>
      </c>
      <c r="AD424" t="s">
        <v>8663</v>
      </c>
      <c r="AE424" t="s">
        <v>8664</v>
      </c>
      <c r="AF424" t="s">
        <v>74</v>
      </c>
      <c r="AG424">
        <v>40</v>
      </c>
      <c r="AH424">
        <v>62</v>
      </c>
      <c r="AI424">
        <v>66</v>
      </c>
      <c r="AJ424">
        <v>17</v>
      </c>
      <c r="AK424">
        <v>163</v>
      </c>
      <c r="AL424" t="s">
        <v>890</v>
      </c>
      <c r="AM424" t="s">
        <v>891</v>
      </c>
      <c r="AN424" t="s">
        <v>892</v>
      </c>
      <c r="AO424" t="s">
        <v>8665</v>
      </c>
      <c r="AP424" t="s">
        <v>8666</v>
      </c>
      <c r="AQ424" t="s">
        <v>74</v>
      </c>
      <c r="AR424" t="s">
        <v>8667</v>
      </c>
      <c r="AS424" t="s">
        <v>8668</v>
      </c>
      <c r="AT424" t="s">
        <v>8646</v>
      </c>
      <c r="AU424">
        <v>2021</v>
      </c>
      <c r="AV424">
        <v>340</v>
      </c>
      <c r="AW424" t="s">
        <v>74</v>
      </c>
      <c r="AX424" t="s">
        <v>74</v>
      </c>
      <c r="AY424" t="s">
        <v>74</v>
      </c>
      <c r="AZ424" t="s">
        <v>74</v>
      </c>
      <c r="BA424" t="s">
        <v>74</v>
      </c>
      <c r="BB424" t="s">
        <v>74</v>
      </c>
      <c r="BC424" t="s">
        <v>74</v>
      </c>
      <c r="BD424">
        <v>128056</v>
      </c>
      <c r="BE424" t="s">
        <v>8669</v>
      </c>
      <c r="BF424" t="str">
        <f>HYPERLINK("http://dx.doi.org/10.1016/j.foodchem.2020.128056","http://dx.doi.org/10.1016/j.foodchem.2020.128056")</f>
        <v>http://dx.doi.org/10.1016/j.foodchem.2020.128056</v>
      </c>
      <c r="BG424" t="s">
        <v>74</v>
      </c>
      <c r="BH424" t="s">
        <v>74</v>
      </c>
      <c r="BI424">
        <v>7</v>
      </c>
      <c r="BJ424" t="s">
        <v>8670</v>
      </c>
      <c r="BK424" t="s">
        <v>101</v>
      </c>
      <c r="BL424" t="s">
        <v>8671</v>
      </c>
      <c r="BM424" t="s">
        <v>8672</v>
      </c>
      <c r="BN424">
        <v>33032152</v>
      </c>
      <c r="BO424" t="s">
        <v>74</v>
      </c>
      <c r="BP424" t="s">
        <v>74</v>
      </c>
      <c r="BQ424" t="s">
        <v>74</v>
      </c>
      <c r="BR424" t="s">
        <v>104</v>
      </c>
      <c r="BS424" t="s">
        <v>8673</v>
      </c>
      <c r="BT424" t="str">
        <f>HYPERLINK("https%3A%2F%2Fwww.webofscience.com%2Fwos%2Fwoscc%2Ffull-record%2FWOS:000593690000007","View Full Record in Web of Science")</f>
        <v>View Full Record in Web of Science</v>
      </c>
    </row>
    <row r="425" spans="1:72" x14ac:dyDescent="0.15">
      <c r="A425" t="s">
        <v>72</v>
      </c>
      <c r="B425" t="s">
        <v>8674</v>
      </c>
      <c r="C425" t="s">
        <v>74</v>
      </c>
      <c r="D425" t="s">
        <v>74</v>
      </c>
      <c r="E425" t="s">
        <v>74</v>
      </c>
      <c r="F425" t="s">
        <v>8675</v>
      </c>
      <c r="G425" t="s">
        <v>74</v>
      </c>
      <c r="H425" t="s">
        <v>74</v>
      </c>
      <c r="I425" t="s">
        <v>8676</v>
      </c>
      <c r="J425" t="s">
        <v>8677</v>
      </c>
      <c r="K425" t="s">
        <v>74</v>
      </c>
      <c r="L425" t="s">
        <v>74</v>
      </c>
      <c r="M425" t="s">
        <v>78</v>
      </c>
      <c r="N425" t="s">
        <v>79</v>
      </c>
      <c r="O425" t="s">
        <v>74</v>
      </c>
      <c r="P425" t="s">
        <v>74</v>
      </c>
      <c r="Q425" t="s">
        <v>74</v>
      </c>
      <c r="R425" t="s">
        <v>74</v>
      </c>
      <c r="S425" t="s">
        <v>74</v>
      </c>
      <c r="T425" t="s">
        <v>8678</v>
      </c>
      <c r="U425" t="s">
        <v>8679</v>
      </c>
      <c r="V425" t="s">
        <v>8680</v>
      </c>
      <c r="W425" t="s">
        <v>8681</v>
      </c>
      <c r="X425" t="s">
        <v>8682</v>
      </c>
      <c r="Y425" t="s">
        <v>8683</v>
      </c>
      <c r="Z425" t="s">
        <v>8684</v>
      </c>
      <c r="AA425" t="s">
        <v>8685</v>
      </c>
      <c r="AB425" t="s">
        <v>8686</v>
      </c>
      <c r="AC425" t="s">
        <v>8687</v>
      </c>
      <c r="AD425" t="s">
        <v>8688</v>
      </c>
      <c r="AE425" t="s">
        <v>8689</v>
      </c>
      <c r="AF425" t="s">
        <v>74</v>
      </c>
      <c r="AG425">
        <v>105</v>
      </c>
      <c r="AH425">
        <v>21</v>
      </c>
      <c r="AI425">
        <v>23</v>
      </c>
      <c r="AJ425">
        <v>4</v>
      </c>
      <c r="AK425">
        <v>64</v>
      </c>
      <c r="AL425" t="s">
        <v>576</v>
      </c>
      <c r="AM425" t="s">
        <v>577</v>
      </c>
      <c r="AN425" t="s">
        <v>578</v>
      </c>
      <c r="AO425" t="s">
        <v>8690</v>
      </c>
      <c r="AP425" t="s">
        <v>8691</v>
      </c>
      <c r="AQ425" t="s">
        <v>74</v>
      </c>
      <c r="AR425" t="s">
        <v>8692</v>
      </c>
      <c r="AS425" t="s">
        <v>8693</v>
      </c>
      <c r="AT425" t="s">
        <v>2232</v>
      </c>
      <c r="AU425">
        <v>2021</v>
      </c>
      <c r="AV425">
        <v>414</v>
      </c>
      <c r="AW425" t="s">
        <v>74</v>
      </c>
      <c r="AX425" t="s">
        <v>74</v>
      </c>
      <c r="AY425" t="s">
        <v>74</v>
      </c>
      <c r="AZ425" t="s">
        <v>74</v>
      </c>
      <c r="BA425" t="s">
        <v>74</v>
      </c>
      <c r="BB425" t="s">
        <v>74</v>
      </c>
      <c r="BC425" t="s">
        <v>74</v>
      </c>
      <c r="BD425">
        <v>125586</v>
      </c>
      <c r="BE425" t="s">
        <v>8694</v>
      </c>
      <c r="BF425" t="str">
        <f>HYPERLINK("http://dx.doi.org/10.1016/j.jhazmat.2021.125586","http://dx.doi.org/10.1016/j.jhazmat.2021.125586")</f>
        <v>http://dx.doi.org/10.1016/j.jhazmat.2021.125586</v>
      </c>
      <c r="BG425" t="s">
        <v>74</v>
      </c>
      <c r="BH425" t="s">
        <v>6407</v>
      </c>
      <c r="BI425">
        <v>13</v>
      </c>
      <c r="BJ425" t="s">
        <v>2483</v>
      </c>
      <c r="BK425" t="s">
        <v>101</v>
      </c>
      <c r="BL425" t="s">
        <v>2484</v>
      </c>
      <c r="BM425" t="s">
        <v>8695</v>
      </c>
      <c r="BN425">
        <v>34030422</v>
      </c>
      <c r="BO425" t="s">
        <v>74</v>
      </c>
      <c r="BP425" t="s">
        <v>74</v>
      </c>
      <c r="BQ425" t="s">
        <v>74</v>
      </c>
      <c r="BR425" t="s">
        <v>104</v>
      </c>
      <c r="BS425" t="s">
        <v>8696</v>
      </c>
      <c r="BT425" t="str">
        <f>HYPERLINK("https%3A%2F%2Fwww.webofscience.com%2Fwos%2Fwoscc%2Ffull-record%2FWOS:000653038400002","View Full Record in Web of Science")</f>
        <v>View Full Record in Web of Science</v>
      </c>
    </row>
    <row r="426" spans="1:72" x14ac:dyDescent="0.15">
      <c r="A426" t="s">
        <v>72</v>
      </c>
      <c r="B426" t="s">
        <v>8697</v>
      </c>
      <c r="C426" t="s">
        <v>74</v>
      </c>
      <c r="D426" t="s">
        <v>74</v>
      </c>
      <c r="E426" t="s">
        <v>74</v>
      </c>
      <c r="F426" t="s">
        <v>8698</v>
      </c>
      <c r="G426" t="s">
        <v>74</v>
      </c>
      <c r="H426" t="s">
        <v>74</v>
      </c>
      <c r="I426" t="s">
        <v>8699</v>
      </c>
      <c r="J426" t="s">
        <v>8700</v>
      </c>
      <c r="K426" t="s">
        <v>74</v>
      </c>
      <c r="L426" t="s">
        <v>74</v>
      </c>
      <c r="M426" t="s">
        <v>78</v>
      </c>
      <c r="N426" t="s">
        <v>79</v>
      </c>
      <c r="O426" t="s">
        <v>74</v>
      </c>
      <c r="P426" t="s">
        <v>74</v>
      </c>
      <c r="Q426" t="s">
        <v>74</v>
      </c>
      <c r="R426" t="s">
        <v>74</v>
      </c>
      <c r="S426" t="s">
        <v>74</v>
      </c>
      <c r="T426" t="s">
        <v>8701</v>
      </c>
      <c r="U426" t="s">
        <v>8702</v>
      </c>
      <c r="V426" t="s">
        <v>8703</v>
      </c>
      <c r="W426" t="s">
        <v>8704</v>
      </c>
      <c r="X426" t="s">
        <v>8705</v>
      </c>
      <c r="Y426" t="s">
        <v>8706</v>
      </c>
      <c r="Z426" t="s">
        <v>8707</v>
      </c>
      <c r="AA426" t="s">
        <v>8708</v>
      </c>
      <c r="AB426" t="s">
        <v>8709</v>
      </c>
      <c r="AC426" t="s">
        <v>8710</v>
      </c>
      <c r="AD426" t="s">
        <v>8711</v>
      </c>
      <c r="AE426" t="s">
        <v>8712</v>
      </c>
      <c r="AF426" t="s">
        <v>74</v>
      </c>
      <c r="AG426">
        <v>109</v>
      </c>
      <c r="AH426">
        <v>6</v>
      </c>
      <c r="AI426">
        <v>6</v>
      </c>
      <c r="AJ426">
        <v>0</v>
      </c>
      <c r="AK426">
        <v>11</v>
      </c>
      <c r="AL426" t="s">
        <v>890</v>
      </c>
      <c r="AM426" t="s">
        <v>891</v>
      </c>
      <c r="AN426" t="s">
        <v>892</v>
      </c>
      <c r="AO426" t="s">
        <v>8713</v>
      </c>
      <c r="AP426" t="s">
        <v>8714</v>
      </c>
      <c r="AQ426" t="s">
        <v>74</v>
      </c>
      <c r="AR426" t="s">
        <v>8715</v>
      </c>
      <c r="AS426" t="s">
        <v>8716</v>
      </c>
      <c r="AT426" t="s">
        <v>127</v>
      </c>
      <c r="AU426">
        <v>2021</v>
      </c>
      <c r="AV426">
        <v>167</v>
      </c>
      <c r="AW426" t="s">
        <v>74</v>
      </c>
      <c r="AX426" t="s">
        <v>74</v>
      </c>
      <c r="AY426" t="s">
        <v>74</v>
      </c>
      <c r="AZ426" t="s">
        <v>74</v>
      </c>
      <c r="BA426" t="s">
        <v>74</v>
      </c>
      <c r="BB426" t="s">
        <v>74</v>
      </c>
      <c r="BC426" t="s">
        <v>74</v>
      </c>
      <c r="BD426">
        <v>105284</v>
      </c>
      <c r="BE426" t="s">
        <v>8717</v>
      </c>
      <c r="BF426" t="str">
        <f>HYPERLINK("http://dx.doi.org/10.1016/j.marenvres.2021.105284","http://dx.doi.org/10.1016/j.marenvres.2021.105284")</f>
        <v>http://dx.doi.org/10.1016/j.marenvres.2021.105284</v>
      </c>
      <c r="BG426" t="s">
        <v>74</v>
      </c>
      <c r="BH426" t="s">
        <v>6407</v>
      </c>
      <c r="BI426">
        <v>12</v>
      </c>
      <c r="BJ426" t="s">
        <v>8718</v>
      </c>
      <c r="BK426" t="s">
        <v>101</v>
      </c>
      <c r="BL426" t="s">
        <v>8719</v>
      </c>
      <c r="BM426" t="s">
        <v>8720</v>
      </c>
      <c r="BN426">
        <v>33730611</v>
      </c>
      <c r="BO426" t="s">
        <v>74</v>
      </c>
      <c r="BP426" t="s">
        <v>74</v>
      </c>
      <c r="BQ426" t="s">
        <v>74</v>
      </c>
      <c r="BR426" t="s">
        <v>104</v>
      </c>
      <c r="BS426" t="s">
        <v>8721</v>
      </c>
      <c r="BT426" t="str">
        <f>HYPERLINK("https%3A%2F%2Fwww.webofscience.com%2Fwos%2Fwoscc%2Ffull-record%2FWOS:000651797100006","View Full Record in Web of Science")</f>
        <v>View Full Record in Web of Science</v>
      </c>
    </row>
    <row r="427" spans="1:72" x14ac:dyDescent="0.15">
      <c r="A427" t="s">
        <v>72</v>
      </c>
      <c r="B427" t="s">
        <v>8722</v>
      </c>
      <c r="C427" t="s">
        <v>74</v>
      </c>
      <c r="D427" t="s">
        <v>74</v>
      </c>
      <c r="E427" t="s">
        <v>74</v>
      </c>
      <c r="F427" t="s">
        <v>8723</v>
      </c>
      <c r="G427" t="s">
        <v>74</v>
      </c>
      <c r="H427" t="s">
        <v>74</v>
      </c>
      <c r="I427" t="s">
        <v>8724</v>
      </c>
      <c r="J427" t="s">
        <v>1628</v>
      </c>
      <c r="K427" t="s">
        <v>74</v>
      </c>
      <c r="L427" t="s">
        <v>74</v>
      </c>
      <c r="M427" t="s">
        <v>78</v>
      </c>
      <c r="N427" t="s">
        <v>79</v>
      </c>
      <c r="O427" t="s">
        <v>74</v>
      </c>
      <c r="P427" t="s">
        <v>74</v>
      </c>
      <c r="Q427" t="s">
        <v>74</v>
      </c>
      <c r="R427" t="s">
        <v>74</v>
      </c>
      <c r="S427" t="s">
        <v>74</v>
      </c>
      <c r="T427" t="s">
        <v>8725</v>
      </c>
      <c r="U427" t="s">
        <v>8726</v>
      </c>
      <c r="V427" t="s">
        <v>8727</v>
      </c>
      <c r="W427" t="s">
        <v>8728</v>
      </c>
      <c r="X427" t="s">
        <v>8729</v>
      </c>
      <c r="Y427" t="s">
        <v>8730</v>
      </c>
      <c r="Z427" t="s">
        <v>8731</v>
      </c>
      <c r="AA427" t="s">
        <v>8732</v>
      </c>
      <c r="AB427" t="s">
        <v>8733</v>
      </c>
      <c r="AC427" t="s">
        <v>8734</v>
      </c>
      <c r="AD427" t="s">
        <v>8735</v>
      </c>
      <c r="AE427" t="s">
        <v>8736</v>
      </c>
      <c r="AF427" t="s">
        <v>74</v>
      </c>
      <c r="AG427">
        <v>70</v>
      </c>
      <c r="AH427">
        <v>3</v>
      </c>
      <c r="AI427">
        <v>3</v>
      </c>
      <c r="AJ427">
        <v>1</v>
      </c>
      <c r="AK427">
        <v>22</v>
      </c>
      <c r="AL427" t="s">
        <v>1058</v>
      </c>
      <c r="AM427" t="s">
        <v>891</v>
      </c>
      <c r="AN427" t="s">
        <v>1059</v>
      </c>
      <c r="AO427" t="s">
        <v>1641</v>
      </c>
      <c r="AP427" t="s">
        <v>1642</v>
      </c>
      <c r="AQ427" t="s">
        <v>74</v>
      </c>
      <c r="AR427" t="s">
        <v>1643</v>
      </c>
      <c r="AS427" t="s">
        <v>1644</v>
      </c>
      <c r="AT427" t="s">
        <v>127</v>
      </c>
      <c r="AU427">
        <v>2021</v>
      </c>
      <c r="AV427">
        <v>166</v>
      </c>
      <c r="AW427" t="s">
        <v>74</v>
      </c>
      <c r="AX427" t="s">
        <v>74</v>
      </c>
      <c r="AY427" t="s">
        <v>74</v>
      </c>
      <c r="AZ427" t="s">
        <v>74</v>
      </c>
      <c r="BA427" t="s">
        <v>74</v>
      </c>
      <c r="BB427" t="s">
        <v>74</v>
      </c>
      <c r="BC427" t="s">
        <v>74</v>
      </c>
      <c r="BD427">
        <v>112178</v>
      </c>
      <c r="BE427" t="s">
        <v>8737</v>
      </c>
      <c r="BF427" t="str">
        <f>HYPERLINK("http://dx.doi.org/10.1016/j.marpolbul.2021.112178","http://dx.doi.org/10.1016/j.marpolbul.2021.112178")</f>
        <v>http://dx.doi.org/10.1016/j.marpolbul.2021.112178</v>
      </c>
      <c r="BG427" t="s">
        <v>74</v>
      </c>
      <c r="BH427" t="s">
        <v>6407</v>
      </c>
      <c r="BI427">
        <v>7</v>
      </c>
      <c r="BJ427" t="s">
        <v>1646</v>
      </c>
      <c r="BK427" t="s">
        <v>101</v>
      </c>
      <c r="BL427" t="s">
        <v>710</v>
      </c>
      <c r="BM427" t="s">
        <v>8738</v>
      </c>
      <c r="BN427">
        <v>33721686</v>
      </c>
      <c r="BO427" t="s">
        <v>496</v>
      </c>
      <c r="BP427" t="s">
        <v>74</v>
      </c>
      <c r="BQ427" t="s">
        <v>74</v>
      </c>
      <c r="BR427" t="s">
        <v>104</v>
      </c>
      <c r="BS427" t="s">
        <v>8739</v>
      </c>
      <c r="BT427" t="str">
        <f>HYPERLINK("https%3A%2F%2Fwww.webofscience.com%2Fwos%2Fwoscc%2Ffull-record%2FWOS:000648437500004","View Full Record in Web of Science")</f>
        <v>View Full Record in Web of Science</v>
      </c>
    </row>
    <row r="428" spans="1:72" x14ac:dyDescent="0.15">
      <c r="A428" t="s">
        <v>72</v>
      </c>
      <c r="B428" t="s">
        <v>8740</v>
      </c>
      <c r="C428" t="s">
        <v>74</v>
      </c>
      <c r="D428" t="s">
        <v>74</v>
      </c>
      <c r="E428" t="s">
        <v>74</v>
      </c>
      <c r="F428" t="s">
        <v>8741</v>
      </c>
      <c r="G428" t="s">
        <v>74</v>
      </c>
      <c r="H428" t="s">
        <v>74</v>
      </c>
      <c r="I428" t="s">
        <v>8742</v>
      </c>
      <c r="J428" t="s">
        <v>1628</v>
      </c>
      <c r="K428" t="s">
        <v>74</v>
      </c>
      <c r="L428" t="s">
        <v>74</v>
      </c>
      <c r="M428" t="s">
        <v>78</v>
      </c>
      <c r="N428" t="s">
        <v>79</v>
      </c>
      <c r="O428" t="s">
        <v>74</v>
      </c>
      <c r="P428" t="s">
        <v>74</v>
      </c>
      <c r="Q428" t="s">
        <v>74</v>
      </c>
      <c r="R428" t="s">
        <v>74</v>
      </c>
      <c r="S428" t="s">
        <v>74</v>
      </c>
      <c r="T428" t="s">
        <v>8743</v>
      </c>
      <c r="U428" t="s">
        <v>8744</v>
      </c>
      <c r="V428" t="s">
        <v>8745</v>
      </c>
      <c r="W428" t="s">
        <v>8746</v>
      </c>
      <c r="X428" t="s">
        <v>8747</v>
      </c>
      <c r="Y428" t="s">
        <v>8748</v>
      </c>
      <c r="Z428" t="s">
        <v>8749</v>
      </c>
      <c r="AA428" t="s">
        <v>8750</v>
      </c>
      <c r="AB428" t="s">
        <v>8751</v>
      </c>
      <c r="AC428" t="s">
        <v>8752</v>
      </c>
      <c r="AD428" t="s">
        <v>8753</v>
      </c>
      <c r="AE428" t="s">
        <v>8754</v>
      </c>
      <c r="AF428" t="s">
        <v>74</v>
      </c>
      <c r="AG428">
        <v>66</v>
      </c>
      <c r="AH428">
        <v>4</v>
      </c>
      <c r="AI428">
        <v>4</v>
      </c>
      <c r="AJ428">
        <v>0</v>
      </c>
      <c r="AK428">
        <v>7</v>
      </c>
      <c r="AL428" t="s">
        <v>1058</v>
      </c>
      <c r="AM428" t="s">
        <v>891</v>
      </c>
      <c r="AN428" t="s">
        <v>1059</v>
      </c>
      <c r="AO428" t="s">
        <v>1641</v>
      </c>
      <c r="AP428" t="s">
        <v>1642</v>
      </c>
      <c r="AQ428" t="s">
        <v>74</v>
      </c>
      <c r="AR428" t="s">
        <v>1643</v>
      </c>
      <c r="AS428" t="s">
        <v>1644</v>
      </c>
      <c r="AT428" t="s">
        <v>127</v>
      </c>
      <c r="AU428">
        <v>2021</v>
      </c>
      <c r="AV428">
        <v>166</v>
      </c>
      <c r="AW428" t="s">
        <v>74</v>
      </c>
      <c r="AX428" t="s">
        <v>74</v>
      </c>
      <c r="AY428" t="s">
        <v>74</v>
      </c>
      <c r="AZ428" t="s">
        <v>74</v>
      </c>
      <c r="BA428" t="s">
        <v>74</v>
      </c>
      <c r="BB428" t="s">
        <v>74</v>
      </c>
      <c r="BC428" t="s">
        <v>74</v>
      </c>
      <c r="BD428">
        <v>112218</v>
      </c>
      <c r="BE428" t="s">
        <v>8755</v>
      </c>
      <c r="BF428" t="str">
        <f>HYPERLINK("http://dx.doi.org/10.1016/j.marpolbul.2021.112218","http://dx.doi.org/10.1016/j.marpolbul.2021.112218")</f>
        <v>http://dx.doi.org/10.1016/j.marpolbul.2021.112218</v>
      </c>
      <c r="BG428" t="s">
        <v>74</v>
      </c>
      <c r="BH428" t="s">
        <v>6407</v>
      </c>
      <c r="BI428">
        <v>6</v>
      </c>
      <c r="BJ428" t="s">
        <v>1646</v>
      </c>
      <c r="BK428" t="s">
        <v>101</v>
      </c>
      <c r="BL428" t="s">
        <v>710</v>
      </c>
      <c r="BM428" t="s">
        <v>8756</v>
      </c>
      <c r="BN428">
        <v>33721687</v>
      </c>
      <c r="BO428" t="s">
        <v>74</v>
      </c>
      <c r="BP428" t="s">
        <v>74</v>
      </c>
      <c r="BQ428" t="s">
        <v>74</v>
      </c>
      <c r="BR428" t="s">
        <v>104</v>
      </c>
      <c r="BS428" t="s">
        <v>8757</v>
      </c>
      <c r="BT428" t="str">
        <f>HYPERLINK("https%3A%2F%2Fwww.webofscience.com%2Fwos%2Fwoscc%2Ffull-record%2FWOS:000648436200004","View Full Record in Web of Science")</f>
        <v>View Full Record in Web of Science</v>
      </c>
    </row>
    <row r="429" spans="1:72" x14ac:dyDescent="0.15">
      <c r="A429" t="s">
        <v>72</v>
      </c>
      <c r="B429" t="s">
        <v>8758</v>
      </c>
      <c r="C429" t="s">
        <v>74</v>
      </c>
      <c r="D429" t="s">
        <v>74</v>
      </c>
      <c r="E429" t="s">
        <v>74</v>
      </c>
      <c r="F429" t="s">
        <v>8759</v>
      </c>
      <c r="G429" t="s">
        <v>74</v>
      </c>
      <c r="H429" t="s">
        <v>74</v>
      </c>
      <c r="I429" t="s">
        <v>8760</v>
      </c>
      <c r="J429" t="s">
        <v>1421</v>
      </c>
      <c r="K429" t="s">
        <v>74</v>
      </c>
      <c r="L429" t="s">
        <v>74</v>
      </c>
      <c r="M429" t="s">
        <v>78</v>
      </c>
      <c r="N429" t="s">
        <v>79</v>
      </c>
      <c r="O429" t="s">
        <v>74</v>
      </c>
      <c r="P429" t="s">
        <v>74</v>
      </c>
      <c r="Q429" t="s">
        <v>74</v>
      </c>
      <c r="R429" t="s">
        <v>74</v>
      </c>
      <c r="S429" t="s">
        <v>74</v>
      </c>
      <c r="T429" t="s">
        <v>8761</v>
      </c>
      <c r="U429" t="s">
        <v>8762</v>
      </c>
      <c r="V429" t="s">
        <v>8763</v>
      </c>
      <c r="W429" t="s">
        <v>8764</v>
      </c>
      <c r="X429" t="s">
        <v>8765</v>
      </c>
      <c r="Y429" t="s">
        <v>8766</v>
      </c>
      <c r="Z429" t="s">
        <v>8767</v>
      </c>
      <c r="AA429" t="s">
        <v>8768</v>
      </c>
      <c r="AB429" t="s">
        <v>8769</v>
      </c>
      <c r="AC429" t="s">
        <v>8770</v>
      </c>
      <c r="AD429" t="s">
        <v>8771</v>
      </c>
      <c r="AE429" t="s">
        <v>8772</v>
      </c>
      <c r="AF429" t="s">
        <v>74</v>
      </c>
      <c r="AG429">
        <v>42</v>
      </c>
      <c r="AH429">
        <v>0</v>
      </c>
      <c r="AI429">
        <v>0</v>
      </c>
      <c r="AJ429">
        <v>0</v>
      </c>
      <c r="AK429">
        <v>5</v>
      </c>
      <c r="AL429" t="s">
        <v>166</v>
      </c>
      <c r="AM429" t="s">
        <v>167</v>
      </c>
      <c r="AN429" t="s">
        <v>168</v>
      </c>
      <c r="AO429" t="s">
        <v>1433</v>
      </c>
      <c r="AP429" t="s">
        <v>1434</v>
      </c>
      <c r="AQ429" t="s">
        <v>74</v>
      </c>
      <c r="AR429" t="s">
        <v>1435</v>
      </c>
      <c r="AS429" t="s">
        <v>1436</v>
      </c>
      <c r="AT429" t="s">
        <v>2859</v>
      </c>
      <c r="AU429">
        <v>2021</v>
      </c>
      <c r="AV429">
        <v>44</v>
      </c>
      <c r="AW429">
        <v>4</v>
      </c>
      <c r="AX429" t="s">
        <v>74</v>
      </c>
      <c r="AY429" t="s">
        <v>74</v>
      </c>
      <c r="AZ429" t="s">
        <v>74</v>
      </c>
      <c r="BA429" t="s">
        <v>74</v>
      </c>
      <c r="BB429">
        <v>857</v>
      </c>
      <c r="BC429">
        <v>863</v>
      </c>
      <c r="BD429" t="s">
        <v>74</v>
      </c>
      <c r="BE429" t="s">
        <v>8773</v>
      </c>
      <c r="BF429" t="str">
        <f>HYPERLINK("http://dx.doi.org/10.1007/s00300-021-02837-0","http://dx.doi.org/10.1007/s00300-021-02837-0")</f>
        <v>http://dx.doi.org/10.1007/s00300-021-02837-0</v>
      </c>
      <c r="BG429" t="s">
        <v>74</v>
      </c>
      <c r="BH429" t="s">
        <v>6407</v>
      </c>
      <c r="BI429">
        <v>7</v>
      </c>
      <c r="BJ429" t="s">
        <v>1438</v>
      </c>
      <c r="BK429" t="s">
        <v>101</v>
      </c>
      <c r="BL429" t="s">
        <v>1439</v>
      </c>
      <c r="BM429" t="s">
        <v>8214</v>
      </c>
      <c r="BN429" t="s">
        <v>74</v>
      </c>
      <c r="BO429" t="s">
        <v>74</v>
      </c>
      <c r="BP429" t="s">
        <v>74</v>
      </c>
      <c r="BQ429" t="s">
        <v>74</v>
      </c>
      <c r="BR429" t="s">
        <v>104</v>
      </c>
      <c r="BS429" t="s">
        <v>8774</v>
      </c>
      <c r="BT429" t="str">
        <f>HYPERLINK("https%3A%2F%2Fwww.webofscience.com%2Fwos%2Fwoscc%2Ffull-record%2FWOS:000628459400001","View Full Record in Web of Science")</f>
        <v>View Full Record in Web of Science</v>
      </c>
    </row>
    <row r="430" spans="1:72" x14ac:dyDescent="0.15">
      <c r="A430" t="s">
        <v>72</v>
      </c>
      <c r="B430" t="s">
        <v>8775</v>
      </c>
      <c r="C430" t="s">
        <v>74</v>
      </c>
      <c r="D430" t="s">
        <v>74</v>
      </c>
      <c r="E430" t="s">
        <v>74</v>
      </c>
      <c r="F430" t="s">
        <v>8776</v>
      </c>
      <c r="G430" t="s">
        <v>74</v>
      </c>
      <c r="H430" t="s">
        <v>74</v>
      </c>
      <c r="I430" t="s">
        <v>8777</v>
      </c>
      <c r="J430" t="s">
        <v>3648</v>
      </c>
      <c r="K430" t="s">
        <v>74</v>
      </c>
      <c r="L430" t="s">
        <v>74</v>
      </c>
      <c r="M430" t="s">
        <v>78</v>
      </c>
      <c r="N430" t="s">
        <v>79</v>
      </c>
      <c r="O430" t="s">
        <v>74</v>
      </c>
      <c r="P430" t="s">
        <v>74</v>
      </c>
      <c r="Q430" t="s">
        <v>74</v>
      </c>
      <c r="R430" t="s">
        <v>74</v>
      </c>
      <c r="S430" t="s">
        <v>74</v>
      </c>
      <c r="T430" t="s">
        <v>8778</v>
      </c>
      <c r="U430" t="s">
        <v>8779</v>
      </c>
      <c r="V430" t="s">
        <v>8780</v>
      </c>
      <c r="W430" t="s">
        <v>8781</v>
      </c>
      <c r="X430" t="s">
        <v>8782</v>
      </c>
      <c r="Y430" t="s">
        <v>8783</v>
      </c>
      <c r="Z430" t="s">
        <v>8784</v>
      </c>
      <c r="AA430" t="s">
        <v>8785</v>
      </c>
      <c r="AB430" t="s">
        <v>8786</v>
      </c>
      <c r="AC430" t="s">
        <v>8787</v>
      </c>
      <c r="AD430" t="s">
        <v>8788</v>
      </c>
      <c r="AE430" t="s">
        <v>8787</v>
      </c>
      <c r="AF430" t="s">
        <v>74</v>
      </c>
      <c r="AG430">
        <v>69</v>
      </c>
      <c r="AH430">
        <v>4</v>
      </c>
      <c r="AI430">
        <v>5</v>
      </c>
      <c r="AJ430">
        <v>1</v>
      </c>
      <c r="AK430">
        <v>6</v>
      </c>
      <c r="AL430" t="s">
        <v>795</v>
      </c>
      <c r="AM430" t="s">
        <v>796</v>
      </c>
      <c r="AN430" t="s">
        <v>797</v>
      </c>
      <c r="AO430" t="s">
        <v>3661</v>
      </c>
      <c r="AP430" t="s">
        <v>74</v>
      </c>
      <c r="AQ430" t="s">
        <v>74</v>
      </c>
      <c r="AR430" t="s">
        <v>3662</v>
      </c>
      <c r="AS430" t="s">
        <v>3663</v>
      </c>
      <c r="AT430" t="s">
        <v>127</v>
      </c>
      <c r="AU430">
        <v>2021</v>
      </c>
      <c r="AV430">
        <v>11</v>
      </c>
      <c r="AW430">
        <v>9</v>
      </c>
      <c r="AX430" t="s">
        <v>74</v>
      </c>
      <c r="AY430" t="s">
        <v>74</v>
      </c>
      <c r="AZ430" t="s">
        <v>74</v>
      </c>
      <c r="BA430" t="s">
        <v>74</v>
      </c>
      <c r="BB430">
        <v>4428</v>
      </c>
      <c r="BC430">
        <v>4441</v>
      </c>
      <c r="BD430" t="s">
        <v>74</v>
      </c>
      <c r="BE430" t="s">
        <v>8789</v>
      </c>
      <c r="BF430" t="str">
        <f>HYPERLINK("http://dx.doi.org/10.1002/ece3.7337","http://dx.doi.org/10.1002/ece3.7337")</f>
        <v>http://dx.doi.org/10.1002/ece3.7337</v>
      </c>
      <c r="BG430" t="s">
        <v>74</v>
      </c>
      <c r="BH430" t="s">
        <v>6407</v>
      </c>
      <c r="BI430">
        <v>14</v>
      </c>
      <c r="BJ430" t="s">
        <v>3508</v>
      </c>
      <c r="BK430" t="s">
        <v>101</v>
      </c>
      <c r="BL430" t="s">
        <v>3509</v>
      </c>
      <c r="BM430" t="s">
        <v>3665</v>
      </c>
      <c r="BN430">
        <v>33976820</v>
      </c>
      <c r="BO430" t="s">
        <v>398</v>
      </c>
      <c r="BP430" t="s">
        <v>74</v>
      </c>
      <c r="BQ430" t="s">
        <v>74</v>
      </c>
      <c r="BR430" t="s">
        <v>104</v>
      </c>
      <c r="BS430" t="s">
        <v>8790</v>
      </c>
      <c r="BT430" t="str">
        <f>HYPERLINK("https%3A%2F%2Fwww.webofscience.com%2Fwos%2Fwoscc%2Ffull-record%2FWOS:000628328300001","View Full Record in Web of Science")</f>
        <v>View Full Record in Web of Science</v>
      </c>
    </row>
    <row r="431" spans="1:72" x14ac:dyDescent="0.15">
      <c r="A431" t="s">
        <v>72</v>
      </c>
      <c r="B431" t="s">
        <v>8791</v>
      </c>
      <c r="C431" t="s">
        <v>74</v>
      </c>
      <c r="D431" t="s">
        <v>74</v>
      </c>
      <c r="E431" t="s">
        <v>74</v>
      </c>
      <c r="F431" t="s">
        <v>8792</v>
      </c>
      <c r="G431" t="s">
        <v>74</v>
      </c>
      <c r="H431" t="s">
        <v>74</v>
      </c>
      <c r="I431" t="s">
        <v>8793</v>
      </c>
      <c r="J431" t="s">
        <v>8794</v>
      </c>
      <c r="K431" t="s">
        <v>74</v>
      </c>
      <c r="L431" t="s">
        <v>74</v>
      </c>
      <c r="M431" t="s">
        <v>78</v>
      </c>
      <c r="N431" t="s">
        <v>79</v>
      </c>
      <c r="O431" t="s">
        <v>74</v>
      </c>
      <c r="P431" t="s">
        <v>74</v>
      </c>
      <c r="Q431" t="s">
        <v>74</v>
      </c>
      <c r="R431" t="s">
        <v>74</v>
      </c>
      <c r="S431" t="s">
        <v>74</v>
      </c>
      <c r="T431" t="s">
        <v>74</v>
      </c>
      <c r="U431" t="s">
        <v>8795</v>
      </c>
      <c r="V431" t="s">
        <v>8796</v>
      </c>
      <c r="W431" t="s">
        <v>8797</v>
      </c>
      <c r="X431" t="s">
        <v>8798</v>
      </c>
      <c r="Y431" t="s">
        <v>8799</v>
      </c>
      <c r="Z431" t="s">
        <v>8800</v>
      </c>
      <c r="AA431" t="s">
        <v>8801</v>
      </c>
      <c r="AB431" t="s">
        <v>8802</v>
      </c>
      <c r="AC431" t="s">
        <v>8803</v>
      </c>
      <c r="AD431" t="s">
        <v>8804</v>
      </c>
      <c r="AE431" t="s">
        <v>8805</v>
      </c>
      <c r="AF431" t="s">
        <v>74</v>
      </c>
      <c r="AG431">
        <v>68</v>
      </c>
      <c r="AH431">
        <v>38</v>
      </c>
      <c r="AI431">
        <v>41</v>
      </c>
      <c r="AJ431">
        <v>12</v>
      </c>
      <c r="AK431">
        <v>93</v>
      </c>
      <c r="AL431" t="s">
        <v>4283</v>
      </c>
      <c r="AM431" t="s">
        <v>390</v>
      </c>
      <c r="AN431" t="s">
        <v>4284</v>
      </c>
      <c r="AO431" t="s">
        <v>8806</v>
      </c>
      <c r="AP431" t="s">
        <v>8807</v>
      </c>
      <c r="AQ431" t="s">
        <v>74</v>
      </c>
      <c r="AR431" t="s">
        <v>8794</v>
      </c>
      <c r="AS431" t="s">
        <v>8808</v>
      </c>
      <c r="AT431" t="s">
        <v>8809</v>
      </c>
      <c r="AU431">
        <v>2021</v>
      </c>
      <c r="AV431">
        <v>371</v>
      </c>
      <c r="AW431">
        <v>6534</v>
      </c>
      <c r="AX431" t="s">
        <v>74</v>
      </c>
      <c r="AY431" t="s">
        <v>74</v>
      </c>
      <c r="AZ431" t="s">
        <v>74</v>
      </c>
      <c r="BA431" t="s">
        <v>74</v>
      </c>
      <c r="BB431">
        <v>1148</v>
      </c>
      <c r="BC431" t="s">
        <v>867</v>
      </c>
      <c r="BD431" t="s">
        <v>74</v>
      </c>
      <c r="BE431" t="s">
        <v>8810</v>
      </c>
      <c r="BF431" t="str">
        <f>HYPERLINK("http://dx.doi.org/10.1126/science.abb6643","http://dx.doi.org/10.1126/science.abb6643")</f>
        <v>http://dx.doi.org/10.1126/science.abb6643</v>
      </c>
      <c r="BG431" t="s">
        <v>74</v>
      </c>
      <c r="BH431" t="s">
        <v>74</v>
      </c>
      <c r="BI431">
        <v>35</v>
      </c>
      <c r="BJ431" t="s">
        <v>555</v>
      </c>
      <c r="BK431" t="s">
        <v>101</v>
      </c>
      <c r="BL431" t="s">
        <v>556</v>
      </c>
      <c r="BM431" t="s">
        <v>8811</v>
      </c>
      <c r="BN431">
        <v>33707262</v>
      </c>
      <c r="BO431" t="s">
        <v>3511</v>
      </c>
      <c r="BP431" t="s">
        <v>74</v>
      </c>
      <c r="BQ431" t="s">
        <v>74</v>
      </c>
      <c r="BR431" t="s">
        <v>104</v>
      </c>
      <c r="BS431" t="s">
        <v>8812</v>
      </c>
      <c r="BT431" t="str">
        <f>HYPERLINK("https%3A%2F%2Fwww.webofscience.com%2Fwos%2Fwoscc%2Ffull-record%2FWOS:000630096400032","View Full Record in Web of Science")</f>
        <v>View Full Record in Web of Science</v>
      </c>
    </row>
    <row r="432" spans="1:72" x14ac:dyDescent="0.15">
      <c r="A432" t="s">
        <v>72</v>
      </c>
      <c r="B432" t="s">
        <v>8813</v>
      </c>
      <c r="C432" t="s">
        <v>74</v>
      </c>
      <c r="D432" t="s">
        <v>74</v>
      </c>
      <c r="E432" t="s">
        <v>74</v>
      </c>
      <c r="F432" t="s">
        <v>8814</v>
      </c>
      <c r="G432" t="s">
        <v>74</v>
      </c>
      <c r="H432" t="s">
        <v>74</v>
      </c>
      <c r="I432" t="s">
        <v>8815</v>
      </c>
      <c r="J432" t="s">
        <v>1923</v>
      </c>
      <c r="K432" t="s">
        <v>74</v>
      </c>
      <c r="L432" t="s">
        <v>74</v>
      </c>
      <c r="M432" t="s">
        <v>78</v>
      </c>
      <c r="N432" t="s">
        <v>79</v>
      </c>
      <c r="O432" t="s">
        <v>74</v>
      </c>
      <c r="P432" t="s">
        <v>74</v>
      </c>
      <c r="Q432" t="s">
        <v>74</v>
      </c>
      <c r="R432" t="s">
        <v>74</v>
      </c>
      <c r="S432" t="s">
        <v>74</v>
      </c>
      <c r="T432" t="s">
        <v>8816</v>
      </c>
      <c r="U432" t="s">
        <v>8817</v>
      </c>
      <c r="V432" t="s">
        <v>8818</v>
      </c>
      <c r="W432" t="s">
        <v>8819</v>
      </c>
      <c r="X432" t="s">
        <v>8820</v>
      </c>
      <c r="Y432" t="s">
        <v>8821</v>
      </c>
      <c r="Z432" t="s">
        <v>8822</v>
      </c>
      <c r="AA432" t="s">
        <v>8823</v>
      </c>
      <c r="AB432" t="s">
        <v>74</v>
      </c>
      <c r="AC432" t="s">
        <v>8824</v>
      </c>
      <c r="AD432" t="s">
        <v>8825</v>
      </c>
      <c r="AE432" t="s">
        <v>8826</v>
      </c>
      <c r="AF432" t="s">
        <v>74</v>
      </c>
      <c r="AG432">
        <v>24</v>
      </c>
      <c r="AH432">
        <v>0</v>
      </c>
      <c r="AI432">
        <v>0</v>
      </c>
      <c r="AJ432">
        <v>1</v>
      </c>
      <c r="AK432">
        <v>5</v>
      </c>
      <c r="AL432" t="s">
        <v>1934</v>
      </c>
      <c r="AM432" t="s">
        <v>1935</v>
      </c>
      <c r="AN432" t="s">
        <v>1956</v>
      </c>
      <c r="AO432" t="s">
        <v>1937</v>
      </c>
      <c r="AP432" t="s">
        <v>1938</v>
      </c>
      <c r="AQ432" t="s">
        <v>74</v>
      </c>
      <c r="AR432" t="s">
        <v>1923</v>
      </c>
      <c r="AS432" t="s">
        <v>1939</v>
      </c>
      <c r="AT432" t="s">
        <v>8809</v>
      </c>
      <c r="AU432">
        <v>2021</v>
      </c>
      <c r="AV432">
        <v>4942</v>
      </c>
      <c r="AW432">
        <v>2</v>
      </c>
      <c r="AX432" t="s">
        <v>74</v>
      </c>
      <c r="AY432" t="s">
        <v>74</v>
      </c>
      <c r="AZ432" t="s">
        <v>74</v>
      </c>
      <c r="BA432" t="s">
        <v>74</v>
      </c>
      <c r="BB432">
        <v>290</v>
      </c>
      <c r="BC432">
        <v>300</v>
      </c>
      <c r="BD432" t="s">
        <v>74</v>
      </c>
      <c r="BE432" t="s">
        <v>8827</v>
      </c>
      <c r="BF432" t="str">
        <f>HYPERLINK("http://dx.doi.org/10.11646/zootaxa.4942.2.9","http://dx.doi.org/10.11646/zootaxa.4942.2.9")</f>
        <v>http://dx.doi.org/10.11646/zootaxa.4942.2.9</v>
      </c>
      <c r="BG432" t="s">
        <v>74</v>
      </c>
      <c r="BH432" t="s">
        <v>74</v>
      </c>
      <c r="BI432">
        <v>11</v>
      </c>
      <c r="BJ432" t="s">
        <v>1229</v>
      </c>
      <c r="BK432" t="s">
        <v>101</v>
      </c>
      <c r="BL432" t="s">
        <v>1229</v>
      </c>
      <c r="BM432" t="s">
        <v>8828</v>
      </c>
      <c r="BN432">
        <v>33757071</v>
      </c>
      <c r="BO432" t="s">
        <v>74</v>
      </c>
      <c r="BP432" t="s">
        <v>74</v>
      </c>
      <c r="BQ432" t="s">
        <v>74</v>
      </c>
      <c r="BR432" t="s">
        <v>104</v>
      </c>
      <c r="BS432" t="s">
        <v>8829</v>
      </c>
      <c r="BT432" t="str">
        <f>HYPERLINK("https%3A%2F%2Fwww.webofscience.com%2Fwos%2Fwoscc%2Ffull-record%2FWOS:000630204000003","View Full Record in Web of Science")</f>
        <v>View Full Record in Web of Science</v>
      </c>
    </row>
    <row r="433" spans="1:72" x14ac:dyDescent="0.15">
      <c r="A433" t="s">
        <v>72</v>
      </c>
      <c r="B433" t="s">
        <v>8830</v>
      </c>
      <c r="C433" t="s">
        <v>74</v>
      </c>
      <c r="D433" t="s">
        <v>74</v>
      </c>
      <c r="E433" t="s">
        <v>74</v>
      </c>
      <c r="F433" t="s">
        <v>8831</v>
      </c>
      <c r="G433" t="s">
        <v>74</v>
      </c>
      <c r="H433" t="s">
        <v>74</v>
      </c>
      <c r="I433" t="s">
        <v>8832</v>
      </c>
      <c r="J433" t="s">
        <v>1761</v>
      </c>
      <c r="K433" t="s">
        <v>74</v>
      </c>
      <c r="L433" t="s">
        <v>74</v>
      </c>
      <c r="M433" t="s">
        <v>78</v>
      </c>
      <c r="N433" t="s">
        <v>79</v>
      </c>
      <c r="O433" t="s">
        <v>74</v>
      </c>
      <c r="P433" t="s">
        <v>74</v>
      </c>
      <c r="Q433" t="s">
        <v>74</v>
      </c>
      <c r="R433" t="s">
        <v>74</v>
      </c>
      <c r="S433" t="s">
        <v>74</v>
      </c>
      <c r="T433" t="s">
        <v>74</v>
      </c>
      <c r="U433" t="s">
        <v>8833</v>
      </c>
      <c r="V433" t="s">
        <v>8834</v>
      </c>
      <c r="W433" t="s">
        <v>8835</v>
      </c>
      <c r="X433" t="s">
        <v>8836</v>
      </c>
      <c r="Y433" t="s">
        <v>8837</v>
      </c>
      <c r="Z433" t="s">
        <v>8838</v>
      </c>
      <c r="AA433" t="s">
        <v>8839</v>
      </c>
      <c r="AB433" t="s">
        <v>8840</v>
      </c>
      <c r="AC433" t="s">
        <v>8841</v>
      </c>
      <c r="AD433" t="s">
        <v>8842</v>
      </c>
      <c r="AE433" t="s">
        <v>8843</v>
      </c>
      <c r="AF433" t="s">
        <v>74</v>
      </c>
      <c r="AG433">
        <v>52</v>
      </c>
      <c r="AH433">
        <v>5</v>
      </c>
      <c r="AI433">
        <v>5</v>
      </c>
      <c r="AJ433">
        <v>3</v>
      </c>
      <c r="AK433">
        <v>9</v>
      </c>
      <c r="AL433" t="s">
        <v>1269</v>
      </c>
      <c r="AM433" t="s">
        <v>1270</v>
      </c>
      <c r="AN433" t="s">
        <v>1271</v>
      </c>
      <c r="AO433" t="s">
        <v>1773</v>
      </c>
      <c r="AP433" t="s">
        <v>1774</v>
      </c>
      <c r="AQ433" t="s">
        <v>74</v>
      </c>
      <c r="AR433" t="s">
        <v>1761</v>
      </c>
      <c r="AS433" t="s">
        <v>1775</v>
      </c>
      <c r="AT433" t="s">
        <v>8809</v>
      </c>
      <c r="AU433">
        <v>2021</v>
      </c>
      <c r="AV433">
        <v>15</v>
      </c>
      <c r="AW433">
        <v>3</v>
      </c>
      <c r="AX433" t="s">
        <v>74</v>
      </c>
      <c r="AY433" t="s">
        <v>74</v>
      </c>
      <c r="AZ433" t="s">
        <v>74</v>
      </c>
      <c r="BA433" t="s">
        <v>74</v>
      </c>
      <c r="BB433">
        <v>1307</v>
      </c>
      <c r="BC433">
        <v>1319</v>
      </c>
      <c r="BD433" t="s">
        <v>74</v>
      </c>
      <c r="BE433" t="s">
        <v>8844</v>
      </c>
      <c r="BF433" t="str">
        <f>HYPERLINK("http://dx.doi.org/10.5194/tc-15-1307-2021","http://dx.doi.org/10.5194/tc-15-1307-2021")</f>
        <v>http://dx.doi.org/10.5194/tc-15-1307-2021</v>
      </c>
      <c r="BG433" t="s">
        <v>74</v>
      </c>
      <c r="BH433" t="s">
        <v>74</v>
      </c>
      <c r="BI433">
        <v>13</v>
      </c>
      <c r="BJ433" t="s">
        <v>1685</v>
      </c>
      <c r="BK433" t="s">
        <v>101</v>
      </c>
      <c r="BL433" t="s">
        <v>1686</v>
      </c>
      <c r="BM433" t="s">
        <v>8845</v>
      </c>
      <c r="BN433" t="s">
        <v>74</v>
      </c>
      <c r="BO433" t="s">
        <v>1280</v>
      </c>
      <c r="BP433" t="s">
        <v>74</v>
      </c>
      <c r="BQ433" t="s">
        <v>74</v>
      </c>
      <c r="BR433" t="s">
        <v>104</v>
      </c>
      <c r="BS433" t="s">
        <v>8846</v>
      </c>
      <c r="BT433" t="str">
        <f>HYPERLINK("https%3A%2F%2Fwww.webofscience.com%2Fwos%2Fwoscc%2Ffull-record%2FWOS:000629134400001","View Full Record in Web of Science")</f>
        <v>View Full Record in Web of Science</v>
      </c>
    </row>
    <row r="434" spans="1:72" x14ac:dyDescent="0.15">
      <c r="A434" t="s">
        <v>72</v>
      </c>
      <c r="B434" t="s">
        <v>8847</v>
      </c>
      <c r="C434" t="s">
        <v>74</v>
      </c>
      <c r="D434" t="s">
        <v>74</v>
      </c>
      <c r="E434" t="s">
        <v>74</v>
      </c>
      <c r="F434" t="s">
        <v>8848</v>
      </c>
      <c r="G434" t="s">
        <v>74</v>
      </c>
      <c r="H434" t="s">
        <v>74</v>
      </c>
      <c r="I434" t="s">
        <v>8849</v>
      </c>
      <c r="J434" t="s">
        <v>1761</v>
      </c>
      <c r="K434" t="s">
        <v>74</v>
      </c>
      <c r="L434" t="s">
        <v>74</v>
      </c>
      <c r="M434" t="s">
        <v>78</v>
      </c>
      <c r="N434" t="s">
        <v>79</v>
      </c>
      <c r="O434" t="s">
        <v>74</v>
      </c>
      <c r="P434" t="s">
        <v>74</v>
      </c>
      <c r="Q434" t="s">
        <v>74</v>
      </c>
      <c r="R434" t="s">
        <v>74</v>
      </c>
      <c r="S434" t="s">
        <v>74</v>
      </c>
      <c r="T434" t="s">
        <v>74</v>
      </c>
      <c r="U434" t="s">
        <v>8850</v>
      </c>
      <c r="V434" t="s">
        <v>8851</v>
      </c>
      <c r="W434" t="s">
        <v>8852</v>
      </c>
      <c r="X434" t="s">
        <v>8853</v>
      </c>
      <c r="Y434" t="s">
        <v>8854</v>
      </c>
      <c r="Z434" t="s">
        <v>8855</v>
      </c>
      <c r="AA434" t="s">
        <v>8856</v>
      </c>
      <c r="AB434" t="s">
        <v>8857</v>
      </c>
      <c r="AC434" t="s">
        <v>8858</v>
      </c>
      <c r="AD434" t="s">
        <v>8859</v>
      </c>
      <c r="AE434" t="s">
        <v>8860</v>
      </c>
      <c r="AF434" t="s">
        <v>74</v>
      </c>
      <c r="AG434">
        <v>67</v>
      </c>
      <c r="AH434">
        <v>11</v>
      </c>
      <c r="AI434">
        <v>14</v>
      </c>
      <c r="AJ434">
        <v>2</v>
      </c>
      <c r="AK434">
        <v>26</v>
      </c>
      <c r="AL434" t="s">
        <v>1269</v>
      </c>
      <c r="AM434" t="s">
        <v>1270</v>
      </c>
      <c r="AN434" t="s">
        <v>1271</v>
      </c>
      <c r="AO434" t="s">
        <v>1773</v>
      </c>
      <c r="AP434" t="s">
        <v>1774</v>
      </c>
      <c r="AQ434" t="s">
        <v>74</v>
      </c>
      <c r="AR434" t="s">
        <v>1761</v>
      </c>
      <c r="AS434" t="s">
        <v>1775</v>
      </c>
      <c r="AT434" t="s">
        <v>8809</v>
      </c>
      <c r="AU434">
        <v>2021</v>
      </c>
      <c r="AV434">
        <v>15</v>
      </c>
      <c r="AW434">
        <v>3</v>
      </c>
      <c r="AX434" t="s">
        <v>74</v>
      </c>
      <c r="AY434" t="s">
        <v>74</v>
      </c>
      <c r="AZ434" t="s">
        <v>74</v>
      </c>
      <c r="BA434" t="s">
        <v>74</v>
      </c>
      <c r="BB434">
        <v>1321</v>
      </c>
      <c r="BC434">
        <v>1341</v>
      </c>
      <c r="BD434" t="s">
        <v>74</v>
      </c>
      <c r="BE434" t="s">
        <v>8861</v>
      </c>
      <c r="BF434" t="str">
        <f>HYPERLINK("http://dx.doi.org/10.5194/tc-15-1321-2021","http://dx.doi.org/10.5194/tc-15-1321-2021")</f>
        <v>http://dx.doi.org/10.5194/tc-15-1321-2021</v>
      </c>
      <c r="BG434" t="s">
        <v>74</v>
      </c>
      <c r="BH434" t="s">
        <v>74</v>
      </c>
      <c r="BI434">
        <v>21</v>
      </c>
      <c r="BJ434" t="s">
        <v>1685</v>
      </c>
      <c r="BK434" t="s">
        <v>101</v>
      </c>
      <c r="BL434" t="s">
        <v>1686</v>
      </c>
      <c r="BM434" t="s">
        <v>8845</v>
      </c>
      <c r="BN434" t="s">
        <v>74</v>
      </c>
      <c r="BO434" t="s">
        <v>1280</v>
      </c>
      <c r="BP434" t="s">
        <v>74</v>
      </c>
      <c r="BQ434" t="s">
        <v>74</v>
      </c>
      <c r="BR434" t="s">
        <v>104</v>
      </c>
      <c r="BS434" t="s">
        <v>8862</v>
      </c>
      <c r="BT434" t="str">
        <f>HYPERLINK("https%3A%2F%2Fwww.webofscience.com%2Fwos%2Fwoscc%2Ffull-record%2FWOS:000629134400002","View Full Record in Web of Science")</f>
        <v>View Full Record in Web of Science</v>
      </c>
    </row>
    <row r="435" spans="1:72" x14ac:dyDescent="0.15">
      <c r="A435" t="s">
        <v>72</v>
      </c>
      <c r="B435" t="s">
        <v>8863</v>
      </c>
      <c r="C435" t="s">
        <v>74</v>
      </c>
      <c r="D435" t="s">
        <v>74</v>
      </c>
      <c r="E435" t="s">
        <v>74</v>
      </c>
      <c r="F435" t="s">
        <v>8864</v>
      </c>
      <c r="G435" t="s">
        <v>74</v>
      </c>
      <c r="H435" t="s">
        <v>74</v>
      </c>
      <c r="I435" t="s">
        <v>8865</v>
      </c>
      <c r="J435" t="s">
        <v>6881</v>
      </c>
      <c r="K435" t="s">
        <v>74</v>
      </c>
      <c r="L435" t="s">
        <v>74</v>
      </c>
      <c r="M435" t="s">
        <v>78</v>
      </c>
      <c r="N435" t="s">
        <v>79</v>
      </c>
      <c r="O435" t="s">
        <v>74</v>
      </c>
      <c r="P435" t="s">
        <v>74</v>
      </c>
      <c r="Q435" t="s">
        <v>74</v>
      </c>
      <c r="R435" t="s">
        <v>74</v>
      </c>
      <c r="S435" t="s">
        <v>74</v>
      </c>
      <c r="T435" t="s">
        <v>8866</v>
      </c>
      <c r="U435" t="s">
        <v>74</v>
      </c>
      <c r="V435" t="s">
        <v>8867</v>
      </c>
      <c r="W435" t="s">
        <v>8868</v>
      </c>
      <c r="X435" t="s">
        <v>8869</v>
      </c>
      <c r="Y435" t="s">
        <v>8870</v>
      </c>
      <c r="Z435" t="s">
        <v>8871</v>
      </c>
      <c r="AA435" t="s">
        <v>74</v>
      </c>
      <c r="AB435" t="s">
        <v>8872</v>
      </c>
      <c r="AC435" t="s">
        <v>8873</v>
      </c>
      <c r="AD435" t="s">
        <v>8874</v>
      </c>
      <c r="AE435" t="s">
        <v>8875</v>
      </c>
      <c r="AF435" t="s">
        <v>74</v>
      </c>
      <c r="AG435">
        <v>21</v>
      </c>
      <c r="AH435">
        <v>2</v>
      </c>
      <c r="AI435">
        <v>2</v>
      </c>
      <c r="AJ435">
        <v>0</v>
      </c>
      <c r="AK435">
        <v>2</v>
      </c>
      <c r="AL435" t="s">
        <v>2922</v>
      </c>
      <c r="AM435" t="s">
        <v>2923</v>
      </c>
      <c r="AN435" t="s">
        <v>2924</v>
      </c>
      <c r="AO435" t="s">
        <v>6893</v>
      </c>
      <c r="AP435" t="s">
        <v>6894</v>
      </c>
      <c r="AQ435" t="s">
        <v>74</v>
      </c>
      <c r="AR435" t="s">
        <v>6881</v>
      </c>
      <c r="AS435" t="s">
        <v>6895</v>
      </c>
      <c r="AT435" t="s">
        <v>3180</v>
      </c>
      <c r="AU435">
        <v>2021</v>
      </c>
      <c r="AV435">
        <v>60</v>
      </c>
      <c r="AW435">
        <v>2</v>
      </c>
      <c r="AX435" t="s">
        <v>74</v>
      </c>
      <c r="AY435" t="s">
        <v>74</v>
      </c>
      <c r="AZ435" t="s">
        <v>74</v>
      </c>
      <c r="BA435" t="s">
        <v>74</v>
      </c>
      <c r="BB435">
        <v>180</v>
      </c>
      <c r="BC435">
        <v>187</v>
      </c>
      <c r="BD435" t="s">
        <v>74</v>
      </c>
      <c r="BE435" t="s">
        <v>8876</v>
      </c>
      <c r="BF435" t="str">
        <f>HYPERLINK("http://dx.doi.org/10.1080/00318884.2021.1883365","http://dx.doi.org/10.1080/00318884.2021.1883365")</f>
        <v>http://dx.doi.org/10.1080/00318884.2021.1883365</v>
      </c>
      <c r="BG435" t="s">
        <v>74</v>
      </c>
      <c r="BH435" t="s">
        <v>6407</v>
      </c>
      <c r="BI435">
        <v>8</v>
      </c>
      <c r="BJ435" t="s">
        <v>6897</v>
      </c>
      <c r="BK435" t="s">
        <v>101</v>
      </c>
      <c r="BL435" t="s">
        <v>6897</v>
      </c>
      <c r="BM435" t="s">
        <v>8877</v>
      </c>
      <c r="BN435" t="s">
        <v>74</v>
      </c>
      <c r="BO435" t="s">
        <v>74</v>
      </c>
      <c r="BP435" t="s">
        <v>74</v>
      </c>
      <c r="BQ435" t="s">
        <v>74</v>
      </c>
      <c r="BR435" t="s">
        <v>104</v>
      </c>
      <c r="BS435" t="s">
        <v>8878</v>
      </c>
      <c r="BT435" t="str">
        <f>HYPERLINK("https%3A%2F%2Fwww.webofscience.com%2Fwos%2Fwoscc%2Ffull-record%2FWOS:000627278800001","View Full Record in Web of Science")</f>
        <v>View Full Record in Web of Science</v>
      </c>
    </row>
    <row r="436" spans="1:72" x14ac:dyDescent="0.15">
      <c r="A436" t="s">
        <v>72</v>
      </c>
      <c r="B436" t="s">
        <v>8879</v>
      </c>
      <c r="C436" t="s">
        <v>74</v>
      </c>
      <c r="D436" t="s">
        <v>74</v>
      </c>
      <c r="E436" t="s">
        <v>74</v>
      </c>
      <c r="F436" t="s">
        <v>8880</v>
      </c>
      <c r="G436" t="s">
        <v>74</v>
      </c>
      <c r="H436" t="s">
        <v>74</v>
      </c>
      <c r="I436" t="s">
        <v>8881</v>
      </c>
      <c r="J436" t="s">
        <v>2868</v>
      </c>
      <c r="K436" t="s">
        <v>74</v>
      </c>
      <c r="L436" t="s">
        <v>74</v>
      </c>
      <c r="M436" t="s">
        <v>78</v>
      </c>
      <c r="N436" t="s">
        <v>79</v>
      </c>
      <c r="O436" t="s">
        <v>74</v>
      </c>
      <c r="P436" t="s">
        <v>74</v>
      </c>
      <c r="Q436" t="s">
        <v>74</v>
      </c>
      <c r="R436" t="s">
        <v>74</v>
      </c>
      <c r="S436" t="s">
        <v>74</v>
      </c>
      <c r="T436" t="s">
        <v>8882</v>
      </c>
      <c r="U436" t="s">
        <v>8883</v>
      </c>
      <c r="V436" t="s">
        <v>8884</v>
      </c>
      <c r="W436" t="s">
        <v>8885</v>
      </c>
      <c r="X436" t="s">
        <v>8886</v>
      </c>
      <c r="Y436" t="s">
        <v>8887</v>
      </c>
      <c r="Z436" t="s">
        <v>8888</v>
      </c>
      <c r="AA436" t="s">
        <v>8889</v>
      </c>
      <c r="AB436" t="s">
        <v>74</v>
      </c>
      <c r="AC436" t="s">
        <v>8890</v>
      </c>
      <c r="AD436" t="s">
        <v>8891</v>
      </c>
      <c r="AE436" t="s">
        <v>8892</v>
      </c>
      <c r="AF436" t="s">
        <v>74</v>
      </c>
      <c r="AG436">
        <v>44</v>
      </c>
      <c r="AH436">
        <v>7</v>
      </c>
      <c r="AI436">
        <v>7</v>
      </c>
      <c r="AJ436">
        <v>0</v>
      </c>
      <c r="AK436">
        <v>32</v>
      </c>
      <c r="AL436" t="s">
        <v>603</v>
      </c>
      <c r="AM436" t="s">
        <v>604</v>
      </c>
      <c r="AN436" t="s">
        <v>605</v>
      </c>
      <c r="AO436" t="s">
        <v>74</v>
      </c>
      <c r="AP436" t="s">
        <v>2881</v>
      </c>
      <c r="AQ436" t="s">
        <v>74</v>
      </c>
      <c r="AR436" t="s">
        <v>2882</v>
      </c>
      <c r="AS436" t="s">
        <v>2883</v>
      </c>
      <c r="AT436" t="s">
        <v>8809</v>
      </c>
      <c r="AU436">
        <v>2021</v>
      </c>
      <c r="AV436">
        <v>12</v>
      </c>
      <c r="AW436" t="s">
        <v>74</v>
      </c>
      <c r="AX436" t="s">
        <v>74</v>
      </c>
      <c r="AY436" t="s">
        <v>74</v>
      </c>
      <c r="AZ436" t="s">
        <v>74</v>
      </c>
      <c r="BA436" t="s">
        <v>74</v>
      </c>
      <c r="BB436" t="s">
        <v>74</v>
      </c>
      <c r="BC436" t="s">
        <v>74</v>
      </c>
      <c r="BD436">
        <v>631039</v>
      </c>
      <c r="BE436" t="s">
        <v>8893</v>
      </c>
      <c r="BF436" t="str">
        <f>HYPERLINK("http://dx.doi.org/10.3389/fmicb.2021.631039","http://dx.doi.org/10.3389/fmicb.2021.631039")</f>
        <v>http://dx.doi.org/10.3389/fmicb.2021.631039</v>
      </c>
      <c r="BG436" t="s">
        <v>74</v>
      </c>
      <c r="BH436" t="s">
        <v>74</v>
      </c>
      <c r="BI436">
        <v>11</v>
      </c>
      <c r="BJ436" t="s">
        <v>396</v>
      </c>
      <c r="BK436" t="s">
        <v>101</v>
      </c>
      <c r="BL436" t="s">
        <v>396</v>
      </c>
      <c r="BM436" t="s">
        <v>8894</v>
      </c>
      <c r="BN436">
        <v>33776960</v>
      </c>
      <c r="BO436" t="s">
        <v>558</v>
      </c>
      <c r="BP436" t="s">
        <v>74</v>
      </c>
      <c r="BQ436" t="s">
        <v>74</v>
      </c>
      <c r="BR436" t="s">
        <v>104</v>
      </c>
      <c r="BS436" t="s">
        <v>8895</v>
      </c>
      <c r="BT436" t="str">
        <f>HYPERLINK("https%3A%2F%2Fwww.webofscience.com%2Fwos%2Fwoscc%2Ffull-record%2FWOS:000632848400001","View Full Record in Web of Science")</f>
        <v>View Full Record in Web of Science</v>
      </c>
    </row>
    <row r="437" spans="1:72" x14ac:dyDescent="0.15">
      <c r="A437" t="s">
        <v>72</v>
      </c>
      <c r="B437" t="s">
        <v>8896</v>
      </c>
      <c r="C437" t="s">
        <v>74</v>
      </c>
      <c r="D437" t="s">
        <v>74</v>
      </c>
      <c r="E437" t="s">
        <v>74</v>
      </c>
      <c r="F437" t="s">
        <v>8897</v>
      </c>
      <c r="G437" t="s">
        <v>74</v>
      </c>
      <c r="H437" t="s">
        <v>74</v>
      </c>
      <c r="I437" t="s">
        <v>8898</v>
      </c>
      <c r="J437" t="s">
        <v>1980</v>
      </c>
      <c r="K437" t="s">
        <v>74</v>
      </c>
      <c r="L437" t="s">
        <v>74</v>
      </c>
      <c r="M437" t="s">
        <v>78</v>
      </c>
      <c r="N437" t="s">
        <v>79</v>
      </c>
      <c r="O437" t="s">
        <v>74</v>
      </c>
      <c r="P437" t="s">
        <v>74</v>
      </c>
      <c r="Q437" t="s">
        <v>74</v>
      </c>
      <c r="R437" t="s">
        <v>74</v>
      </c>
      <c r="S437" t="s">
        <v>74</v>
      </c>
      <c r="T437" t="s">
        <v>74</v>
      </c>
      <c r="U437" t="s">
        <v>8899</v>
      </c>
      <c r="V437" t="s">
        <v>8900</v>
      </c>
      <c r="W437" t="s">
        <v>8901</v>
      </c>
      <c r="X437" t="s">
        <v>8902</v>
      </c>
      <c r="Y437" t="s">
        <v>8903</v>
      </c>
      <c r="Z437" t="s">
        <v>8904</v>
      </c>
      <c r="AA437" t="s">
        <v>8905</v>
      </c>
      <c r="AB437" t="s">
        <v>8906</v>
      </c>
      <c r="AC437" t="s">
        <v>8907</v>
      </c>
      <c r="AD437" t="s">
        <v>8908</v>
      </c>
      <c r="AE437" t="s">
        <v>8909</v>
      </c>
      <c r="AF437" t="s">
        <v>74</v>
      </c>
      <c r="AG437">
        <v>70</v>
      </c>
      <c r="AH437">
        <v>9</v>
      </c>
      <c r="AI437">
        <v>12</v>
      </c>
      <c r="AJ437">
        <v>4</v>
      </c>
      <c r="AK437">
        <v>44</v>
      </c>
      <c r="AL437" t="s">
        <v>1269</v>
      </c>
      <c r="AM437" t="s">
        <v>1270</v>
      </c>
      <c r="AN437" t="s">
        <v>1271</v>
      </c>
      <c r="AO437" t="s">
        <v>1992</v>
      </c>
      <c r="AP437" t="s">
        <v>1993</v>
      </c>
      <c r="AQ437" t="s">
        <v>74</v>
      </c>
      <c r="AR437" t="s">
        <v>1994</v>
      </c>
      <c r="AS437" t="s">
        <v>1995</v>
      </c>
      <c r="AT437" t="s">
        <v>8809</v>
      </c>
      <c r="AU437">
        <v>2021</v>
      </c>
      <c r="AV437">
        <v>21</v>
      </c>
      <c r="AW437">
        <v>5</v>
      </c>
      <c r="AX437" t="s">
        <v>74</v>
      </c>
      <c r="AY437" t="s">
        <v>74</v>
      </c>
      <c r="AZ437" t="s">
        <v>74</v>
      </c>
      <c r="BA437" t="s">
        <v>74</v>
      </c>
      <c r="BB437">
        <v>3741</v>
      </c>
      <c r="BC437">
        <v>3762</v>
      </c>
      <c r="BD437" t="s">
        <v>74</v>
      </c>
      <c r="BE437" t="s">
        <v>8910</v>
      </c>
      <c r="BF437" t="str">
        <f>HYPERLINK("http://dx.doi.org/10.5194/acp-21-3741-2021","http://dx.doi.org/10.5194/acp-21-3741-2021")</f>
        <v>http://dx.doi.org/10.5194/acp-21-3741-2021</v>
      </c>
      <c r="BG437" t="s">
        <v>74</v>
      </c>
      <c r="BH437" t="s">
        <v>74</v>
      </c>
      <c r="BI437">
        <v>22</v>
      </c>
      <c r="BJ437" t="s">
        <v>199</v>
      </c>
      <c r="BK437" t="s">
        <v>101</v>
      </c>
      <c r="BL437" t="s">
        <v>200</v>
      </c>
      <c r="BM437" t="s">
        <v>8911</v>
      </c>
      <c r="BN437" t="s">
        <v>74</v>
      </c>
      <c r="BO437" t="s">
        <v>8096</v>
      </c>
      <c r="BP437" t="s">
        <v>74</v>
      </c>
      <c r="BQ437" t="s">
        <v>74</v>
      </c>
      <c r="BR437" t="s">
        <v>104</v>
      </c>
      <c r="BS437" t="s">
        <v>8912</v>
      </c>
      <c r="BT437" t="str">
        <f>HYPERLINK("https%3A%2F%2Fwww.webofscience.com%2Fwos%2Fwoscc%2Ffull-record%2FWOS:000629129800001","View Full Record in Web of Science")</f>
        <v>View Full Record in Web of Science</v>
      </c>
    </row>
    <row r="438" spans="1:72" x14ac:dyDescent="0.15">
      <c r="A438" t="s">
        <v>72</v>
      </c>
      <c r="B438" t="s">
        <v>8913</v>
      </c>
      <c r="C438" t="s">
        <v>74</v>
      </c>
      <c r="D438" t="s">
        <v>74</v>
      </c>
      <c r="E438" t="s">
        <v>74</v>
      </c>
      <c r="F438" t="s">
        <v>8914</v>
      </c>
      <c r="G438" t="s">
        <v>74</v>
      </c>
      <c r="H438" t="s">
        <v>74</v>
      </c>
      <c r="I438" t="s">
        <v>8915</v>
      </c>
      <c r="J438" t="s">
        <v>8916</v>
      </c>
      <c r="K438" t="s">
        <v>74</v>
      </c>
      <c r="L438" t="s">
        <v>74</v>
      </c>
      <c r="M438" t="s">
        <v>78</v>
      </c>
      <c r="N438" t="s">
        <v>79</v>
      </c>
      <c r="O438" t="s">
        <v>74</v>
      </c>
      <c r="P438" t="s">
        <v>74</v>
      </c>
      <c r="Q438" t="s">
        <v>74</v>
      </c>
      <c r="R438" t="s">
        <v>74</v>
      </c>
      <c r="S438" t="s">
        <v>74</v>
      </c>
      <c r="T438" t="s">
        <v>8917</v>
      </c>
      <c r="U438" t="s">
        <v>8918</v>
      </c>
      <c r="V438" t="s">
        <v>8919</v>
      </c>
      <c r="W438" t="s">
        <v>8920</v>
      </c>
      <c r="X438" t="s">
        <v>8921</v>
      </c>
      <c r="Y438" t="s">
        <v>8922</v>
      </c>
      <c r="Z438" t="s">
        <v>8923</v>
      </c>
      <c r="AA438" t="s">
        <v>8924</v>
      </c>
      <c r="AB438" t="s">
        <v>8925</v>
      </c>
      <c r="AC438" t="s">
        <v>8926</v>
      </c>
      <c r="AD438" t="s">
        <v>8926</v>
      </c>
      <c r="AE438" t="s">
        <v>8927</v>
      </c>
      <c r="AF438" t="s">
        <v>74</v>
      </c>
      <c r="AG438">
        <v>55</v>
      </c>
      <c r="AH438">
        <v>25</v>
      </c>
      <c r="AI438">
        <v>25</v>
      </c>
      <c r="AJ438">
        <v>4</v>
      </c>
      <c r="AK438">
        <v>24</v>
      </c>
      <c r="AL438" t="s">
        <v>890</v>
      </c>
      <c r="AM438" t="s">
        <v>891</v>
      </c>
      <c r="AN438" t="s">
        <v>892</v>
      </c>
      <c r="AO438" t="s">
        <v>8928</v>
      </c>
      <c r="AP438" t="s">
        <v>8929</v>
      </c>
      <c r="AQ438" t="s">
        <v>74</v>
      </c>
      <c r="AR438" t="s">
        <v>8930</v>
      </c>
      <c r="AS438" t="s">
        <v>8931</v>
      </c>
      <c r="AT438" t="s">
        <v>2859</v>
      </c>
      <c r="AU438">
        <v>2021</v>
      </c>
      <c r="AV438">
        <v>256</v>
      </c>
      <c r="AW438" t="s">
        <v>74</v>
      </c>
      <c r="AX438" t="s">
        <v>74</v>
      </c>
      <c r="AY438" t="s">
        <v>74</v>
      </c>
      <c r="AZ438" t="s">
        <v>74</v>
      </c>
      <c r="BA438" t="s">
        <v>74</v>
      </c>
      <c r="BB438" t="s">
        <v>74</v>
      </c>
      <c r="BC438" t="s">
        <v>74</v>
      </c>
      <c r="BD438">
        <v>108995</v>
      </c>
      <c r="BE438" t="s">
        <v>8932</v>
      </c>
      <c r="BF438" t="str">
        <f>HYPERLINK("http://dx.doi.org/10.1016/j.biocon.2021.108995","http://dx.doi.org/10.1016/j.biocon.2021.108995")</f>
        <v>http://dx.doi.org/10.1016/j.biocon.2021.108995</v>
      </c>
      <c r="BG438" t="s">
        <v>74</v>
      </c>
      <c r="BH438" t="s">
        <v>6407</v>
      </c>
      <c r="BI438">
        <v>13</v>
      </c>
      <c r="BJ438" t="s">
        <v>2419</v>
      </c>
      <c r="BK438" t="s">
        <v>1038</v>
      </c>
      <c r="BL438" t="s">
        <v>1439</v>
      </c>
      <c r="BM438" t="s">
        <v>8933</v>
      </c>
      <c r="BN438">
        <v>34580542</v>
      </c>
      <c r="BO438" t="s">
        <v>398</v>
      </c>
      <c r="BP438" t="s">
        <v>74</v>
      </c>
      <c r="BQ438" t="s">
        <v>74</v>
      </c>
      <c r="BR438" t="s">
        <v>104</v>
      </c>
      <c r="BS438" t="s">
        <v>8934</v>
      </c>
      <c r="BT438" t="str">
        <f>HYPERLINK("https%3A%2F%2Fwww.webofscience.com%2Fwos%2Fwoscc%2Ffull-record%2FWOS:000640904500011","View Full Record in Web of Science")</f>
        <v>View Full Record in Web of Science</v>
      </c>
    </row>
    <row r="439" spans="1:72" x14ac:dyDescent="0.15">
      <c r="A439" t="s">
        <v>72</v>
      </c>
      <c r="B439" t="s">
        <v>8935</v>
      </c>
      <c r="C439" t="s">
        <v>74</v>
      </c>
      <c r="D439" t="s">
        <v>74</v>
      </c>
      <c r="E439" t="s">
        <v>74</v>
      </c>
      <c r="F439" t="s">
        <v>8936</v>
      </c>
      <c r="G439" t="s">
        <v>74</v>
      </c>
      <c r="H439" t="s">
        <v>74</v>
      </c>
      <c r="I439" t="s">
        <v>8937</v>
      </c>
      <c r="J439" t="s">
        <v>8938</v>
      </c>
      <c r="K439" t="s">
        <v>74</v>
      </c>
      <c r="L439" t="s">
        <v>74</v>
      </c>
      <c r="M439" t="s">
        <v>78</v>
      </c>
      <c r="N439" t="s">
        <v>79</v>
      </c>
      <c r="O439" t="s">
        <v>74</v>
      </c>
      <c r="P439" t="s">
        <v>74</v>
      </c>
      <c r="Q439" t="s">
        <v>74</v>
      </c>
      <c r="R439" t="s">
        <v>74</v>
      </c>
      <c r="S439" t="s">
        <v>74</v>
      </c>
      <c r="T439" t="s">
        <v>8939</v>
      </c>
      <c r="U439" t="s">
        <v>8940</v>
      </c>
      <c r="V439" t="s">
        <v>8941</v>
      </c>
      <c r="W439" t="s">
        <v>8942</v>
      </c>
      <c r="X439" t="s">
        <v>8943</v>
      </c>
      <c r="Y439" t="s">
        <v>8944</v>
      </c>
      <c r="Z439" t="s">
        <v>8945</v>
      </c>
      <c r="AA439" t="s">
        <v>8946</v>
      </c>
      <c r="AB439" t="s">
        <v>8947</v>
      </c>
      <c r="AC439" t="s">
        <v>8948</v>
      </c>
      <c r="AD439" t="s">
        <v>8949</v>
      </c>
      <c r="AE439" t="s">
        <v>8950</v>
      </c>
      <c r="AF439" t="s">
        <v>74</v>
      </c>
      <c r="AG439">
        <v>51</v>
      </c>
      <c r="AH439">
        <v>13</v>
      </c>
      <c r="AI439">
        <v>13</v>
      </c>
      <c r="AJ439">
        <v>2</v>
      </c>
      <c r="AK439">
        <v>31</v>
      </c>
      <c r="AL439" t="s">
        <v>795</v>
      </c>
      <c r="AM439" t="s">
        <v>796</v>
      </c>
      <c r="AN439" t="s">
        <v>797</v>
      </c>
      <c r="AO439" t="s">
        <v>8951</v>
      </c>
      <c r="AP439" t="s">
        <v>8952</v>
      </c>
      <c r="AQ439" t="s">
        <v>74</v>
      </c>
      <c r="AR439" t="s">
        <v>8953</v>
      </c>
      <c r="AS439" t="s">
        <v>8954</v>
      </c>
      <c r="AT439" t="s">
        <v>127</v>
      </c>
      <c r="AU439">
        <v>2021</v>
      </c>
      <c r="AV439">
        <v>30</v>
      </c>
      <c r="AW439">
        <v>5</v>
      </c>
      <c r="AX439" t="s">
        <v>74</v>
      </c>
      <c r="AY439" t="s">
        <v>74</v>
      </c>
      <c r="AZ439" t="s">
        <v>74</v>
      </c>
      <c r="BA439" t="s">
        <v>74</v>
      </c>
      <c r="BB439">
        <v>1043</v>
      </c>
      <c r="BC439">
        <v>1055</v>
      </c>
      <c r="BD439" t="s">
        <v>74</v>
      </c>
      <c r="BE439" t="s">
        <v>8955</v>
      </c>
      <c r="BF439" t="str">
        <f>HYPERLINK("http://dx.doi.org/10.1111/geb.13283","http://dx.doi.org/10.1111/geb.13283")</f>
        <v>http://dx.doi.org/10.1111/geb.13283</v>
      </c>
      <c r="BG439" t="s">
        <v>74</v>
      </c>
      <c r="BH439" t="s">
        <v>6407</v>
      </c>
      <c r="BI439">
        <v>13</v>
      </c>
      <c r="BJ439" t="s">
        <v>3485</v>
      </c>
      <c r="BK439" t="s">
        <v>101</v>
      </c>
      <c r="BL439" t="s">
        <v>3486</v>
      </c>
      <c r="BM439" t="s">
        <v>8956</v>
      </c>
      <c r="BN439" t="s">
        <v>74</v>
      </c>
      <c r="BO439" t="s">
        <v>398</v>
      </c>
      <c r="BP439" t="s">
        <v>74</v>
      </c>
      <c r="BQ439" t="s">
        <v>74</v>
      </c>
      <c r="BR439" t="s">
        <v>104</v>
      </c>
      <c r="BS439" t="s">
        <v>8957</v>
      </c>
      <c r="BT439" t="str">
        <f>HYPERLINK("https%3A%2F%2Fwww.webofscience.com%2Fwos%2Fwoscc%2Ffull-record%2FWOS:000627828300001","View Full Record in Web of Science")</f>
        <v>View Full Record in Web of Science</v>
      </c>
    </row>
    <row r="440" spans="1:72" x14ac:dyDescent="0.15">
      <c r="A440" t="s">
        <v>72</v>
      </c>
      <c r="B440" t="s">
        <v>8958</v>
      </c>
      <c r="C440" t="s">
        <v>74</v>
      </c>
      <c r="D440" t="s">
        <v>74</v>
      </c>
      <c r="E440" t="s">
        <v>74</v>
      </c>
      <c r="F440" t="s">
        <v>8959</v>
      </c>
      <c r="G440" t="s">
        <v>74</v>
      </c>
      <c r="H440" t="s">
        <v>74</v>
      </c>
      <c r="I440" t="s">
        <v>8960</v>
      </c>
      <c r="J440" t="s">
        <v>8961</v>
      </c>
      <c r="K440" t="s">
        <v>74</v>
      </c>
      <c r="L440" t="s">
        <v>74</v>
      </c>
      <c r="M440" t="s">
        <v>78</v>
      </c>
      <c r="N440" t="s">
        <v>79</v>
      </c>
      <c r="O440" t="s">
        <v>74</v>
      </c>
      <c r="P440" t="s">
        <v>74</v>
      </c>
      <c r="Q440" t="s">
        <v>74</v>
      </c>
      <c r="R440" t="s">
        <v>74</v>
      </c>
      <c r="S440" t="s">
        <v>74</v>
      </c>
      <c r="T440" t="s">
        <v>8962</v>
      </c>
      <c r="U440" t="s">
        <v>8963</v>
      </c>
      <c r="V440" t="s">
        <v>8964</v>
      </c>
      <c r="W440" t="s">
        <v>8965</v>
      </c>
      <c r="X440" t="s">
        <v>8966</v>
      </c>
      <c r="Y440" t="s">
        <v>8967</v>
      </c>
      <c r="Z440" t="s">
        <v>8968</v>
      </c>
      <c r="AA440" t="s">
        <v>74</v>
      </c>
      <c r="AB440" t="s">
        <v>74</v>
      </c>
      <c r="AC440" t="s">
        <v>8969</v>
      </c>
      <c r="AD440" t="s">
        <v>8970</v>
      </c>
      <c r="AE440" t="s">
        <v>8971</v>
      </c>
      <c r="AF440" t="s">
        <v>74</v>
      </c>
      <c r="AG440">
        <v>37</v>
      </c>
      <c r="AH440">
        <v>15</v>
      </c>
      <c r="AI440">
        <v>18</v>
      </c>
      <c r="AJ440">
        <v>6</v>
      </c>
      <c r="AK440">
        <v>69</v>
      </c>
      <c r="AL440" t="s">
        <v>3000</v>
      </c>
      <c r="AM440" t="s">
        <v>167</v>
      </c>
      <c r="AN440" t="s">
        <v>3001</v>
      </c>
      <c r="AO440" t="s">
        <v>8972</v>
      </c>
      <c r="AP440" t="s">
        <v>8973</v>
      </c>
      <c r="AQ440" t="s">
        <v>74</v>
      </c>
      <c r="AR440" t="s">
        <v>8974</v>
      </c>
      <c r="AS440" t="s">
        <v>8975</v>
      </c>
      <c r="AT440" t="s">
        <v>1064</v>
      </c>
      <c r="AU440">
        <v>2021</v>
      </c>
      <c r="AV440">
        <v>255</v>
      </c>
      <c r="AW440" t="s">
        <v>74</v>
      </c>
      <c r="AX440" t="s">
        <v>74</v>
      </c>
      <c r="AY440" t="s">
        <v>74</v>
      </c>
      <c r="AZ440" t="s">
        <v>74</v>
      </c>
      <c r="BA440" t="s">
        <v>74</v>
      </c>
      <c r="BB440" t="s">
        <v>74</v>
      </c>
      <c r="BC440" t="s">
        <v>74</v>
      </c>
      <c r="BD440">
        <v>105533</v>
      </c>
      <c r="BE440" t="s">
        <v>8976</v>
      </c>
      <c r="BF440" t="str">
        <f>HYPERLINK("http://dx.doi.org/10.1016/j.atmosres.2021.105533","http://dx.doi.org/10.1016/j.atmosres.2021.105533")</f>
        <v>http://dx.doi.org/10.1016/j.atmosres.2021.105533</v>
      </c>
      <c r="BG440" t="s">
        <v>74</v>
      </c>
      <c r="BH440" t="s">
        <v>6407</v>
      </c>
      <c r="BI440">
        <v>12</v>
      </c>
      <c r="BJ440" t="s">
        <v>129</v>
      </c>
      <c r="BK440" t="s">
        <v>101</v>
      </c>
      <c r="BL440" t="s">
        <v>129</v>
      </c>
      <c r="BM440" t="s">
        <v>8977</v>
      </c>
      <c r="BN440" t="s">
        <v>74</v>
      </c>
      <c r="BO440" t="s">
        <v>74</v>
      </c>
      <c r="BP440" t="s">
        <v>74</v>
      </c>
      <c r="BQ440" t="s">
        <v>74</v>
      </c>
      <c r="BR440" t="s">
        <v>104</v>
      </c>
      <c r="BS440" t="s">
        <v>8978</v>
      </c>
      <c r="BT440" t="str">
        <f>HYPERLINK("https%3A%2F%2Fwww.webofscience.com%2Fwos%2Fwoscc%2Ffull-record%2FWOS:000636790300001","View Full Record in Web of Science")</f>
        <v>View Full Record in Web of Science</v>
      </c>
    </row>
    <row r="441" spans="1:72" x14ac:dyDescent="0.15">
      <c r="A441" t="s">
        <v>72</v>
      </c>
      <c r="B441" t="s">
        <v>8979</v>
      </c>
      <c r="C441" t="s">
        <v>74</v>
      </c>
      <c r="D441" t="s">
        <v>74</v>
      </c>
      <c r="E441" t="s">
        <v>74</v>
      </c>
      <c r="F441" t="s">
        <v>8980</v>
      </c>
      <c r="G441" t="s">
        <v>74</v>
      </c>
      <c r="H441" t="s">
        <v>74</v>
      </c>
      <c r="I441" t="s">
        <v>8981</v>
      </c>
      <c r="J441" t="s">
        <v>2021</v>
      </c>
      <c r="K441" t="s">
        <v>74</v>
      </c>
      <c r="L441" t="s">
        <v>74</v>
      </c>
      <c r="M441" t="s">
        <v>78</v>
      </c>
      <c r="N441" t="s">
        <v>79</v>
      </c>
      <c r="O441" t="s">
        <v>74</v>
      </c>
      <c r="P441" t="s">
        <v>74</v>
      </c>
      <c r="Q441" t="s">
        <v>74</v>
      </c>
      <c r="R441" t="s">
        <v>74</v>
      </c>
      <c r="S441" t="s">
        <v>74</v>
      </c>
      <c r="T441" t="s">
        <v>74</v>
      </c>
      <c r="U441" t="s">
        <v>8982</v>
      </c>
      <c r="V441" t="s">
        <v>8983</v>
      </c>
      <c r="W441" t="s">
        <v>8984</v>
      </c>
      <c r="X441" t="s">
        <v>8985</v>
      </c>
      <c r="Y441" t="s">
        <v>8986</v>
      </c>
      <c r="Z441" t="s">
        <v>8987</v>
      </c>
      <c r="AA441" t="s">
        <v>8988</v>
      </c>
      <c r="AB441" t="s">
        <v>8989</v>
      </c>
      <c r="AC441" t="s">
        <v>8990</v>
      </c>
      <c r="AD441" t="s">
        <v>8991</v>
      </c>
      <c r="AE441" t="s">
        <v>8992</v>
      </c>
      <c r="AF441" t="s">
        <v>74</v>
      </c>
      <c r="AG441">
        <v>106</v>
      </c>
      <c r="AH441">
        <v>3</v>
      </c>
      <c r="AI441">
        <v>3</v>
      </c>
      <c r="AJ441">
        <v>1</v>
      </c>
      <c r="AK441">
        <v>6</v>
      </c>
      <c r="AL441" t="s">
        <v>861</v>
      </c>
      <c r="AM441" t="s">
        <v>862</v>
      </c>
      <c r="AN441" t="s">
        <v>863</v>
      </c>
      <c r="AO441" t="s">
        <v>2033</v>
      </c>
      <c r="AP441" t="s">
        <v>74</v>
      </c>
      <c r="AQ441" t="s">
        <v>74</v>
      </c>
      <c r="AR441" t="s">
        <v>2034</v>
      </c>
      <c r="AS441" t="s">
        <v>2035</v>
      </c>
      <c r="AT441" t="s">
        <v>8993</v>
      </c>
      <c r="AU441">
        <v>2021</v>
      </c>
      <c r="AV441">
        <v>11</v>
      </c>
      <c r="AW441">
        <v>1</v>
      </c>
      <c r="AX441" t="s">
        <v>74</v>
      </c>
      <c r="AY441" t="s">
        <v>74</v>
      </c>
      <c r="AZ441" t="s">
        <v>74</v>
      </c>
      <c r="BA441" t="s">
        <v>74</v>
      </c>
      <c r="BB441" t="s">
        <v>74</v>
      </c>
      <c r="BC441" t="s">
        <v>74</v>
      </c>
      <c r="BD441">
        <v>5705</v>
      </c>
      <c r="BE441" t="s">
        <v>8994</v>
      </c>
      <c r="BF441" t="str">
        <f>HYPERLINK("http://dx.doi.org/10.1038/s41598-021-85042-7","http://dx.doi.org/10.1038/s41598-021-85042-7")</f>
        <v>http://dx.doi.org/10.1038/s41598-021-85042-7</v>
      </c>
      <c r="BG441" t="s">
        <v>74</v>
      </c>
      <c r="BH441" t="s">
        <v>74</v>
      </c>
      <c r="BI441">
        <v>12</v>
      </c>
      <c r="BJ441" t="s">
        <v>555</v>
      </c>
      <c r="BK441" t="s">
        <v>101</v>
      </c>
      <c r="BL441" t="s">
        <v>556</v>
      </c>
      <c r="BM441" t="s">
        <v>8995</v>
      </c>
      <c r="BN441">
        <v>33707560</v>
      </c>
      <c r="BO441" t="s">
        <v>558</v>
      </c>
      <c r="BP441" t="s">
        <v>74</v>
      </c>
      <c r="BQ441" t="s">
        <v>74</v>
      </c>
      <c r="BR441" t="s">
        <v>104</v>
      </c>
      <c r="BS441" t="s">
        <v>8996</v>
      </c>
      <c r="BT441" t="str">
        <f>HYPERLINK("https%3A%2F%2Fwww.webofscience.com%2Fwos%2Fwoscc%2Ffull-record%2FWOS:000629622100002","View Full Record in Web of Science")</f>
        <v>View Full Record in Web of Science</v>
      </c>
    </row>
    <row r="442" spans="1:72" x14ac:dyDescent="0.15">
      <c r="A442" t="s">
        <v>72</v>
      </c>
      <c r="B442" t="s">
        <v>8997</v>
      </c>
      <c r="C442" t="s">
        <v>74</v>
      </c>
      <c r="D442" t="s">
        <v>74</v>
      </c>
      <c r="E442" t="s">
        <v>74</v>
      </c>
      <c r="F442" t="s">
        <v>8998</v>
      </c>
      <c r="G442" t="s">
        <v>74</v>
      </c>
      <c r="H442" t="s">
        <v>74</v>
      </c>
      <c r="I442" t="s">
        <v>8999</v>
      </c>
      <c r="J442" t="s">
        <v>2687</v>
      </c>
      <c r="K442" t="s">
        <v>74</v>
      </c>
      <c r="L442" t="s">
        <v>74</v>
      </c>
      <c r="M442" t="s">
        <v>78</v>
      </c>
      <c r="N442" t="s">
        <v>79</v>
      </c>
      <c r="O442" t="s">
        <v>74</v>
      </c>
      <c r="P442" t="s">
        <v>74</v>
      </c>
      <c r="Q442" t="s">
        <v>74</v>
      </c>
      <c r="R442" t="s">
        <v>74</v>
      </c>
      <c r="S442" t="s">
        <v>74</v>
      </c>
      <c r="T442" t="s">
        <v>9000</v>
      </c>
      <c r="U442" t="s">
        <v>9001</v>
      </c>
      <c r="V442" t="s">
        <v>9002</v>
      </c>
      <c r="W442" t="s">
        <v>9003</v>
      </c>
      <c r="X442" t="s">
        <v>9004</v>
      </c>
      <c r="Y442" t="s">
        <v>9005</v>
      </c>
      <c r="Z442" t="s">
        <v>9006</v>
      </c>
      <c r="AA442" t="s">
        <v>74</v>
      </c>
      <c r="AB442" t="s">
        <v>9007</v>
      </c>
      <c r="AC442" t="s">
        <v>9008</v>
      </c>
      <c r="AD442" t="s">
        <v>9008</v>
      </c>
      <c r="AE442" t="s">
        <v>9009</v>
      </c>
      <c r="AF442" t="s">
        <v>74</v>
      </c>
      <c r="AG442">
        <v>59</v>
      </c>
      <c r="AH442">
        <v>27</v>
      </c>
      <c r="AI442">
        <v>28</v>
      </c>
      <c r="AJ442">
        <v>2</v>
      </c>
      <c r="AK442">
        <v>16</v>
      </c>
      <c r="AL442" t="s">
        <v>603</v>
      </c>
      <c r="AM442" t="s">
        <v>604</v>
      </c>
      <c r="AN442" t="s">
        <v>605</v>
      </c>
      <c r="AO442" t="s">
        <v>74</v>
      </c>
      <c r="AP442" t="s">
        <v>2699</v>
      </c>
      <c r="AQ442" t="s">
        <v>74</v>
      </c>
      <c r="AR442" t="s">
        <v>2700</v>
      </c>
      <c r="AS442" t="s">
        <v>2701</v>
      </c>
      <c r="AT442" t="s">
        <v>8993</v>
      </c>
      <c r="AU442">
        <v>2021</v>
      </c>
      <c r="AV442">
        <v>8</v>
      </c>
      <c r="AW442" t="s">
        <v>74</v>
      </c>
      <c r="AX442" t="s">
        <v>74</v>
      </c>
      <c r="AY442" t="s">
        <v>74</v>
      </c>
      <c r="AZ442" t="s">
        <v>74</v>
      </c>
      <c r="BA442" t="s">
        <v>74</v>
      </c>
      <c r="BB442" t="s">
        <v>74</v>
      </c>
      <c r="BC442" t="s">
        <v>74</v>
      </c>
      <c r="BD442">
        <v>648772</v>
      </c>
      <c r="BE442" t="s">
        <v>9010</v>
      </c>
      <c r="BF442" t="str">
        <f>HYPERLINK("http://dx.doi.org/10.3389/fmars.2021.648772","http://dx.doi.org/10.3389/fmars.2021.648772")</f>
        <v>http://dx.doi.org/10.3389/fmars.2021.648772</v>
      </c>
      <c r="BG442" t="s">
        <v>74</v>
      </c>
      <c r="BH442" t="s">
        <v>74</v>
      </c>
      <c r="BI442">
        <v>15</v>
      </c>
      <c r="BJ442" t="s">
        <v>1646</v>
      </c>
      <c r="BK442" t="s">
        <v>101</v>
      </c>
      <c r="BL442" t="s">
        <v>710</v>
      </c>
      <c r="BM442" t="s">
        <v>9011</v>
      </c>
      <c r="BN442" t="s">
        <v>74</v>
      </c>
      <c r="BO442" t="s">
        <v>317</v>
      </c>
      <c r="BP442" t="s">
        <v>74</v>
      </c>
      <c r="BQ442" t="s">
        <v>74</v>
      </c>
      <c r="BR442" t="s">
        <v>104</v>
      </c>
      <c r="BS442" t="s">
        <v>9012</v>
      </c>
      <c r="BT442" t="str">
        <f>HYPERLINK("https%3A%2F%2Fwww.webofscience.com%2Fwos%2Fwoscc%2Ffull-record%2FWOS:000632217100001","View Full Record in Web of Science")</f>
        <v>View Full Record in Web of Science</v>
      </c>
    </row>
    <row r="443" spans="1:72" x14ac:dyDescent="0.15">
      <c r="A443" t="s">
        <v>72</v>
      </c>
      <c r="B443" t="s">
        <v>9013</v>
      </c>
      <c r="C443" t="s">
        <v>74</v>
      </c>
      <c r="D443" t="s">
        <v>74</v>
      </c>
      <c r="E443" t="s">
        <v>74</v>
      </c>
      <c r="F443" t="s">
        <v>9014</v>
      </c>
      <c r="G443" t="s">
        <v>74</v>
      </c>
      <c r="H443" t="s">
        <v>74</v>
      </c>
      <c r="I443" t="s">
        <v>9015</v>
      </c>
      <c r="J443" t="s">
        <v>9016</v>
      </c>
      <c r="K443" t="s">
        <v>74</v>
      </c>
      <c r="L443" t="s">
        <v>74</v>
      </c>
      <c r="M443" t="s">
        <v>78</v>
      </c>
      <c r="N443" t="s">
        <v>79</v>
      </c>
      <c r="O443" t="s">
        <v>74</v>
      </c>
      <c r="P443" t="s">
        <v>74</v>
      </c>
      <c r="Q443" t="s">
        <v>74</v>
      </c>
      <c r="R443" t="s">
        <v>74</v>
      </c>
      <c r="S443" t="s">
        <v>74</v>
      </c>
      <c r="T443" t="s">
        <v>9017</v>
      </c>
      <c r="U443" t="s">
        <v>9018</v>
      </c>
      <c r="V443" t="s">
        <v>9019</v>
      </c>
      <c r="W443" t="s">
        <v>9020</v>
      </c>
      <c r="X443" t="s">
        <v>9021</v>
      </c>
      <c r="Y443" t="s">
        <v>9022</v>
      </c>
      <c r="Z443" t="s">
        <v>9023</v>
      </c>
      <c r="AA443" t="s">
        <v>9024</v>
      </c>
      <c r="AB443" t="s">
        <v>9025</v>
      </c>
      <c r="AC443" t="s">
        <v>9026</v>
      </c>
      <c r="AD443" t="s">
        <v>9027</v>
      </c>
      <c r="AE443" t="s">
        <v>9028</v>
      </c>
      <c r="AF443" t="s">
        <v>74</v>
      </c>
      <c r="AG443">
        <v>74</v>
      </c>
      <c r="AH443">
        <v>11</v>
      </c>
      <c r="AI443">
        <v>14</v>
      </c>
      <c r="AJ443">
        <v>3</v>
      </c>
      <c r="AK443">
        <v>9</v>
      </c>
      <c r="AL443" t="s">
        <v>795</v>
      </c>
      <c r="AM443" t="s">
        <v>796</v>
      </c>
      <c r="AN443" t="s">
        <v>797</v>
      </c>
      <c r="AO443" t="s">
        <v>9029</v>
      </c>
      <c r="AP443" t="s">
        <v>9030</v>
      </c>
      <c r="AQ443" t="s">
        <v>74</v>
      </c>
      <c r="AR443" t="s">
        <v>9016</v>
      </c>
      <c r="AS443" t="s">
        <v>4663</v>
      </c>
      <c r="AT443" t="s">
        <v>2859</v>
      </c>
      <c r="AU443">
        <v>2021</v>
      </c>
      <c r="AV443">
        <v>102</v>
      </c>
      <c r="AW443">
        <v>4</v>
      </c>
      <c r="AX443" t="s">
        <v>74</v>
      </c>
      <c r="AY443" t="s">
        <v>74</v>
      </c>
      <c r="AZ443" t="s">
        <v>74</v>
      </c>
      <c r="BA443" t="s">
        <v>74</v>
      </c>
      <c r="BB443" t="s">
        <v>74</v>
      </c>
      <c r="BC443" t="s">
        <v>74</v>
      </c>
      <c r="BD443" t="s">
        <v>74</v>
      </c>
      <c r="BE443" t="s">
        <v>9031</v>
      </c>
      <c r="BF443" t="str">
        <f>HYPERLINK("http://dx.doi.org/10.1002/ecy.3288","http://dx.doi.org/10.1002/ecy.3288")</f>
        <v>http://dx.doi.org/10.1002/ecy.3288</v>
      </c>
      <c r="BG443" t="s">
        <v>74</v>
      </c>
      <c r="BH443" t="s">
        <v>6407</v>
      </c>
      <c r="BI443">
        <v>12</v>
      </c>
      <c r="BJ443" t="s">
        <v>4663</v>
      </c>
      <c r="BK443" t="s">
        <v>101</v>
      </c>
      <c r="BL443" t="s">
        <v>225</v>
      </c>
      <c r="BM443" t="s">
        <v>9032</v>
      </c>
      <c r="BN443">
        <v>33481267</v>
      </c>
      <c r="BO443" t="s">
        <v>3273</v>
      </c>
      <c r="BP443" t="s">
        <v>74</v>
      </c>
      <c r="BQ443" t="s">
        <v>74</v>
      </c>
      <c r="BR443" t="s">
        <v>104</v>
      </c>
      <c r="BS443" t="s">
        <v>9033</v>
      </c>
      <c r="BT443" t="str">
        <f>HYPERLINK("https%3A%2F%2Fwww.webofscience.com%2Fwos%2Fwoscc%2Ffull-record%2FWOS:000627473000001","View Full Record in Web of Science")</f>
        <v>View Full Record in Web of Science</v>
      </c>
    </row>
    <row r="444" spans="1:72" x14ac:dyDescent="0.15">
      <c r="A444" t="s">
        <v>72</v>
      </c>
      <c r="B444" t="s">
        <v>9034</v>
      </c>
      <c r="C444" t="s">
        <v>74</v>
      </c>
      <c r="D444" t="s">
        <v>74</v>
      </c>
      <c r="E444" t="s">
        <v>74</v>
      </c>
      <c r="F444" t="s">
        <v>9035</v>
      </c>
      <c r="G444" t="s">
        <v>74</v>
      </c>
      <c r="H444" t="s">
        <v>74</v>
      </c>
      <c r="I444" t="s">
        <v>9036</v>
      </c>
      <c r="J444" t="s">
        <v>9037</v>
      </c>
      <c r="K444" t="s">
        <v>74</v>
      </c>
      <c r="L444" t="s">
        <v>74</v>
      </c>
      <c r="M444" t="s">
        <v>78</v>
      </c>
      <c r="N444" t="s">
        <v>79</v>
      </c>
      <c r="O444" t="s">
        <v>74</v>
      </c>
      <c r="P444" t="s">
        <v>74</v>
      </c>
      <c r="Q444" t="s">
        <v>74</v>
      </c>
      <c r="R444" t="s">
        <v>74</v>
      </c>
      <c r="S444" t="s">
        <v>74</v>
      </c>
      <c r="T444" t="s">
        <v>9038</v>
      </c>
      <c r="U444" t="s">
        <v>9039</v>
      </c>
      <c r="V444" t="s">
        <v>9040</v>
      </c>
      <c r="W444" t="s">
        <v>9041</v>
      </c>
      <c r="X444" t="s">
        <v>9042</v>
      </c>
      <c r="Y444" t="s">
        <v>9043</v>
      </c>
      <c r="Z444" t="s">
        <v>9044</v>
      </c>
      <c r="AA444" t="s">
        <v>9045</v>
      </c>
      <c r="AB444" t="s">
        <v>9046</v>
      </c>
      <c r="AC444" t="s">
        <v>9047</v>
      </c>
      <c r="AD444" t="s">
        <v>9048</v>
      </c>
      <c r="AE444" t="s">
        <v>9049</v>
      </c>
      <c r="AF444" t="s">
        <v>74</v>
      </c>
      <c r="AG444">
        <v>36</v>
      </c>
      <c r="AH444">
        <v>7</v>
      </c>
      <c r="AI444">
        <v>7</v>
      </c>
      <c r="AJ444">
        <v>0</v>
      </c>
      <c r="AK444">
        <v>4</v>
      </c>
      <c r="AL444" t="s">
        <v>625</v>
      </c>
      <c r="AM444" t="s">
        <v>167</v>
      </c>
      <c r="AN444" t="s">
        <v>626</v>
      </c>
      <c r="AO444" t="s">
        <v>9050</v>
      </c>
      <c r="AP444" t="s">
        <v>9051</v>
      </c>
      <c r="AQ444" t="s">
        <v>74</v>
      </c>
      <c r="AR444" t="s">
        <v>9052</v>
      </c>
      <c r="AS444" t="s">
        <v>9053</v>
      </c>
      <c r="AT444" t="s">
        <v>8993</v>
      </c>
      <c r="AU444">
        <v>2021</v>
      </c>
      <c r="AV444">
        <v>915</v>
      </c>
      <c r="AW444" t="s">
        <v>74</v>
      </c>
      <c r="AX444" t="s">
        <v>74</v>
      </c>
      <c r="AY444" t="s">
        <v>74</v>
      </c>
      <c r="AZ444" t="s">
        <v>74</v>
      </c>
      <c r="BA444" t="s">
        <v>74</v>
      </c>
      <c r="BB444" t="s">
        <v>74</v>
      </c>
      <c r="BC444" t="s">
        <v>74</v>
      </c>
      <c r="BD444" t="s">
        <v>9054</v>
      </c>
      <c r="BE444" t="s">
        <v>9055</v>
      </c>
      <c r="BF444" t="str">
        <f>HYPERLINK("http://dx.doi.org/10.1017/jfm.2021.38","http://dx.doi.org/10.1017/jfm.2021.38")</f>
        <v>http://dx.doi.org/10.1017/jfm.2021.38</v>
      </c>
      <c r="BG444" t="s">
        <v>74</v>
      </c>
      <c r="BH444" t="s">
        <v>74</v>
      </c>
      <c r="BI444">
        <v>31</v>
      </c>
      <c r="BJ444" t="s">
        <v>341</v>
      </c>
      <c r="BK444" t="s">
        <v>101</v>
      </c>
      <c r="BL444" t="s">
        <v>343</v>
      </c>
      <c r="BM444" t="s">
        <v>9056</v>
      </c>
      <c r="BN444" t="s">
        <v>74</v>
      </c>
      <c r="BO444" t="s">
        <v>496</v>
      </c>
      <c r="BP444" t="s">
        <v>74</v>
      </c>
      <c r="BQ444" t="s">
        <v>74</v>
      </c>
      <c r="BR444" t="s">
        <v>104</v>
      </c>
      <c r="BS444" t="s">
        <v>9057</v>
      </c>
      <c r="BT444" t="str">
        <f>HYPERLINK("https%3A%2F%2Fwww.webofscience.com%2Fwos%2Fwoscc%2Ffull-record%2FWOS:000627489200001","View Full Record in Web of Science")</f>
        <v>View Full Record in Web of Science</v>
      </c>
    </row>
    <row r="445" spans="1:72" x14ac:dyDescent="0.15">
      <c r="A445" t="s">
        <v>72</v>
      </c>
      <c r="B445" t="s">
        <v>9058</v>
      </c>
      <c r="C445" t="s">
        <v>74</v>
      </c>
      <c r="D445" t="s">
        <v>74</v>
      </c>
      <c r="E445" t="s">
        <v>74</v>
      </c>
      <c r="F445" t="s">
        <v>9059</v>
      </c>
      <c r="G445" t="s">
        <v>74</v>
      </c>
      <c r="H445" t="s">
        <v>74</v>
      </c>
      <c r="I445" t="s">
        <v>9060</v>
      </c>
      <c r="J445" t="s">
        <v>9061</v>
      </c>
      <c r="K445" t="s">
        <v>74</v>
      </c>
      <c r="L445" t="s">
        <v>74</v>
      </c>
      <c r="M445" t="s">
        <v>78</v>
      </c>
      <c r="N445" t="s">
        <v>79</v>
      </c>
      <c r="O445" t="s">
        <v>74</v>
      </c>
      <c r="P445" t="s">
        <v>74</v>
      </c>
      <c r="Q445" t="s">
        <v>74</v>
      </c>
      <c r="R445" t="s">
        <v>74</v>
      </c>
      <c r="S445" t="s">
        <v>74</v>
      </c>
      <c r="T445" t="s">
        <v>9062</v>
      </c>
      <c r="U445" t="s">
        <v>74</v>
      </c>
      <c r="V445" t="s">
        <v>9063</v>
      </c>
      <c r="W445" t="s">
        <v>9064</v>
      </c>
      <c r="X445" t="s">
        <v>9065</v>
      </c>
      <c r="Y445" t="s">
        <v>9066</v>
      </c>
      <c r="Z445" t="s">
        <v>9067</v>
      </c>
      <c r="AA445" t="s">
        <v>9068</v>
      </c>
      <c r="AB445" t="s">
        <v>9069</v>
      </c>
      <c r="AC445" t="s">
        <v>9070</v>
      </c>
      <c r="AD445" t="s">
        <v>9071</v>
      </c>
      <c r="AE445" t="s">
        <v>9072</v>
      </c>
      <c r="AF445" t="s">
        <v>74</v>
      </c>
      <c r="AG445">
        <v>77</v>
      </c>
      <c r="AH445">
        <v>3</v>
      </c>
      <c r="AI445">
        <v>3</v>
      </c>
      <c r="AJ445">
        <v>4</v>
      </c>
      <c r="AK445">
        <v>19</v>
      </c>
      <c r="AL445" t="s">
        <v>576</v>
      </c>
      <c r="AM445" t="s">
        <v>577</v>
      </c>
      <c r="AN445" t="s">
        <v>578</v>
      </c>
      <c r="AO445" t="s">
        <v>9073</v>
      </c>
      <c r="AP445" t="s">
        <v>9074</v>
      </c>
      <c r="AQ445" t="s">
        <v>74</v>
      </c>
      <c r="AR445" t="s">
        <v>9075</v>
      </c>
      <c r="AS445" t="s">
        <v>9076</v>
      </c>
      <c r="AT445" t="s">
        <v>127</v>
      </c>
      <c r="AU445">
        <v>2021</v>
      </c>
      <c r="AV445">
        <v>217</v>
      </c>
      <c r="AW445" t="s">
        <v>74</v>
      </c>
      <c r="AX445" t="s">
        <v>74</v>
      </c>
      <c r="AY445" t="s">
        <v>74</v>
      </c>
      <c r="AZ445" t="s">
        <v>74</v>
      </c>
      <c r="BA445" t="s">
        <v>74</v>
      </c>
      <c r="BB445" t="s">
        <v>74</v>
      </c>
      <c r="BC445" t="s">
        <v>74</v>
      </c>
      <c r="BD445">
        <v>103510</v>
      </c>
      <c r="BE445" t="s">
        <v>9077</v>
      </c>
      <c r="BF445" t="str">
        <f>HYPERLINK("http://dx.doi.org/10.1016/j.jmarsys.2021.103510","http://dx.doi.org/10.1016/j.jmarsys.2021.103510")</f>
        <v>http://dx.doi.org/10.1016/j.jmarsys.2021.103510</v>
      </c>
      <c r="BG445" t="s">
        <v>74</v>
      </c>
      <c r="BH445" t="s">
        <v>6407</v>
      </c>
      <c r="BI445">
        <v>11</v>
      </c>
      <c r="BJ445" t="s">
        <v>9078</v>
      </c>
      <c r="BK445" t="s">
        <v>101</v>
      </c>
      <c r="BL445" t="s">
        <v>9079</v>
      </c>
      <c r="BM445" t="s">
        <v>9080</v>
      </c>
      <c r="BN445" t="s">
        <v>74</v>
      </c>
      <c r="BO445" t="s">
        <v>74</v>
      </c>
      <c r="BP445" t="s">
        <v>74</v>
      </c>
      <c r="BQ445" t="s">
        <v>74</v>
      </c>
      <c r="BR445" t="s">
        <v>104</v>
      </c>
      <c r="BS445" t="s">
        <v>9081</v>
      </c>
      <c r="BT445" t="str">
        <f>HYPERLINK("https%3A%2F%2Fwww.webofscience.com%2Fwos%2Fwoscc%2Ffull-record%2FWOS:000629356300002","View Full Record in Web of Science")</f>
        <v>View Full Record in Web of Science</v>
      </c>
    </row>
    <row r="446" spans="1:72" x14ac:dyDescent="0.15">
      <c r="A446" t="s">
        <v>72</v>
      </c>
      <c r="B446" t="s">
        <v>9082</v>
      </c>
      <c r="C446" t="s">
        <v>74</v>
      </c>
      <c r="D446" t="s">
        <v>74</v>
      </c>
      <c r="E446" t="s">
        <v>74</v>
      </c>
      <c r="F446" t="s">
        <v>9083</v>
      </c>
      <c r="G446" t="s">
        <v>74</v>
      </c>
      <c r="H446" t="s">
        <v>9084</v>
      </c>
      <c r="I446" t="s">
        <v>9085</v>
      </c>
      <c r="J446" t="s">
        <v>852</v>
      </c>
      <c r="K446" t="s">
        <v>74</v>
      </c>
      <c r="L446" t="s">
        <v>74</v>
      </c>
      <c r="M446" t="s">
        <v>78</v>
      </c>
      <c r="N446" t="s">
        <v>79</v>
      </c>
      <c r="O446" t="s">
        <v>74</v>
      </c>
      <c r="P446" t="s">
        <v>74</v>
      </c>
      <c r="Q446" t="s">
        <v>74</v>
      </c>
      <c r="R446" t="s">
        <v>74</v>
      </c>
      <c r="S446" t="s">
        <v>74</v>
      </c>
      <c r="T446" t="s">
        <v>74</v>
      </c>
      <c r="U446" t="s">
        <v>9086</v>
      </c>
      <c r="V446" t="s">
        <v>9087</v>
      </c>
      <c r="W446" t="s">
        <v>9088</v>
      </c>
      <c r="X446" t="s">
        <v>9089</v>
      </c>
      <c r="Y446" t="s">
        <v>9090</v>
      </c>
      <c r="Z446" t="s">
        <v>9091</v>
      </c>
      <c r="AA446" t="s">
        <v>9092</v>
      </c>
      <c r="AB446" t="s">
        <v>9093</v>
      </c>
      <c r="AC446" t="s">
        <v>9094</v>
      </c>
      <c r="AD446" t="s">
        <v>9095</v>
      </c>
      <c r="AE446" t="s">
        <v>9096</v>
      </c>
      <c r="AF446" t="s">
        <v>74</v>
      </c>
      <c r="AG446">
        <v>55</v>
      </c>
      <c r="AH446">
        <v>91</v>
      </c>
      <c r="AI446">
        <v>100</v>
      </c>
      <c r="AJ446">
        <v>3</v>
      </c>
      <c r="AK446">
        <v>35</v>
      </c>
      <c r="AL446" t="s">
        <v>861</v>
      </c>
      <c r="AM446" t="s">
        <v>862</v>
      </c>
      <c r="AN446" t="s">
        <v>863</v>
      </c>
      <c r="AO446" t="s">
        <v>864</v>
      </c>
      <c r="AP446" t="s">
        <v>865</v>
      </c>
      <c r="AQ446" t="s">
        <v>74</v>
      </c>
      <c r="AR446" t="s">
        <v>852</v>
      </c>
      <c r="AS446" t="s">
        <v>866</v>
      </c>
      <c r="AT446" t="s">
        <v>8993</v>
      </c>
      <c r="AU446">
        <v>2021</v>
      </c>
      <c r="AV446">
        <v>591</v>
      </c>
      <c r="AW446">
        <v>7849</v>
      </c>
      <c r="AX446" t="s">
        <v>74</v>
      </c>
      <c r="AY446" t="s">
        <v>74</v>
      </c>
      <c r="AZ446" t="s">
        <v>74</v>
      </c>
      <c r="BA446" t="s">
        <v>74</v>
      </c>
      <c r="BB446">
        <v>220</v>
      </c>
      <c r="BC446" t="s">
        <v>867</v>
      </c>
      <c r="BD446" t="s">
        <v>74</v>
      </c>
      <c r="BE446" t="s">
        <v>9097</v>
      </c>
      <c r="BF446" t="str">
        <f>HYPERLINK("http://dx.doi.org/10.1038/s41586-021-03256-1","http://dx.doi.org/10.1038/s41586-021-03256-1")</f>
        <v>http://dx.doi.org/10.1038/s41586-021-03256-1</v>
      </c>
      <c r="BG446" t="s">
        <v>74</v>
      </c>
      <c r="BH446" t="s">
        <v>74</v>
      </c>
      <c r="BI446">
        <v>14</v>
      </c>
      <c r="BJ446" t="s">
        <v>555</v>
      </c>
      <c r="BK446" t="s">
        <v>101</v>
      </c>
      <c r="BL446" t="s">
        <v>556</v>
      </c>
      <c r="BM446" t="s">
        <v>9098</v>
      </c>
      <c r="BN446">
        <v>33692563</v>
      </c>
      <c r="BO446" t="s">
        <v>496</v>
      </c>
      <c r="BP446" t="s">
        <v>871</v>
      </c>
      <c r="BQ446" t="s">
        <v>872</v>
      </c>
      <c r="BR446" t="s">
        <v>104</v>
      </c>
      <c r="BS446" t="s">
        <v>9099</v>
      </c>
      <c r="BT446" t="str">
        <f>HYPERLINK("https%3A%2F%2Fwww.webofscience.com%2Fwos%2Fwoscc%2Ffull-record%2FWOS:000627422700007","View Full Record in Web of Science")</f>
        <v>View Full Record in Web of Science</v>
      </c>
    </row>
    <row r="447" spans="1:72" x14ac:dyDescent="0.15">
      <c r="A447" t="s">
        <v>72</v>
      </c>
      <c r="B447" t="s">
        <v>9100</v>
      </c>
      <c r="C447" t="s">
        <v>74</v>
      </c>
      <c r="D447" t="s">
        <v>74</v>
      </c>
      <c r="E447" t="s">
        <v>74</v>
      </c>
      <c r="F447" t="s">
        <v>9101</v>
      </c>
      <c r="G447" t="s">
        <v>74</v>
      </c>
      <c r="H447" t="s">
        <v>74</v>
      </c>
      <c r="I447" t="s">
        <v>9102</v>
      </c>
      <c r="J447" t="s">
        <v>7918</v>
      </c>
      <c r="K447" t="s">
        <v>74</v>
      </c>
      <c r="L447" t="s">
        <v>74</v>
      </c>
      <c r="M447" t="s">
        <v>78</v>
      </c>
      <c r="N447" t="s">
        <v>79</v>
      </c>
      <c r="O447" t="s">
        <v>74</v>
      </c>
      <c r="P447" t="s">
        <v>74</v>
      </c>
      <c r="Q447" t="s">
        <v>74</v>
      </c>
      <c r="R447" t="s">
        <v>74</v>
      </c>
      <c r="S447" t="s">
        <v>74</v>
      </c>
      <c r="T447" t="s">
        <v>9103</v>
      </c>
      <c r="U447" t="s">
        <v>9104</v>
      </c>
      <c r="V447" t="s">
        <v>9105</v>
      </c>
      <c r="W447" t="s">
        <v>9106</v>
      </c>
      <c r="X447" t="s">
        <v>9107</v>
      </c>
      <c r="Y447" t="s">
        <v>9108</v>
      </c>
      <c r="Z447" t="s">
        <v>9109</v>
      </c>
      <c r="AA447" t="s">
        <v>9110</v>
      </c>
      <c r="AB447" t="s">
        <v>9111</v>
      </c>
      <c r="AC447" t="s">
        <v>9112</v>
      </c>
      <c r="AD447" t="s">
        <v>4769</v>
      </c>
      <c r="AE447" t="s">
        <v>9113</v>
      </c>
      <c r="AF447" t="s">
        <v>74</v>
      </c>
      <c r="AG447">
        <v>60</v>
      </c>
      <c r="AH447">
        <v>7</v>
      </c>
      <c r="AI447">
        <v>7</v>
      </c>
      <c r="AJ447">
        <v>3</v>
      </c>
      <c r="AK447">
        <v>24</v>
      </c>
      <c r="AL447" t="s">
        <v>3000</v>
      </c>
      <c r="AM447" t="s">
        <v>167</v>
      </c>
      <c r="AN447" t="s">
        <v>3001</v>
      </c>
      <c r="AO447" t="s">
        <v>7929</v>
      </c>
      <c r="AP447" t="s">
        <v>7930</v>
      </c>
      <c r="AQ447" t="s">
        <v>74</v>
      </c>
      <c r="AR447" t="s">
        <v>7931</v>
      </c>
      <c r="AS447" t="s">
        <v>7932</v>
      </c>
      <c r="AT447" t="s">
        <v>707</v>
      </c>
      <c r="AU447">
        <v>2021</v>
      </c>
      <c r="AV447">
        <v>256</v>
      </c>
      <c r="AW447" t="s">
        <v>74</v>
      </c>
      <c r="AX447" t="s">
        <v>74</v>
      </c>
      <c r="AY447" t="s">
        <v>74</v>
      </c>
      <c r="AZ447" t="s">
        <v>74</v>
      </c>
      <c r="BA447" t="s">
        <v>74</v>
      </c>
      <c r="BB447" t="s">
        <v>74</v>
      </c>
      <c r="BC447" t="s">
        <v>74</v>
      </c>
      <c r="BD447">
        <v>110928</v>
      </c>
      <c r="BE447" t="s">
        <v>9114</v>
      </c>
      <c r="BF447" t="str">
        <f>HYPERLINK("http://dx.doi.org/10.1016/j.cbpa.2021.110928","http://dx.doi.org/10.1016/j.cbpa.2021.110928")</f>
        <v>http://dx.doi.org/10.1016/j.cbpa.2021.110928</v>
      </c>
      <c r="BG447" t="s">
        <v>74</v>
      </c>
      <c r="BH447" t="s">
        <v>6407</v>
      </c>
      <c r="BI447">
        <v>7</v>
      </c>
      <c r="BJ447" t="s">
        <v>7934</v>
      </c>
      <c r="BK447" t="s">
        <v>101</v>
      </c>
      <c r="BL447" t="s">
        <v>7934</v>
      </c>
      <c r="BM447" t="s">
        <v>7935</v>
      </c>
      <c r="BN447">
        <v>33647463</v>
      </c>
      <c r="BO447" t="s">
        <v>1068</v>
      </c>
      <c r="BP447" t="s">
        <v>74</v>
      </c>
      <c r="BQ447" t="s">
        <v>74</v>
      </c>
      <c r="BR447" t="s">
        <v>104</v>
      </c>
      <c r="BS447" t="s">
        <v>9115</v>
      </c>
      <c r="BT447" t="str">
        <f>HYPERLINK("https%3A%2F%2Fwww.webofscience.com%2Fwos%2Fwoscc%2Ffull-record%2FWOS:000640388900003","View Full Record in Web of Science")</f>
        <v>View Full Record in Web of Science</v>
      </c>
    </row>
    <row r="448" spans="1:72" x14ac:dyDescent="0.15">
      <c r="A448" t="s">
        <v>72</v>
      </c>
      <c r="B448" t="s">
        <v>9116</v>
      </c>
      <c r="C448" t="s">
        <v>74</v>
      </c>
      <c r="D448" t="s">
        <v>74</v>
      </c>
      <c r="E448" t="s">
        <v>74</v>
      </c>
      <c r="F448" t="s">
        <v>9117</v>
      </c>
      <c r="G448" t="s">
        <v>74</v>
      </c>
      <c r="H448" t="s">
        <v>74</v>
      </c>
      <c r="I448" t="s">
        <v>9118</v>
      </c>
      <c r="J448" t="s">
        <v>3057</v>
      </c>
      <c r="K448" t="s">
        <v>74</v>
      </c>
      <c r="L448" t="s">
        <v>74</v>
      </c>
      <c r="M448" t="s">
        <v>78</v>
      </c>
      <c r="N448" t="s">
        <v>79</v>
      </c>
      <c r="O448" t="s">
        <v>74</v>
      </c>
      <c r="P448" t="s">
        <v>74</v>
      </c>
      <c r="Q448" t="s">
        <v>74</v>
      </c>
      <c r="R448" t="s">
        <v>74</v>
      </c>
      <c r="S448" t="s">
        <v>74</v>
      </c>
      <c r="T448" t="s">
        <v>74</v>
      </c>
      <c r="U448" t="s">
        <v>9119</v>
      </c>
      <c r="V448" t="s">
        <v>9120</v>
      </c>
      <c r="W448" t="s">
        <v>9121</v>
      </c>
      <c r="X448" t="s">
        <v>9122</v>
      </c>
      <c r="Y448" t="s">
        <v>9123</v>
      </c>
      <c r="Z448" t="s">
        <v>9124</v>
      </c>
      <c r="AA448" t="s">
        <v>9125</v>
      </c>
      <c r="AB448" t="s">
        <v>9126</v>
      </c>
      <c r="AC448" t="s">
        <v>9127</v>
      </c>
      <c r="AD448" t="s">
        <v>9128</v>
      </c>
      <c r="AE448" t="s">
        <v>9129</v>
      </c>
      <c r="AF448" t="s">
        <v>74</v>
      </c>
      <c r="AG448">
        <v>23</v>
      </c>
      <c r="AH448">
        <v>4</v>
      </c>
      <c r="AI448">
        <v>4</v>
      </c>
      <c r="AJ448">
        <v>4</v>
      </c>
      <c r="AK448">
        <v>9</v>
      </c>
      <c r="AL448" t="s">
        <v>1269</v>
      </c>
      <c r="AM448" t="s">
        <v>1270</v>
      </c>
      <c r="AN448" t="s">
        <v>1271</v>
      </c>
      <c r="AO448" t="s">
        <v>3069</v>
      </c>
      <c r="AP448" t="s">
        <v>3070</v>
      </c>
      <c r="AQ448" t="s">
        <v>74</v>
      </c>
      <c r="AR448" t="s">
        <v>3071</v>
      </c>
      <c r="AS448" t="s">
        <v>3072</v>
      </c>
      <c r="AT448" t="s">
        <v>9130</v>
      </c>
      <c r="AU448">
        <v>2021</v>
      </c>
      <c r="AV448">
        <v>13</v>
      </c>
      <c r="AW448">
        <v>3</v>
      </c>
      <c r="AX448" t="s">
        <v>74</v>
      </c>
      <c r="AY448" t="s">
        <v>74</v>
      </c>
      <c r="AZ448" t="s">
        <v>74</v>
      </c>
      <c r="BA448" t="s">
        <v>74</v>
      </c>
      <c r="BB448">
        <v>969</v>
      </c>
      <c r="BC448">
        <v>982</v>
      </c>
      <c r="BD448" t="s">
        <v>74</v>
      </c>
      <c r="BE448" t="s">
        <v>9131</v>
      </c>
      <c r="BF448" t="str">
        <f>HYPERLINK("http://dx.doi.org/10.5194/essd-13-969-2021","http://dx.doi.org/10.5194/essd-13-969-2021")</f>
        <v>http://dx.doi.org/10.5194/essd-13-969-2021</v>
      </c>
      <c r="BG448" t="s">
        <v>74</v>
      </c>
      <c r="BH448" t="s">
        <v>74</v>
      </c>
      <c r="BI448">
        <v>14</v>
      </c>
      <c r="BJ448" t="s">
        <v>2907</v>
      </c>
      <c r="BK448" t="s">
        <v>101</v>
      </c>
      <c r="BL448" t="s">
        <v>2908</v>
      </c>
      <c r="BM448" t="s">
        <v>9132</v>
      </c>
      <c r="BN448" t="s">
        <v>74</v>
      </c>
      <c r="BO448" t="s">
        <v>1280</v>
      </c>
      <c r="BP448" t="s">
        <v>74</v>
      </c>
      <c r="BQ448" t="s">
        <v>74</v>
      </c>
      <c r="BR448" t="s">
        <v>104</v>
      </c>
      <c r="BS448" t="s">
        <v>9133</v>
      </c>
      <c r="BT448" t="str">
        <f>HYPERLINK("https%3A%2F%2Fwww.webofscience.com%2Fwos%2Fwoscc%2Ffull-record%2FWOS:000629131400001","View Full Record in Web of Science")</f>
        <v>View Full Record in Web of Science</v>
      </c>
    </row>
    <row r="449" spans="1:72" x14ac:dyDescent="0.15">
      <c r="A449" t="s">
        <v>72</v>
      </c>
      <c r="B449" t="s">
        <v>9134</v>
      </c>
      <c r="C449" t="s">
        <v>74</v>
      </c>
      <c r="D449" t="s">
        <v>74</v>
      </c>
      <c r="E449" t="s">
        <v>74</v>
      </c>
      <c r="F449" t="s">
        <v>9135</v>
      </c>
      <c r="G449" t="s">
        <v>74</v>
      </c>
      <c r="H449" t="s">
        <v>74</v>
      </c>
      <c r="I449" t="s">
        <v>9136</v>
      </c>
      <c r="J449" t="s">
        <v>9137</v>
      </c>
      <c r="K449" t="s">
        <v>74</v>
      </c>
      <c r="L449" t="s">
        <v>74</v>
      </c>
      <c r="M449" t="s">
        <v>78</v>
      </c>
      <c r="N449" t="s">
        <v>79</v>
      </c>
      <c r="O449" t="s">
        <v>74</v>
      </c>
      <c r="P449" t="s">
        <v>74</v>
      </c>
      <c r="Q449" t="s">
        <v>74</v>
      </c>
      <c r="R449" t="s">
        <v>74</v>
      </c>
      <c r="S449" t="s">
        <v>74</v>
      </c>
      <c r="T449" t="s">
        <v>9138</v>
      </c>
      <c r="U449" t="s">
        <v>74</v>
      </c>
      <c r="V449" t="s">
        <v>9139</v>
      </c>
      <c r="W449" t="s">
        <v>9140</v>
      </c>
      <c r="X449" t="s">
        <v>9141</v>
      </c>
      <c r="Y449" t="s">
        <v>9142</v>
      </c>
      <c r="Z449" t="s">
        <v>9143</v>
      </c>
      <c r="AA449" t="s">
        <v>9144</v>
      </c>
      <c r="AB449" t="s">
        <v>9145</v>
      </c>
      <c r="AC449" t="s">
        <v>74</v>
      </c>
      <c r="AD449" t="s">
        <v>74</v>
      </c>
      <c r="AE449" t="s">
        <v>74</v>
      </c>
      <c r="AF449" t="s">
        <v>74</v>
      </c>
      <c r="AG449">
        <v>20</v>
      </c>
      <c r="AH449">
        <v>0</v>
      </c>
      <c r="AI449">
        <v>0</v>
      </c>
      <c r="AJ449">
        <v>1</v>
      </c>
      <c r="AK449">
        <v>8</v>
      </c>
      <c r="AL449" t="s">
        <v>9146</v>
      </c>
      <c r="AM449" t="s">
        <v>9147</v>
      </c>
      <c r="AN449" t="s">
        <v>9148</v>
      </c>
      <c r="AO449" t="s">
        <v>9149</v>
      </c>
      <c r="AP449" t="s">
        <v>74</v>
      </c>
      <c r="AQ449" t="s">
        <v>74</v>
      </c>
      <c r="AR449" t="s">
        <v>9150</v>
      </c>
      <c r="AS449" t="s">
        <v>9151</v>
      </c>
      <c r="AT449" t="s">
        <v>9130</v>
      </c>
      <c r="AU449">
        <v>2021</v>
      </c>
      <c r="AV449">
        <v>120</v>
      </c>
      <c r="AW449">
        <v>5</v>
      </c>
      <c r="AX449" t="s">
        <v>74</v>
      </c>
      <c r="AY449" t="s">
        <v>74</v>
      </c>
      <c r="AZ449" t="s">
        <v>74</v>
      </c>
      <c r="BA449" t="s">
        <v>74</v>
      </c>
      <c r="BB449">
        <v>932</v>
      </c>
      <c r="BC449">
        <v>936</v>
      </c>
      <c r="BD449" t="s">
        <v>74</v>
      </c>
      <c r="BE449" t="s">
        <v>9152</v>
      </c>
      <c r="BF449" t="str">
        <f>HYPERLINK("http://dx.doi.org/10.18520/cs/v120/i5/932-936","http://dx.doi.org/10.18520/cs/v120/i5/932-936")</f>
        <v>http://dx.doi.org/10.18520/cs/v120/i5/932-936</v>
      </c>
      <c r="BG449" t="s">
        <v>74</v>
      </c>
      <c r="BH449" t="s">
        <v>74</v>
      </c>
      <c r="BI449">
        <v>5</v>
      </c>
      <c r="BJ449" t="s">
        <v>555</v>
      </c>
      <c r="BK449" t="s">
        <v>101</v>
      </c>
      <c r="BL449" t="s">
        <v>556</v>
      </c>
      <c r="BM449" t="s">
        <v>9153</v>
      </c>
      <c r="BN449" t="s">
        <v>74</v>
      </c>
      <c r="BO449" t="s">
        <v>317</v>
      </c>
      <c r="BP449" t="s">
        <v>74</v>
      </c>
      <c r="BQ449" t="s">
        <v>74</v>
      </c>
      <c r="BR449" t="s">
        <v>104</v>
      </c>
      <c r="BS449" t="s">
        <v>9154</v>
      </c>
      <c r="BT449" t="str">
        <f>HYPERLINK("https%3A%2F%2Fwww.webofscience.com%2Fwos%2Fwoscc%2Ffull-record%2FWOS:000626722900038","View Full Record in Web of Science")</f>
        <v>View Full Record in Web of Science</v>
      </c>
    </row>
    <row r="450" spans="1:72" x14ac:dyDescent="0.15">
      <c r="A450" t="s">
        <v>72</v>
      </c>
      <c r="B450" t="s">
        <v>9155</v>
      </c>
      <c r="C450" t="s">
        <v>74</v>
      </c>
      <c r="D450" t="s">
        <v>74</v>
      </c>
      <c r="E450" t="s">
        <v>74</v>
      </c>
      <c r="F450" t="s">
        <v>9156</v>
      </c>
      <c r="G450" t="s">
        <v>74</v>
      </c>
      <c r="H450" t="s">
        <v>74</v>
      </c>
      <c r="I450" t="s">
        <v>9157</v>
      </c>
      <c r="J450" t="s">
        <v>9158</v>
      </c>
      <c r="K450" t="s">
        <v>74</v>
      </c>
      <c r="L450" t="s">
        <v>74</v>
      </c>
      <c r="M450" t="s">
        <v>78</v>
      </c>
      <c r="N450" t="s">
        <v>79</v>
      </c>
      <c r="O450" t="s">
        <v>74</v>
      </c>
      <c r="P450" t="s">
        <v>74</v>
      </c>
      <c r="Q450" t="s">
        <v>74</v>
      </c>
      <c r="R450" t="s">
        <v>74</v>
      </c>
      <c r="S450" t="s">
        <v>74</v>
      </c>
      <c r="T450" t="s">
        <v>74</v>
      </c>
      <c r="U450" t="s">
        <v>9159</v>
      </c>
      <c r="V450" t="s">
        <v>9160</v>
      </c>
      <c r="W450" t="s">
        <v>9161</v>
      </c>
      <c r="X450" t="s">
        <v>9162</v>
      </c>
      <c r="Y450" t="s">
        <v>9163</v>
      </c>
      <c r="Z450" t="s">
        <v>9164</v>
      </c>
      <c r="AA450" t="s">
        <v>9165</v>
      </c>
      <c r="AB450" t="s">
        <v>9166</v>
      </c>
      <c r="AC450" t="s">
        <v>9167</v>
      </c>
      <c r="AD450" t="s">
        <v>9168</v>
      </c>
      <c r="AE450" t="s">
        <v>9169</v>
      </c>
      <c r="AF450" t="s">
        <v>74</v>
      </c>
      <c r="AG450">
        <v>133</v>
      </c>
      <c r="AH450">
        <v>8</v>
      </c>
      <c r="AI450">
        <v>8</v>
      </c>
      <c r="AJ450">
        <v>1</v>
      </c>
      <c r="AK450">
        <v>18</v>
      </c>
      <c r="AL450" t="s">
        <v>1269</v>
      </c>
      <c r="AM450" t="s">
        <v>1270</v>
      </c>
      <c r="AN450" t="s">
        <v>1271</v>
      </c>
      <c r="AO450" t="s">
        <v>9170</v>
      </c>
      <c r="AP450" t="s">
        <v>9171</v>
      </c>
      <c r="AQ450" t="s">
        <v>74</v>
      </c>
      <c r="AR450" t="s">
        <v>9172</v>
      </c>
      <c r="AS450" t="s">
        <v>9173</v>
      </c>
      <c r="AT450" t="s">
        <v>9130</v>
      </c>
      <c r="AU450">
        <v>2021</v>
      </c>
      <c r="AV450">
        <v>40</v>
      </c>
      <c r="AW450">
        <v>1</v>
      </c>
      <c r="AX450" t="s">
        <v>74</v>
      </c>
      <c r="AY450" t="s">
        <v>74</v>
      </c>
      <c r="AZ450" t="s">
        <v>74</v>
      </c>
      <c r="BA450" t="s">
        <v>74</v>
      </c>
      <c r="BB450">
        <v>15</v>
      </c>
      <c r="BC450">
        <v>35</v>
      </c>
      <c r="BD450" t="s">
        <v>74</v>
      </c>
      <c r="BE450" t="s">
        <v>9174</v>
      </c>
      <c r="BF450" t="str">
        <f>HYPERLINK("http://dx.doi.org/10.5194/jm-40-15-2021","http://dx.doi.org/10.5194/jm-40-15-2021")</f>
        <v>http://dx.doi.org/10.5194/jm-40-15-2021</v>
      </c>
      <c r="BG450" t="s">
        <v>74</v>
      </c>
      <c r="BH450" t="s">
        <v>74</v>
      </c>
      <c r="BI450">
        <v>21</v>
      </c>
      <c r="BJ450" t="s">
        <v>3868</v>
      </c>
      <c r="BK450" t="s">
        <v>101</v>
      </c>
      <c r="BL450" t="s">
        <v>3868</v>
      </c>
      <c r="BM450" t="s">
        <v>9175</v>
      </c>
      <c r="BN450" t="s">
        <v>74</v>
      </c>
      <c r="BO450" t="s">
        <v>1280</v>
      </c>
      <c r="BP450" t="s">
        <v>74</v>
      </c>
      <c r="BQ450" t="s">
        <v>74</v>
      </c>
      <c r="BR450" t="s">
        <v>104</v>
      </c>
      <c r="BS450" t="s">
        <v>9176</v>
      </c>
      <c r="BT450" t="str">
        <f>HYPERLINK("https%3A%2F%2Fwww.webofscience.com%2Fwos%2Fwoscc%2Ffull-record%2FWOS:000627628000001","View Full Record in Web of Science")</f>
        <v>View Full Record in Web of Science</v>
      </c>
    </row>
    <row r="451" spans="1:72" x14ac:dyDescent="0.15">
      <c r="A451" t="s">
        <v>72</v>
      </c>
      <c r="B451" t="s">
        <v>9177</v>
      </c>
      <c r="C451" t="s">
        <v>74</v>
      </c>
      <c r="D451" t="s">
        <v>74</v>
      </c>
      <c r="E451" t="s">
        <v>74</v>
      </c>
      <c r="F451" t="s">
        <v>9178</v>
      </c>
      <c r="G451" t="s">
        <v>74</v>
      </c>
      <c r="H451" t="s">
        <v>74</v>
      </c>
      <c r="I451" t="s">
        <v>9179</v>
      </c>
      <c r="J451" t="s">
        <v>9180</v>
      </c>
      <c r="K451" t="s">
        <v>74</v>
      </c>
      <c r="L451" t="s">
        <v>74</v>
      </c>
      <c r="M451" t="s">
        <v>78</v>
      </c>
      <c r="N451" t="s">
        <v>79</v>
      </c>
      <c r="O451" t="s">
        <v>74</v>
      </c>
      <c r="P451" t="s">
        <v>74</v>
      </c>
      <c r="Q451" t="s">
        <v>74</v>
      </c>
      <c r="R451" t="s">
        <v>74</v>
      </c>
      <c r="S451" t="s">
        <v>74</v>
      </c>
      <c r="T451" t="s">
        <v>9181</v>
      </c>
      <c r="U451" t="s">
        <v>74</v>
      </c>
      <c r="V451" t="s">
        <v>9182</v>
      </c>
      <c r="W451" t="s">
        <v>9183</v>
      </c>
      <c r="X451" t="s">
        <v>9184</v>
      </c>
      <c r="Y451" t="s">
        <v>9185</v>
      </c>
      <c r="Z451" t="s">
        <v>9186</v>
      </c>
      <c r="AA451" t="s">
        <v>74</v>
      </c>
      <c r="AB451" t="s">
        <v>9187</v>
      </c>
      <c r="AC451" t="s">
        <v>9188</v>
      </c>
      <c r="AD451" t="s">
        <v>9189</v>
      </c>
      <c r="AE451" t="s">
        <v>9190</v>
      </c>
      <c r="AF451" t="s">
        <v>74</v>
      </c>
      <c r="AG451">
        <v>60</v>
      </c>
      <c r="AH451">
        <v>11</v>
      </c>
      <c r="AI451">
        <v>12</v>
      </c>
      <c r="AJ451">
        <v>3</v>
      </c>
      <c r="AK451">
        <v>36</v>
      </c>
      <c r="AL451" t="s">
        <v>603</v>
      </c>
      <c r="AM451" t="s">
        <v>604</v>
      </c>
      <c r="AN451" t="s">
        <v>605</v>
      </c>
      <c r="AO451" t="s">
        <v>9191</v>
      </c>
      <c r="AP451" t="s">
        <v>74</v>
      </c>
      <c r="AQ451" t="s">
        <v>74</v>
      </c>
      <c r="AR451" t="s">
        <v>9192</v>
      </c>
      <c r="AS451" t="s">
        <v>9193</v>
      </c>
      <c r="AT451" t="s">
        <v>9194</v>
      </c>
      <c r="AU451">
        <v>2021</v>
      </c>
      <c r="AV451">
        <v>8</v>
      </c>
      <c r="AW451" t="s">
        <v>74</v>
      </c>
      <c r="AX451" t="s">
        <v>74</v>
      </c>
      <c r="AY451" t="s">
        <v>74</v>
      </c>
      <c r="AZ451" t="s">
        <v>74</v>
      </c>
      <c r="BA451" t="s">
        <v>74</v>
      </c>
      <c r="BB451" t="s">
        <v>74</v>
      </c>
      <c r="BC451" t="s">
        <v>74</v>
      </c>
      <c r="BD451">
        <v>651088</v>
      </c>
      <c r="BE451" t="s">
        <v>9195</v>
      </c>
      <c r="BF451" t="str">
        <f>HYPERLINK("http://dx.doi.org/10.3389/fnut.2021.651088","http://dx.doi.org/10.3389/fnut.2021.651088")</f>
        <v>http://dx.doi.org/10.3389/fnut.2021.651088</v>
      </c>
      <c r="BG451" t="s">
        <v>74</v>
      </c>
      <c r="BH451" t="s">
        <v>74</v>
      </c>
      <c r="BI451">
        <v>16</v>
      </c>
      <c r="BJ451" t="s">
        <v>9196</v>
      </c>
      <c r="BK451" t="s">
        <v>101</v>
      </c>
      <c r="BL451" t="s">
        <v>9196</v>
      </c>
      <c r="BM451" t="s">
        <v>9197</v>
      </c>
      <c r="BN451">
        <v>33768108</v>
      </c>
      <c r="BO451" t="s">
        <v>298</v>
      </c>
      <c r="BP451" t="s">
        <v>74</v>
      </c>
      <c r="BQ451" t="s">
        <v>74</v>
      </c>
      <c r="BR451" t="s">
        <v>104</v>
      </c>
      <c r="BS451" t="s">
        <v>9198</v>
      </c>
      <c r="BT451" t="str">
        <f>HYPERLINK("https%3A%2F%2Fwww.webofscience.com%2Fwos%2Fwoscc%2Ffull-record%2FWOS:000631265300001","View Full Record in Web of Science")</f>
        <v>View Full Record in Web of Science</v>
      </c>
    </row>
    <row r="452" spans="1:72" x14ac:dyDescent="0.15">
      <c r="A452" t="s">
        <v>72</v>
      </c>
      <c r="B452" t="s">
        <v>9199</v>
      </c>
      <c r="C452" t="s">
        <v>74</v>
      </c>
      <c r="D452" t="s">
        <v>74</v>
      </c>
      <c r="E452" t="s">
        <v>74</v>
      </c>
      <c r="F452" t="s">
        <v>9200</v>
      </c>
      <c r="G452" t="s">
        <v>74</v>
      </c>
      <c r="H452" t="s">
        <v>74</v>
      </c>
      <c r="I452" t="s">
        <v>9201</v>
      </c>
      <c r="J452" t="s">
        <v>3189</v>
      </c>
      <c r="K452" t="s">
        <v>74</v>
      </c>
      <c r="L452" t="s">
        <v>74</v>
      </c>
      <c r="M452" t="s">
        <v>78</v>
      </c>
      <c r="N452" t="s">
        <v>79</v>
      </c>
      <c r="O452" t="s">
        <v>74</v>
      </c>
      <c r="P452" t="s">
        <v>74</v>
      </c>
      <c r="Q452" t="s">
        <v>74</v>
      </c>
      <c r="R452" t="s">
        <v>74</v>
      </c>
      <c r="S452" t="s">
        <v>74</v>
      </c>
      <c r="T452" t="s">
        <v>74</v>
      </c>
      <c r="U452" t="s">
        <v>9202</v>
      </c>
      <c r="V452" t="s">
        <v>9203</v>
      </c>
      <c r="W452" t="s">
        <v>9204</v>
      </c>
      <c r="X452" t="s">
        <v>4906</v>
      </c>
      <c r="Y452" t="s">
        <v>9205</v>
      </c>
      <c r="Z452" t="s">
        <v>9206</v>
      </c>
      <c r="AA452" t="s">
        <v>74</v>
      </c>
      <c r="AB452" t="s">
        <v>9207</v>
      </c>
      <c r="AC452" t="s">
        <v>9208</v>
      </c>
      <c r="AD452" t="s">
        <v>9209</v>
      </c>
      <c r="AE452" t="s">
        <v>9210</v>
      </c>
      <c r="AF452" t="s">
        <v>74</v>
      </c>
      <c r="AG452">
        <v>74</v>
      </c>
      <c r="AH452">
        <v>0</v>
      </c>
      <c r="AI452">
        <v>0</v>
      </c>
      <c r="AJ452">
        <v>0</v>
      </c>
      <c r="AK452">
        <v>2</v>
      </c>
      <c r="AL452" t="s">
        <v>795</v>
      </c>
      <c r="AM452" t="s">
        <v>796</v>
      </c>
      <c r="AN452" t="s">
        <v>797</v>
      </c>
      <c r="AO452" t="s">
        <v>3199</v>
      </c>
      <c r="AP452" t="s">
        <v>3200</v>
      </c>
      <c r="AQ452" t="s">
        <v>74</v>
      </c>
      <c r="AR452" t="s">
        <v>3201</v>
      </c>
      <c r="AS452" t="s">
        <v>3202</v>
      </c>
      <c r="AT452" t="s">
        <v>1091</v>
      </c>
      <c r="AU452">
        <v>2021</v>
      </c>
      <c r="AV452">
        <v>56</v>
      </c>
      <c r="AW452">
        <v>2</v>
      </c>
      <c r="AX452" t="s">
        <v>74</v>
      </c>
      <c r="AY452" t="s">
        <v>74</v>
      </c>
      <c r="AZ452" t="s">
        <v>74</v>
      </c>
      <c r="BA452" t="s">
        <v>74</v>
      </c>
      <c r="BB452">
        <v>379</v>
      </c>
      <c r="BC452">
        <v>392</v>
      </c>
      <c r="BD452" t="s">
        <v>74</v>
      </c>
      <c r="BE452" t="s">
        <v>9211</v>
      </c>
      <c r="BF452" t="str">
        <f>HYPERLINK("http://dx.doi.org/10.1111/maps.13626","http://dx.doi.org/10.1111/maps.13626")</f>
        <v>http://dx.doi.org/10.1111/maps.13626</v>
      </c>
      <c r="BG452" t="s">
        <v>74</v>
      </c>
      <c r="BH452" t="s">
        <v>6407</v>
      </c>
      <c r="BI452">
        <v>14</v>
      </c>
      <c r="BJ452" t="s">
        <v>1066</v>
      </c>
      <c r="BK452" t="s">
        <v>101</v>
      </c>
      <c r="BL452" t="s">
        <v>1066</v>
      </c>
      <c r="BM452" t="s">
        <v>9212</v>
      </c>
      <c r="BN452" t="s">
        <v>74</v>
      </c>
      <c r="BO452" t="s">
        <v>148</v>
      </c>
      <c r="BP452" t="s">
        <v>74</v>
      </c>
      <c r="BQ452" t="s">
        <v>74</v>
      </c>
      <c r="BR452" t="s">
        <v>104</v>
      </c>
      <c r="BS452" t="s">
        <v>9213</v>
      </c>
      <c r="BT452" t="str">
        <f>HYPERLINK("https%3A%2F%2Fwww.webofscience.com%2Fwos%2Fwoscc%2Ffull-record%2FWOS:000626546000001","View Full Record in Web of Science")</f>
        <v>View Full Record in Web of Science</v>
      </c>
    </row>
    <row r="453" spans="1:72" x14ac:dyDescent="0.15">
      <c r="A453" t="s">
        <v>72</v>
      </c>
      <c r="B453" t="s">
        <v>9214</v>
      </c>
      <c r="C453" t="s">
        <v>74</v>
      </c>
      <c r="D453" t="s">
        <v>74</v>
      </c>
      <c r="E453" t="s">
        <v>74</v>
      </c>
      <c r="F453" t="s">
        <v>9215</v>
      </c>
      <c r="G453" t="s">
        <v>74</v>
      </c>
      <c r="H453" t="s">
        <v>74</v>
      </c>
      <c r="I453" t="s">
        <v>9216</v>
      </c>
      <c r="J453" t="s">
        <v>1421</v>
      </c>
      <c r="K453" t="s">
        <v>74</v>
      </c>
      <c r="L453" t="s">
        <v>74</v>
      </c>
      <c r="M453" t="s">
        <v>78</v>
      </c>
      <c r="N453" t="s">
        <v>79</v>
      </c>
      <c r="O453" t="s">
        <v>74</v>
      </c>
      <c r="P453" t="s">
        <v>74</v>
      </c>
      <c r="Q453" t="s">
        <v>74</v>
      </c>
      <c r="R453" t="s">
        <v>74</v>
      </c>
      <c r="S453" t="s">
        <v>74</v>
      </c>
      <c r="T453" t="s">
        <v>9217</v>
      </c>
      <c r="U453" t="s">
        <v>74</v>
      </c>
      <c r="V453" t="s">
        <v>9218</v>
      </c>
      <c r="W453" t="s">
        <v>9219</v>
      </c>
      <c r="X453" t="s">
        <v>7380</v>
      </c>
      <c r="Y453" t="s">
        <v>7381</v>
      </c>
      <c r="Z453" t="s">
        <v>7382</v>
      </c>
      <c r="AA453" t="s">
        <v>74</v>
      </c>
      <c r="AB453" t="s">
        <v>74</v>
      </c>
      <c r="AC453" t="s">
        <v>74</v>
      </c>
      <c r="AD453" t="s">
        <v>74</v>
      </c>
      <c r="AE453" t="s">
        <v>74</v>
      </c>
      <c r="AF453" t="s">
        <v>74</v>
      </c>
      <c r="AG453">
        <v>75</v>
      </c>
      <c r="AH453">
        <v>3</v>
      </c>
      <c r="AI453">
        <v>3</v>
      </c>
      <c r="AJ453">
        <v>2</v>
      </c>
      <c r="AK453">
        <v>23</v>
      </c>
      <c r="AL453" t="s">
        <v>166</v>
      </c>
      <c r="AM453" t="s">
        <v>167</v>
      </c>
      <c r="AN453" t="s">
        <v>168</v>
      </c>
      <c r="AO453" t="s">
        <v>1433</v>
      </c>
      <c r="AP453" t="s">
        <v>1434</v>
      </c>
      <c r="AQ453" t="s">
        <v>74</v>
      </c>
      <c r="AR453" t="s">
        <v>1435</v>
      </c>
      <c r="AS453" t="s">
        <v>1436</v>
      </c>
      <c r="AT453" t="s">
        <v>2859</v>
      </c>
      <c r="AU453">
        <v>2021</v>
      </c>
      <c r="AV453">
        <v>44</v>
      </c>
      <c r="AW453">
        <v>4</v>
      </c>
      <c r="AX453" t="s">
        <v>74</v>
      </c>
      <c r="AY453" t="s">
        <v>74</v>
      </c>
      <c r="AZ453" t="s">
        <v>74</v>
      </c>
      <c r="BA453" t="s">
        <v>74</v>
      </c>
      <c r="BB453">
        <v>865</v>
      </c>
      <c r="BC453">
        <v>871</v>
      </c>
      <c r="BD453" t="s">
        <v>74</v>
      </c>
      <c r="BE453" t="s">
        <v>9220</v>
      </c>
      <c r="BF453" t="str">
        <f>HYPERLINK("http://dx.doi.org/10.1007/s00300-021-02838-z","http://dx.doi.org/10.1007/s00300-021-02838-z")</f>
        <v>http://dx.doi.org/10.1007/s00300-021-02838-z</v>
      </c>
      <c r="BG453" t="s">
        <v>74</v>
      </c>
      <c r="BH453" t="s">
        <v>6407</v>
      </c>
      <c r="BI453">
        <v>7</v>
      </c>
      <c r="BJ453" t="s">
        <v>1438</v>
      </c>
      <c r="BK453" t="s">
        <v>101</v>
      </c>
      <c r="BL453" t="s">
        <v>1439</v>
      </c>
      <c r="BM453" t="s">
        <v>8214</v>
      </c>
      <c r="BN453" t="s">
        <v>74</v>
      </c>
      <c r="BO453" t="s">
        <v>496</v>
      </c>
      <c r="BP453" t="s">
        <v>74</v>
      </c>
      <c r="BQ453" t="s">
        <v>74</v>
      </c>
      <c r="BR453" t="s">
        <v>104</v>
      </c>
      <c r="BS453" t="s">
        <v>9221</v>
      </c>
      <c r="BT453" t="str">
        <f>HYPERLINK("https%3A%2F%2Fwww.webofscience.com%2Fwos%2Fwoscc%2Ffull-record%2FWOS:000626852600002","View Full Record in Web of Science")</f>
        <v>View Full Record in Web of Science</v>
      </c>
    </row>
    <row r="454" spans="1:72" x14ac:dyDescent="0.15">
      <c r="A454" t="s">
        <v>72</v>
      </c>
      <c r="B454" t="s">
        <v>9222</v>
      </c>
      <c r="C454" t="s">
        <v>74</v>
      </c>
      <c r="D454" t="s">
        <v>74</v>
      </c>
      <c r="E454" t="s">
        <v>74</v>
      </c>
      <c r="F454" t="s">
        <v>9223</v>
      </c>
      <c r="G454" t="s">
        <v>74</v>
      </c>
      <c r="H454" t="s">
        <v>74</v>
      </c>
      <c r="I454" t="s">
        <v>9224</v>
      </c>
      <c r="J454" t="s">
        <v>2624</v>
      </c>
      <c r="K454" t="s">
        <v>74</v>
      </c>
      <c r="L454" t="s">
        <v>74</v>
      </c>
      <c r="M454" t="s">
        <v>78</v>
      </c>
      <c r="N454" t="s">
        <v>79</v>
      </c>
      <c r="O454" t="s">
        <v>74</v>
      </c>
      <c r="P454" t="s">
        <v>74</v>
      </c>
      <c r="Q454" t="s">
        <v>74</v>
      </c>
      <c r="R454" t="s">
        <v>74</v>
      </c>
      <c r="S454" t="s">
        <v>74</v>
      </c>
      <c r="T454" t="s">
        <v>74</v>
      </c>
      <c r="U454" t="s">
        <v>9225</v>
      </c>
      <c r="V454" t="s">
        <v>9226</v>
      </c>
      <c r="W454" t="s">
        <v>9227</v>
      </c>
      <c r="X454" t="s">
        <v>9228</v>
      </c>
      <c r="Y454" t="s">
        <v>9229</v>
      </c>
      <c r="Z454" t="s">
        <v>9230</v>
      </c>
      <c r="AA454" t="s">
        <v>9231</v>
      </c>
      <c r="AB454" t="s">
        <v>9232</v>
      </c>
      <c r="AC454" t="s">
        <v>9233</v>
      </c>
      <c r="AD454" t="s">
        <v>1085</v>
      </c>
      <c r="AE454" t="s">
        <v>9234</v>
      </c>
      <c r="AF454" t="s">
        <v>74</v>
      </c>
      <c r="AG454">
        <v>43</v>
      </c>
      <c r="AH454">
        <v>6</v>
      </c>
      <c r="AI454">
        <v>6</v>
      </c>
      <c r="AJ454">
        <v>1</v>
      </c>
      <c r="AK454">
        <v>6</v>
      </c>
      <c r="AL454" t="s">
        <v>1269</v>
      </c>
      <c r="AM454" t="s">
        <v>1270</v>
      </c>
      <c r="AN454" t="s">
        <v>1271</v>
      </c>
      <c r="AO454" t="s">
        <v>2636</v>
      </c>
      <c r="AP454" t="s">
        <v>2637</v>
      </c>
      <c r="AQ454" t="s">
        <v>74</v>
      </c>
      <c r="AR454" t="s">
        <v>2638</v>
      </c>
      <c r="AS454" t="s">
        <v>2639</v>
      </c>
      <c r="AT454" t="s">
        <v>9194</v>
      </c>
      <c r="AU454">
        <v>2021</v>
      </c>
      <c r="AV454">
        <v>14</v>
      </c>
      <c r="AW454">
        <v>3</v>
      </c>
      <c r="AX454" t="s">
        <v>74</v>
      </c>
      <c r="AY454" t="s">
        <v>74</v>
      </c>
      <c r="AZ454" t="s">
        <v>74</v>
      </c>
      <c r="BA454" t="s">
        <v>74</v>
      </c>
      <c r="BB454">
        <v>1917</v>
      </c>
      <c r="BC454">
        <v>1939</v>
      </c>
      <c r="BD454" t="s">
        <v>74</v>
      </c>
      <c r="BE454" t="s">
        <v>9235</v>
      </c>
      <c r="BF454" t="str">
        <f>HYPERLINK("http://dx.doi.org/10.5194/amt-14-1917-2021","http://dx.doi.org/10.5194/amt-14-1917-2021")</f>
        <v>http://dx.doi.org/10.5194/amt-14-1917-2021</v>
      </c>
      <c r="BG454" t="s">
        <v>74</v>
      </c>
      <c r="BH454" t="s">
        <v>74</v>
      </c>
      <c r="BI454">
        <v>23</v>
      </c>
      <c r="BJ454" t="s">
        <v>129</v>
      </c>
      <c r="BK454" t="s">
        <v>101</v>
      </c>
      <c r="BL454" t="s">
        <v>129</v>
      </c>
      <c r="BM454" t="s">
        <v>9236</v>
      </c>
      <c r="BN454" t="s">
        <v>74</v>
      </c>
      <c r="BO454" t="s">
        <v>1280</v>
      </c>
      <c r="BP454" t="s">
        <v>74</v>
      </c>
      <c r="BQ454" t="s">
        <v>74</v>
      </c>
      <c r="BR454" t="s">
        <v>104</v>
      </c>
      <c r="BS454" t="s">
        <v>9237</v>
      </c>
      <c r="BT454" t="str">
        <f>HYPERLINK("https%3A%2F%2Fwww.webofscience.com%2Fwos%2Fwoscc%2Ffull-record%2FWOS:000627575900002","View Full Record in Web of Science")</f>
        <v>View Full Record in Web of Science</v>
      </c>
    </row>
    <row r="455" spans="1:72" x14ac:dyDescent="0.15">
      <c r="A455" t="s">
        <v>72</v>
      </c>
      <c r="B455" t="s">
        <v>9238</v>
      </c>
      <c r="C455" t="s">
        <v>74</v>
      </c>
      <c r="D455" t="s">
        <v>74</v>
      </c>
      <c r="E455" t="s">
        <v>74</v>
      </c>
      <c r="F455" t="s">
        <v>9239</v>
      </c>
      <c r="G455" t="s">
        <v>74</v>
      </c>
      <c r="H455" t="s">
        <v>74</v>
      </c>
      <c r="I455" t="s">
        <v>9240</v>
      </c>
      <c r="J455" t="s">
        <v>1257</v>
      </c>
      <c r="K455" t="s">
        <v>74</v>
      </c>
      <c r="L455" t="s">
        <v>74</v>
      </c>
      <c r="M455" t="s">
        <v>78</v>
      </c>
      <c r="N455" t="s">
        <v>79</v>
      </c>
      <c r="O455" t="s">
        <v>74</v>
      </c>
      <c r="P455" t="s">
        <v>74</v>
      </c>
      <c r="Q455" t="s">
        <v>74</v>
      </c>
      <c r="R455" t="s">
        <v>74</v>
      </c>
      <c r="S455" t="s">
        <v>74</v>
      </c>
      <c r="T455" t="s">
        <v>74</v>
      </c>
      <c r="U455" t="s">
        <v>9241</v>
      </c>
      <c r="V455" t="s">
        <v>9242</v>
      </c>
      <c r="W455" t="s">
        <v>9243</v>
      </c>
      <c r="X455" t="s">
        <v>9244</v>
      </c>
      <c r="Y455" t="s">
        <v>9245</v>
      </c>
      <c r="Z455" t="s">
        <v>9246</v>
      </c>
      <c r="AA455" t="s">
        <v>9247</v>
      </c>
      <c r="AB455" t="s">
        <v>9248</v>
      </c>
      <c r="AC455" t="s">
        <v>9249</v>
      </c>
      <c r="AD455" t="s">
        <v>4769</v>
      </c>
      <c r="AE455" t="s">
        <v>9250</v>
      </c>
      <c r="AF455" t="s">
        <v>74</v>
      </c>
      <c r="AG455">
        <v>61</v>
      </c>
      <c r="AH455">
        <v>8</v>
      </c>
      <c r="AI455">
        <v>10</v>
      </c>
      <c r="AJ455">
        <v>3</v>
      </c>
      <c r="AK455">
        <v>18</v>
      </c>
      <c r="AL455" t="s">
        <v>1269</v>
      </c>
      <c r="AM455" t="s">
        <v>1270</v>
      </c>
      <c r="AN455" t="s">
        <v>1271</v>
      </c>
      <c r="AO455" t="s">
        <v>1272</v>
      </c>
      <c r="AP455" t="s">
        <v>1273</v>
      </c>
      <c r="AQ455" t="s">
        <v>74</v>
      </c>
      <c r="AR455" t="s">
        <v>1257</v>
      </c>
      <c r="AS455" t="s">
        <v>1274</v>
      </c>
      <c r="AT455" t="s">
        <v>9194</v>
      </c>
      <c r="AU455">
        <v>2021</v>
      </c>
      <c r="AV455">
        <v>18</v>
      </c>
      <c r="AW455">
        <v>5</v>
      </c>
      <c r="AX455" t="s">
        <v>74</v>
      </c>
      <c r="AY455" t="s">
        <v>74</v>
      </c>
      <c r="AZ455" t="s">
        <v>74</v>
      </c>
      <c r="BA455" t="s">
        <v>74</v>
      </c>
      <c r="BB455">
        <v>1629</v>
      </c>
      <c r="BC455">
        <v>1644</v>
      </c>
      <c r="BD455" t="s">
        <v>74</v>
      </c>
      <c r="BE455" t="s">
        <v>9251</v>
      </c>
      <c r="BF455" t="str">
        <f>HYPERLINK("http://dx.doi.org/10.5194/bg-18-1629-2021","http://dx.doi.org/10.5194/bg-18-1629-2021")</f>
        <v>http://dx.doi.org/10.5194/bg-18-1629-2021</v>
      </c>
      <c r="BG455" t="s">
        <v>74</v>
      </c>
      <c r="BH455" t="s">
        <v>74</v>
      </c>
      <c r="BI455">
        <v>16</v>
      </c>
      <c r="BJ455" t="s">
        <v>1277</v>
      </c>
      <c r="BK455" t="s">
        <v>101</v>
      </c>
      <c r="BL455" t="s">
        <v>1278</v>
      </c>
      <c r="BM455" t="s">
        <v>9252</v>
      </c>
      <c r="BN455" t="s">
        <v>74</v>
      </c>
      <c r="BO455" t="s">
        <v>1280</v>
      </c>
      <c r="BP455" t="s">
        <v>74</v>
      </c>
      <c r="BQ455" t="s">
        <v>74</v>
      </c>
      <c r="BR455" t="s">
        <v>104</v>
      </c>
      <c r="BS455" t="s">
        <v>9253</v>
      </c>
      <c r="BT455" t="str">
        <f>HYPERLINK("https%3A%2F%2Fwww.webofscience.com%2Fwos%2Fwoscc%2Ffull-record%2FWOS:000627576100002","View Full Record in Web of Science")</f>
        <v>View Full Record in Web of Science</v>
      </c>
    </row>
    <row r="456" spans="1:72" x14ac:dyDescent="0.15">
      <c r="A456" t="s">
        <v>72</v>
      </c>
      <c r="B456" t="s">
        <v>9254</v>
      </c>
      <c r="C456" t="s">
        <v>74</v>
      </c>
      <c r="D456" t="s">
        <v>74</v>
      </c>
      <c r="E456" t="s">
        <v>74</v>
      </c>
      <c r="F456" t="s">
        <v>9255</v>
      </c>
      <c r="G456" t="s">
        <v>74</v>
      </c>
      <c r="H456" t="s">
        <v>74</v>
      </c>
      <c r="I456" t="s">
        <v>9256</v>
      </c>
      <c r="J456" t="s">
        <v>2021</v>
      </c>
      <c r="K456" t="s">
        <v>74</v>
      </c>
      <c r="L456" t="s">
        <v>74</v>
      </c>
      <c r="M456" t="s">
        <v>78</v>
      </c>
      <c r="N456" t="s">
        <v>79</v>
      </c>
      <c r="O456" t="s">
        <v>74</v>
      </c>
      <c r="P456" t="s">
        <v>74</v>
      </c>
      <c r="Q456" t="s">
        <v>74</v>
      </c>
      <c r="R456" t="s">
        <v>74</v>
      </c>
      <c r="S456" t="s">
        <v>74</v>
      </c>
      <c r="T456" t="s">
        <v>74</v>
      </c>
      <c r="U456" t="s">
        <v>74</v>
      </c>
      <c r="V456" t="s">
        <v>9257</v>
      </c>
      <c r="W456" t="s">
        <v>9258</v>
      </c>
      <c r="X456" t="s">
        <v>9259</v>
      </c>
      <c r="Y456" t="s">
        <v>9260</v>
      </c>
      <c r="Z456" t="s">
        <v>9261</v>
      </c>
      <c r="AA456" t="s">
        <v>9262</v>
      </c>
      <c r="AB456" t="s">
        <v>9263</v>
      </c>
      <c r="AC456" t="s">
        <v>9264</v>
      </c>
      <c r="AD456" t="s">
        <v>9265</v>
      </c>
      <c r="AE456" t="s">
        <v>9266</v>
      </c>
      <c r="AF456" t="s">
        <v>74</v>
      </c>
      <c r="AG456">
        <v>53</v>
      </c>
      <c r="AH456">
        <v>7</v>
      </c>
      <c r="AI456">
        <v>7</v>
      </c>
      <c r="AJ456">
        <v>3</v>
      </c>
      <c r="AK456">
        <v>14</v>
      </c>
      <c r="AL456" t="s">
        <v>861</v>
      </c>
      <c r="AM456" t="s">
        <v>862</v>
      </c>
      <c r="AN456" t="s">
        <v>863</v>
      </c>
      <c r="AO456" t="s">
        <v>2033</v>
      </c>
      <c r="AP456" t="s">
        <v>74</v>
      </c>
      <c r="AQ456" t="s">
        <v>74</v>
      </c>
      <c r="AR456" t="s">
        <v>2034</v>
      </c>
      <c r="AS456" t="s">
        <v>2035</v>
      </c>
      <c r="AT456" t="s">
        <v>9194</v>
      </c>
      <c r="AU456">
        <v>2021</v>
      </c>
      <c r="AV456">
        <v>11</v>
      </c>
      <c r="AW456">
        <v>1</v>
      </c>
      <c r="AX456" t="s">
        <v>74</v>
      </c>
      <c r="AY456" t="s">
        <v>74</v>
      </c>
      <c r="AZ456" t="s">
        <v>74</v>
      </c>
      <c r="BA456" t="s">
        <v>74</v>
      </c>
      <c r="BB456" t="s">
        <v>74</v>
      </c>
      <c r="BC456" t="s">
        <v>74</v>
      </c>
      <c r="BD456">
        <v>5473</v>
      </c>
      <c r="BE456" t="s">
        <v>9267</v>
      </c>
      <c r="BF456" t="str">
        <f>HYPERLINK("http://dx.doi.org/10.1038/s41598-021-84709-5","http://dx.doi.org/10.1038/s41598-021-84709-5")</f>
        <v>http://dx.doi.org/10.1038/s41598-021-84709-5</v>
      </c>
      <c r="BG456" t="s">
        <v>74</v>
      </c>
      <c r="BH456" t="s">
        <v>74</v>
      </c>
      <c r="BI456">
        <v>10</v>
      </c>
      <c r="BJ456" t="s">
        <v>555</v>
      </c>
      <c r="BK456" t="s">
        <v>101</v>
      </c>
      <c r="BL456" t="s">
        <v>556</v>
      </c>
      <c r="BM456" t="s">
        <v>9268</v>
      </c>
      <c r="BN456">
        <v>33750824</v>
      </c>
      <c r="BO456" t="s">
        <v>558</v>
      </c>
      <c r="BP456" t="s">
        <v>74</v>
      </c>
      <c r="BQ456" t="s">
        <v>74</v>
      </c>
      <c r="BR456" t="s">
        <v>104</v>
      </c>
      <c r="BS456" t="s">
        <v>9269</v>
      </c>
      <c r="BT456" t="str">
        <f>HYPERLINK("https%3A%2F%2Fwww.webofscience.com%2Fwos%2Fwoscc%2Ffull-record%2FWOS:000630437600003","View Full Record in Web of Science")</f>
        <v>View Full Record in Web of Science</v>
      </c>
    </row>
    <row r="457" spans="1:72" x14ac:dyDescent="0.15">
      <c r="A457" t="s">
        <v>72</v>
      </c>
      <c r="B457" t="s">
        <v>9270</v>
      </c>
      <c r="C457" t="s">
        <v>74</v>
      </c>
      <c r="D457" t="s">
        <v>74</v>
      </c>
      <c r="E457" t="s">
        <v>74</v>
      </c>
      <c r="F457" t="s">
        <v>9271</v>
      </c>
      <c r="G457" t="s">
        <v>74</v>
      </c>
      <c r="H457" t="s">
        <v>74</v>
      </c>
      <c r="I457" t="s">
        <v>9272</v>
      </c>
      <c r="J457" t="s">
        <v>2021</v>
      </c>
      <c r="K457" t="s">
        <v>74</v>
      </c>
      <c r="L457" t="s">
        <v>74</v>
      </c>
      <c r="M457" t="s">
        <v>78</v>
      </c>
      <c r="N457" t="s">
        <v>79</v>
      </c>
      <c r="O457" t="s">
        <v>74</v>
      </c>
      <c r="P457" t="s">
        <v>74</v>
      </c>
      <c r="Q457" t="s">
        <v>74</v>
      </c>
      <c r="R457" t="s">
        <v>74</v>
      </c>
      <c r="S457" t="s">
        <v>74</v>
      </c>
      <c r="T457" t="s">
        <v>74</v>
      </c>
      <c r="U457" t="s">
        <v>74</v>
      </c>
      <c r="V457" t="s">
        <v>9273</v>
      </c>
      <c r="W457" t="s">
        <v>9274</v>
      </c>
      <c r="X457" t="s">
        <v>9275</v>
      </c>
      <c r="Y457" t="s">
        <v>9276</v>
      </c>
      <c r="Z457" t="s">
        <v>9277</v>
      </c>
      <c r="AA457" t="s">
        <v>9278</v>
      </c>
      <c r="AB457" t="s">
        <v>9279</v>
      </c>
      <c r="AC457" t="s">
        <v>9280</v>
      </c>
      <c r="AD457" t="s">
        <v>9281</v>
      </c>
      <c r="AE457" t="s">
        <v>9282</v>
      </c>
      <c r="AF457" t="s">
        <v>74</v>
      </c>
      <c r="AG457">
        <v>54</v>
      </c>
      <c r="AH457">
        <v>16</v>
      </c>
      <c r="AI457">
        <v>17</v>
      </c>
      <c r="AJ457">
        <v>0</v>
      </c>
      <c r="AK457">
        <v>6</v>
      </c>
      <c r="AL457" t="s">
        <v>861</v>
      </c>
      <c r="AM457" t="s">
        <v>862</v>
      </c>
      <c r="AN457" t="s">
        <v>863</v>
      </c>
      <c r="AO457" t="s">
        <v>2033</v>
      </c>
      <c r="AP457" t="s">
        <v>74</v>
      </c>
      <c r="AQ457" t="s">
        <v>74</v>
      </c>
      <c r="AR457" t="s">
        <v>2034</v>
      </c>
      <c r="AS457" t="s">
        <v>2035</v>
      </c>
      <c r="AT457" t="s">
        <v>9194</v>
      </c>
      <c r="AU457">
        <v>2021</v>
      </c>
      <c r="AV457">
        <v>11</v>
      </c>
      <c r="AW457">
        <v>1</v>
      </c>
      <c r="AX457" t="s">
        <v>74</v>
      </c>
      <c r="AY457" t="s">
        <v>74</v>
      </c>
      <c r="AZ457" t="s">
        <v>74</v>
      </c>
      <c r="BA457" t="s">
        <v>74</v>
      </c>
      <c r="BB457" t="s">
        <v>74</v>
      </c>
      <c r="BC457" t="s">
        <v>74</v>
      </c>
      <c r="BD457">
        <v>5513</v>
      </c>
      <c r="BE457" t="s">
        <v>9283</v>
      </c>
      <c r="BF457" t="str">
        <f>HYPERLINK("http://dx.doi.org/10.1038/s41598-021-84834-1","http://dx.doi.org/10.1038/s41598-021-84834-1")</f>
        <v>http://dx.doi.org/10.1038/s41598-021-84834-1</v>
      </c>
      <c r="BG457" t="s">
        <v>74</v>
      </c>
      <c r="BH457" t="s">
        <v>74</v>
      </c>
      <c r="BI457">
        <v>11</v>
      </c>
      <c r="BJ457" t="s">
        <v>555</v>
      </c>
      <c r="BK457" t="s">
        <v>101</v>
      </c>
      <c r="BL457" t="s">
        <v>556</v>
      </c>
      <c r="BM457" t="s">
        <v>9284</v>
      </c>
      <c r="BN457">
        <v>33750869</v>
      </c>
      <c r="BO457" t="s">
        <v>5570</v>
      </c>
      <c r="BP457" t="s">
        <v>74</v>
      </c>
      <c r="BQ457" t="s">
        <v>74</v>
      </c>
      <c r="BR457" t="s">
        <v>104</v>
      </c>
      <c r="BS457" t="s">
        <v>9285</v>
      </c>
      <c r="BT457" t="str">
        <f>HYPERLINK("https%3A%2F%2Fwww.webofscience.com%2Fwos%2Fwoscc%2Ffull-record%2FWOS:000630479700025","View Full Record in Web of Science")</f>
        <v>View Full Record in Web of Science</v>
      </c>
    </row>
    <row r="458" spans="1:72" x14ac:dyDescent="0.15">
      <c r="A458" t="s">
        <v>72</v>
      </c>
      <c r="B458" t="s">
        <v>9286</v>
      </c>
      <c r="C458" t="s">
        <v>74</v>
      </c>
      <c r="D458" t="s">
        <v>74</v>
      </c>
      <c r="E458" t="s">
        <v>74</v>
      </c>
      <c r="F458" t="s">
        <v>9287</v>
      </c>
      <c r="G458" t="s">
        <v>74</v>
      </c>
      <c r="H458" t="s">
        <v>74</v>
      </c>
      <c r="I458" t="s">
        <v>9288</v>
      </c>
      <c r="J458" t="s">
        <v>9289</v>
      </c>
      <c r="K458" t="s">
        <v>74</v>
      </c>
      <c r="L458" t="s">
        <v>74</v>
      </c>
      <c r="M458" t="s">
        <v>78</v>
      </c>
      <c r="N458" t="s">
        <v>79</v>
      </c>
      <c r="O458" t="s">
        <v>74</v>
      </c>
      <c r="P458" t="s">
        <v>74</v>
      </c>
      <c r="Q458" t="s">
        <v>74</v>
      </c>
      <c r="R458" t="s">
        <v>74</v>
      </c>
      <c r="S458" t="s">
        <v>74</v>
      </c>
      <c r="T458" t="s">
        <v>9290</v>
      </c>
      <c r="U458" t="s">
        <v>74</v>
      </c>
      <c r="V458" t="s">
        <v>9291</v>
      </c>
      <c r="W458" t="s">
        <v>9292</v>
      </c>
      <c r="X458" t="s">
        <v>9293</v>
      </c>
      <c r="Y458" t="s">
        <v>9294</v>
      </c>
      <c r="Z458" t="s">
        <v>9295</v>
      </c>
      <c r="AA458" t="s">
        <v>9296</v>
      </c>
      <c r="AB458" t="s">
        <v>9297</v>
      </c>
      <c r="AC458" t="s">
        <v>9298</v>
      </c>
      <c r="AD458" t="s">
        <v>9299</v>
      </c>
      <c r="AE458" t="s">
        <v>9300</v>
      </c>
      <c r="AF458" t="s">
        <v>74</v>
      </c>
      <c r="AG458">
        <v>23</v>
      </c>
      <c r="AH458">
        <v>3</v>
      </c>
      <c r="AI458">
        <v>3</v>
      </c>
      <c r="AJ458">
        <v>2</v>
      </c>
      <c r="AK458">
        <v>9</v>
      </c>
      <c r="AL458" t="s">
        <v>795</v>
      </c>
      <c r="AM458" t="s">
        <v>796</v>
      </c>
      <c r="AN458" t="s">
        <v>797</v>
      </c>
      <c r="AO458" t="s">
        <v>9301</v>
      </c>
      <c r="AP458" t="s">
        <v>9302</v>
      </c>
      <c r="AQ458" t="s">
        <v>74</v>
      </c>
      <c r="AR458" t="s">
        <v>9303</v>
      </c>
      <c r="AS458" t="s">
        <v>9304</v>
      </c>
      <c r="AT458" t="s">
        <v>802</v>
      </c>
      <c r="AU458">
        <v>2021</v>
      </c>
      <c r="AV458">
        <v>68</v>
      </c>
      <c r="AW458">
        <v>6</v>
      </c>
      <c r="AX458" t="s">
        <v>74</v>
      </c>
      <c r="AY458" t="s">
        <v>74</v>
      </c>
      <c r="AZ458" t="s">
        <v>74</v>
      </c>
      <c r="BA458" t="s">
        <v>74</v>
      </c>
      <c r="BB458">
        <v>3096</v>
      </c>
      <c r="BC458">
        <v>3102</v>
      </c>
      <c r="BD458" t="s">
        <v>74</v>
      </c>
      <c r="BE458" t="s">
        <v>9305</v>
      </c>
      <c r="BF458" t="str">
        <f>HYPERLINK("http://dx.doi.org/10.1111/tbed.14037","http://dx.doi.org/10.1111/tbed.14037")</f>
        <v>http://dx.doi.org/10.1111/tbed.14037</v>
      </c>
      <c r="BG458" t="s">
        <v>74</v>
      </c>
      <c r="BH458" t="s">
        <v>6407</v>
      </c>
      <c r="BI458">
        <v>7</v>
      </c>
      <c r="BJ458" t="s">
        <v>9306</v>
      </c>
      <c r="BK458" t="s">
        <v>101</v>
      </c>
      <c r="BL458" t="s">
        <v>9306</v>
      </c>
      <c r="BM458" t="s">
        <v>9307</v>
      </c>
      <c r="BN458">
        <v>33587778</v>
      </c>
      <c r="BO458" t="s">
        <v>2089</v>
      </c>
      <c r="BP458" t="s">
        <v>74</v>
      </c>
      <c r="BQ458" t="s">
        <v>74</v>
      </c>
      <c r="BR458" t="s">
        <v>104</v>
      </c>
      <c r="BS458" t="s">
        <v>9308</v>
      </c>
      <c r="BT458" t="str">
        <f>HYPERLINK("https%3A%2F%2Fwww.webofscience.com%2Fwos%2Fwoscc%2Ffull-record%2FWOS:000626856000001","View Full Record in Web of Science")</f>
        <v>View Full Record in Web of Science</v>
      </c>
    </row>
    <row r="459" spans="1:72" x14ac:dyDescent="0.15">
      <c r="A459" t="s">
        <v>72</v>
      </c>
      <c r="B459" t="s">
        <v>9309</v>
      </c>
      <c r="C459" t="s">
        <v>74</v>
      </c>
      <c r="D459" t="s">
        <v>74</v>
      </c>
      <c r="E459" t="s">
        <v>74</v>
      </c>
      <c r="F459" t="s">
        <v>9310</v>
      </c>
      <c r="G459" t="s">
        <v>74</v>
      </c>
      <c r="H459" t="s">
        <v>74</v>
      </c>
      <c r="I459" t="s">
        <v>9311</v>
      </c>
      <c r="J459" t="s">
        <v>9312</v>
      </c>
      <c r="K459" t="s">
        <v>74</v>
      </c>
      <c r="L459" t="s">
        <v>74</v>
      </c>
      <c r="M459" t="s">
        <v>78</v>
      </c>
      <c r="N459" t="s">
        <v>9313</v>
      </c>
      <c r="O459" t="s">
        <v>74</v>
      </c>
      <c r="P459" t="s">
        <v>74</v>
      </c>
      <c r="Q459" t="s">
        <v>74</v>
      </c>
      <c r="R459" t="s">
        <v>74</v>
      </c>
      <c r="S459" t="s">
        <v>74</v>
      </c>
      <c r="T459" t="s">
        <v>74</v>
      </c>
      <c r="U459" t="s">
        <v>74</v>
      </c>
      <c r="V459" t="s">
        <v>74</v>
      </c>
      <c r="W459" t="s">
        <v>9314</v>
      </c>
      <c r="X459" t="s">
        <v>9315</v>
      </c>
      <c r="Y459" t="s">
        <v>9316</v>
      </c>
      <c r="Z459" t="s">
        <v>9317</v>
      </c>
      <c r="AA459" t="s">
        <v>9318</v>
      </c>
      <c r="AB459" t="s">
        <v>9319</v>
      </c>
      <c r="AC459" t="s">
        <v>9320</v>
      </c>
      <c r="AD459" t="s">
        <v>9321</v>
      </c>
      <c r="AE459" t="s">
        <v>9322</v>
      </c>
      <c r="AF459" t="s">
        <v>74</v>
      </c>
      <c r="AG459">
        <v>10</v>
      </c>
      <c r="AH459">
        <v>5</v>
      </c>
      <c r="AI459">
        <v>5</v>
      </c>
      <c r="AJ459">
        <v>1</v>
      </c>
      <c r="AK459">
        <v>16</v>
      </c>
      <c r="AL459" t="s">
        <v>1481</v>
      </c>
      <c r="AM459" t="s">
        <v>1482</v>
      </c>
      <c r="AN459" t="s">
        <v>1483</v>
      </c>
      <c r="AO459" t="s">
        <v>9323</v>
      </c>
      <c r="AP459" t="s">
        <v>9324</v>
      </c>
      <c r="AQ459" t="s">
        <v>74</v>
      </c>
      <c r="AR459" t="s">
        <v>9325</v>
      </c>
      <c r="AS459" t="s">
        <v>9326</v>
      </c>
      <c r="AT459" t="s">
        <v>9327</v>
      </c>
      <c r="AU459">
        <v>2021</v>
      </c>
      <c r="AV459">
        <v>31</v>
      </c>
      <c r="AW459">
        <v>5</v>
      </c>
      <c r="AX459" t="s">
        <v>74</v>
      </c>
      <c r="AY459" t="s">
        <v>74</v>
      </c>
      <c r="AZ459" t="s">
        <v>74</v>
      </c>
      <c r="BA459" t="s">
        <v>74</v>
      </c>
      <c r="BB459" t="s">
        <v>9328</v>
      </c>
      <c r="BC459" t="s">
        <v>9329</v>
      </c>
      <c r="BD459" t="s">
        <v>74</v>
      </c>
      <c r="BE459" t="s">
        <v>9330</v>
      </c>
      <c r="BF459" t="str">
        <f>HYPERLINK("http://dx.doi.org/10.1016/j.cub.2021.01.091","http://dx.doi.org/10.1016/j.cub.2021.01.091")</f>
        <v>http://dx.doi.org/10.1016/j.cub.2021.01.091</v>
      </c>
      <c r="BG459" t="s">
        <v>74</v>
      </c>
      <c r="BH459" t="s">
        <v>6407</v>
      </c>
      <c r="BI459">
        <v>2</v>
      </c>
      <c r="BJ459" t="s">
        <v>9331</v>
      </c>
      <c r="BK459" t="s">
        <v>101</v>
      </c>
      <c r="BL459" t="s">
        <v>9332</v>
      </c>
      <c r="BM459" t="s">
        <v>9333</v>
      </c>
      <c r="BN459">
        <v>33689718</v>
      </c>
      <c r="BO459" t="s">
        <v>1068</v>
      </c>
      <c r="BP459" t="s">
        <v>74</v>
      </c>
      <c r="BQ459" t="s">
        <v>74</v>
      </c>
      <c r="BR459" t="s">
        <v>104</v>
      </c>
      <c r="BS459" t="s">
        <v>9334</v>
      </c>
      <c r="BT459" t="str">
        <f>HYPERLINK("https%3A%2F%2Fwww.webofscience.com%2Fwos%2Fwoscc%2Ffull-record%2FWOS:000633048800009","View Full Record in Web of Science")</f>
        <v>View Full Record in Web of Science</v>
      </c>
    </row>
    <row r="460" spans="1:72" x14ac:dyDescent="0.15">
      <c r="A460" t="s">
        <v>72</v>
      </c>
      <c r="B460" t="s">
        <v>9335</v>
      </c>
      <c r="C460" t="s">
        <v>74</v>
      </c>
      <c r="D460" t="s">
        <v>74</v>
      </c>
      <c r="E460" t="s">
        <v>74</v>
      </c>
      <c r="F460" t="s">
        <v>9336</v>
      </c>
      <c r="G460" t="s">
        <v>74</v>
      </c>
      <c r="H460" t="s">
        <v>74</v>
      </c>
      <c r="I460" t="s">
        <v>9337</v>
      </c>
      <c r="J460" t="s">
        <v>9338</v>
      </c>
      <c r="K460" t="s">
        <v>74</v>
      </c>
      <c r="L460" t="s">
        <v>74</v>
      </c>
      <c r="M460" t="s">
        <v>78</v>
      </c>
      <c r="N460" t="s">
        <v>79</v>
      </c>
      <c r="O460" t="s">
        <v>74</v>
      </c>
      <c r="P460" t="s">
        <v>74</v>
      </c>
      <c r="Q460" t="s">
        <v>74</v>
      </c>
      <c r="R460" t="s">
        <v>74</v>
      </c>
      <c r="S460" t="s">
        <v>74</v>
      </c>
      <c r="T460" t="s">
        <v>9339</v>
      </c>
      <c r="U460" t="s">
        <v>74</v>
      </c>
      <c r="V460" t="s">
        <v>9340</v>
      </c>
      <c r="W460" t="s">
        <v>9341</v>
      </c>
      <c r="X460" t="s">
        <v>5506</v>
      </c>
      <c r="Y460" t="s">
        <v>9342</v>
      </c>
      <c r="Z460" t="s">
        <v>9343</v>
      </c>
      <c r="AA460" t="s">
        <v>9344</v>
      </c>
      <c r="AB460" t="s">
        <v>9345</v>
      </c>
      <c r="AC460" t="s">
        <v>9346</v>
      </c>
      <c r="AD460" t="s">
        <v>9347</v>
      </c>
      <c r="AE460" t="s">
        <v>9348</v>
      </c>
      <c r="AF460" t="s">
        <v>74</v>
      </c>
      <c r="AG460">
        <v>38</v>
      </c>
      <c r="AH460">
        <v>5</v>
      </c>
      <c r="AI460">
        <v>5</v>
      </c>
      <c r="AJ460">
        <v>0</v>
      </c>
      <c r="AK460">
        <v>9</v>
      </c>
      <c r="AL460" t="s">
        <v>795</v>
      </c>
      <c r="AM460" t="s">
        <v>796</v>
      </c>
      <c r="AN460" t="s">
        <v>797</v>
      </c>
      <c r="AO460" t="s">
        <v>9349</v>
      </c>
      <c r="AP460" t="s">
        <v>9350</v>
      </c>
      <c r="AQ460" t="s">
        <v>74</v>
      </c>
      <c r="AR460" t="s">
        <v>9351</v>
      </c>
      <c r="AS460" t="s">
        <v>9352</v>
      </c>
      <c r="AT460" t="s">
        <v>1035</v>
      </c>
      <c r="AU460">
        <v>2021</v>
      </c>
      <c r="AV460">
        <v>44</v>
      </c>
      <c r="AW460">
        <v>7</v>
      </c>
      <c r="AX460" t="s">
        <v>74</v>
      </c>
      <c r="AY460" t="s">
        <v>74</v>
      </c>
      <c r="AZ460" t="s">
        <v>74</v>
      </c>
      <c r="BA460" t="s">
        <v>74</v>
      </c>
      <c r="BB460">
        <v>1025</v>
      </c>
      <c r="BC460">
        <v>1031</v>
      </c>
      <c r="BD460" t="s">
        <v>74</v>
      </c>
      <c r="BE460" t="s">
        <v>9353</v>
      </c>
      <c r="BF460" t="str">
        <f>HYPERLINK("http://dx.doi.org/10.1111/jfd.13363","http://dx.doi.org/10.1111/jfd.13363")</f>
        <v>http://dx.doi.org/10.1111/jfd.13363</v>
      </c>
      <c r="BG460" t="s">
        <v>74</v>
      </c>
      <c r="BH460" t="s">
        <v>6407</v>
      </c>
      <c r="BI460">
        <v>7</v>
      </c>
      <c r="BJ460" t="s">
        <v>9354</v>
      </c>
      <c r="BK460" t="s">
        <v>101</v>
      </c>
      <c r="BL460" t="s">
        <v>9354</v>
      </c>
      <c r="BM460" t="s">
        <v>9355</v>
      </c>
      <c r="BN460">
        <v>33683734</v>
      </c>
      <c r="BO460" t="s">
        <v>5118</v>
      </c>
      <c r="BP460" t="s">
        <v>74</v>
      </c>
      <c r="BQ460" t="s">
        <v>74</v>
      </c>
      <c r="BR460" t="s">
        <v>104</v>
      </c>
      <c r="BS460" t="s">
        <v>9356</v>
      </c>
      <c r="BT460" t="str">
        <f>HYPERLINK("https%3A%2F%2Fwww.webofscience.com%2Fwos%2Fwoscc%2Ffull-record%2FWOS:000626159800001","View Full Record in Web of Science")</f>
        <v>View Full Record in Web of Science</v>
      </c>
    </row>
    <row r="461" spans="1:72" x14ac:dyDescent="0.15">
      <c r="A461" t="s">
        <v>72</v>
      </c>
      <c r="B461" t="s">
        <v>9357</v>
      </c>
      <c r="C461" t="s">
        <v>74</v>
      </c>
      <c r="D461" t="s">
        <v>74</v>
      </c>
      <c r="E461" t="s">
        <v>74</v>
      </c>
      <c r="F461" t="s">
        <v>9358</v>
      </c>
      <c r="G461" t="s">
        <v>74</v>
      </c>
      <c r="H461" t="s">
        <v>74</v>
      </c>
      <c r="I461" t="s">
        <v>9359</v>
      </c>
      <c r="J461" t="s">
        <v>3492</v>
      </c>
      <c r="K461" t="s">
        <v>74</v>
      </c>
      <c r="L461" t="s">
        <v>74</v>
      </c>
      <c r="M461" t="s">
        <v>78</v>
      </c>
      <c r="N461" t="s">
        <v>79</v>
      </c>
      <c r="O461" t="s">
        <v>74</v>
      </c>
      <c r="P461" t="s">
        <v>74</v>
      </c>
      <c r="Q461" t="s">
        <v>74</v>
      </c>
      <c r="R461" t="s">
        <v>74</v>
      </c>
      <c r="S461" t="s">
        <v>74</v>
      </c>
      <c r="T461" t="s">
        <v>74</v>
      </c>
      <c r="U461" t="s">
        <v>74</v>
      </c>
      <c r="V461" t="s">
        <v>9360</v>
      </c>
      <c r="W461" t="s">
        <v>9361</v>
      </c>
      <c r="X461" t="s">
        <v>9362</v>
      </c>
      <c r="Y461" t="s">
        <v>9363</v>
      </c>
      <c r="Z461" t="s">
        <v>9364</v>
      </c>
      <c r="AA461" t="s">
        <v>9365</v>
      </c>
      <c r="AB461" t="s">
        <v>9366</v>
      </c>
      <c r="AC461" t="s">
        <v>9367</v>
      </c>
      <c r="AD461" t="s">
        <v>9368</v>
      </c>
      <c r="AE461" t="s">
        <v>9369</v>
      </c>
      <c r="AF461" t="s">
        <v>74</v>
      </c>
      <c r="AG461">
        <v>51</v>
      </c>
      <c r="AH461">
        <v>41</v>
      </c>
      <c r="AI461">
        <v>41</v>
      </c>
      <c r="AJ461">
        <v>5</v>
      </c>
      <c r="AK461">
        <v>47</v>
      </c>
      <c r="AL461" t="s">
        <v>861</v>
      </c>
      <c r="AM461" t="s">
        <v>862</v>
      </c>
      <c r="AN461" t="s">
        <v>863</v>
      </c>
      <c r="AO461" t="s">
        <v>3504</v>
      </c>
      <c r="AP461" t="s">
        <v>74</v>
      </c>
      <c r="AQ461" t="s">
        <v>74</v>
      </c>
      <c r="AR461" t="s">
        <v>3505</v>
      </c>
      <c r="AS461" t="s">
        <v>3506</v>
      </c>
      <c r="AT461" t="s">
        <v>127</v>
      </c>
      <c r="AU461">
        <v>2021</v>
      </c>
      <c r="AV461">
        <v>5</v>
      </c>
      <c r="AW461">
        <v>5</v>
      </c>
      <c r="AX461" t="s">
        <v>74</v>
      </c>
      <c r="AY461" t="s">
        <v>74</v>
      </c>
      <c r="AZ461" t="s">
        <v>74</v>
      </c>
      <c r="BA461" t="s">
        <v>74</v>
      </c>
      <c r="BB461">
        <v>656</v>
      </c>
      <c r="BC461" t="s">
        <v>867</v>
      </c>
      <c r="BD461" t="s">
        <v>74</v>
      </c>
      <c r="BE461" t="s">
        <v>9370</v>
      </c>
      <c r="BF461" t="str">
        <f>HYPERLINK("http://dx.doi.org/10.1038/s41559-020-01342-7","http://dx.doi.org/10.1038/s41559-020-01342-7")</f>
        <v>http://dx.doi.org/10.1038/s41559-020-01342-7</v>
      </c>
      <c r="BG461" t="s">
        <v>74</v>
      </c>
      <c r="BH461" t="s">
        <v>6407</v>
      </c>
      <c r="BI461">
        <v>15</v>
      </c>
      <c r="BJ461" t="s">
        <v>3508</v>
      </c>
      <c r="BK461" t="s">
        <v>101</v>
      </c>
      <c r="BL461" t="s">
        <v>3509</v>
      </c>
      <c r="BM461" t="s">
        <v>9371</v>
      </c>
      <c r="BN461">
        <v>33686182</v>
      </c>
      <c r="BO461" t="s">
        <v>496</v>
      </c>
      <c r="BP461" t="s">
        <v>74</v>
      </c>
      <c r="BQ461" t="s">
        <v>74</v>
      </c>
      <c r="BR461" t="s">
        <v>104</v>
      </c>
      <c r="BS461" t="s">
        <v>9372</v>
      </c>
      <c r="BT461" t="str">
        <f>HYPERLINK("https%3A%2F%2Fwww.webofscience.com%2Fwos%2Fwoscc%2Ffull-record%2FWOS:000626472200003","View Full Record in Web of Science")</f>
        <v>View Full Record in Web of Science</v>
      </c>
    </row>
    <row r="462" spans="1:72" x14ac:dyDescent="0.15">
      <c r="A462" t="s">
        <v>72</v>
      </c>
      <c r="B462" t="s">
        <v>9373</v>
      </c>
      <c r="C462" t="s">
        <v>74</v>
      </c>
      <c r="D462" t="s">
        <v>74</v>
      </c>
      <c r="E462" t="s">
        <v>74</v>
      </c>
      <c r="F462" t="s">
        <v>9374</v>
      </c>
      <c r="G462" t="s">
        <v>74</v>
      </c>
      <c r="H462" t="s">
        <v>74</v>
      </c>
      <c r="I462" t="s">
        <v>9375</v>
      </c>
      <c r="J462" t="s">
        <v>1692</v>
      </c>
      <c r="K462" t="s">
        <v>74</v>
      </c>
      <c r="L462" t="s">
        <v>74</v>
      </c>
      <c r="M462" t="s">
        <v>78</v>
      </c>
      <c r="N462" t="s">
        <v>79</v>
      </c>
      <c r="O462" t="s">
        <v>74</v>
      </c>
      <c r="P462" t="s">
        <v>74</v>
      </c>
      <c r="Q462" t="s">
        <v>74</v>
      </c>
      <c r="R462" t="s">
        <v>74</v>
      </c>
      <c r="S462" t="s">
        <v>74</v>
      </c>
      <c r="T462" t="s">
        <v>74</v>
      </c>
      <c r="U462" t="s">
        <v>74</v>
      </c>
      <c r="V462" t="s">
        <v>9376</v>
      </c>
      <c r="W462" t="s">
        <v>9377</v>
      </c>
      <c r="X462" t="s">
        <v>9378</v>
      </c>
      <c r="Y462" t="s">
        <v>9379</v>
      </c>
      <c r="Z462" t="s">
        <v>9380</v>
      </c>
      <c r="AA462" t="s">
        <v>4043</v>
      </c>
      <c r="AB462" t="s">
        <v>9381</v>
      </c>
      <c r="AC462" t="s">
        <v>9382</v>
      </c>
      <c r="AD462" t="s">
        <v>9383</v>
      </c>
      <c r="AE462" t="s">
        <v>9384</v>
      </c>
      <c r="AF462" t="s">
        <v>74</v>
      </c>
      <c r="AG462">
        <v>72</v>
      </c>
      <c r="AH462">
        <v>29</v>
      </c>
      <c r="AI462">
        <v>29</v>
      </c>
      <c r="AJ462">
        <v>2</v>
      </c>
      <c r="AK462">
        <v>16</v>
      </c>
      <c r="AL462" t="s">
        <v>3620</v>
      </c>
      <c r="AM462" t="s">
        <v>862</v>
      </c>
      <c r="AN462" t="s">
        <v>863</v>
      </c>
      <c r="AO462" t="s">
        <v>1704</v>
      </c>
      <c r="AP462" t="s">
        <v>74</v>
      </c>
      <c r="AQ462" t="s">
        <v>74</v>
      </c>
      <c r="AR462" t="s">
        <v>1705</v>
      </c>
      <c r="AS462" t="s">
        <v>1706</v>
      </c>
      <c r="AT462" t="s">
        <v>9327</v>
      </c>
      <c r="AU462">
        <v>2021</v>
      </c>
      <c r="AV462">
        <v>12</v>
      </c>
      <c r="AW462">
        <v>1</v>
      </c>
      <c r="AX462" t="s">
        <v>74</v>
      </c>
      <c r="AY462" t="s">
        <v>74</v>
      </c>
      <c r="AZ462" t="s">
        <v>74</v>
      </c>
      <c r="BA462" t="s">
        <v>74</v>
      </c>
      <c r="BB462" t="s">
        <v>74</v>
      </c>
      <c r="BC462" t="s">
        <v>74</v>
      </c>
      <c r="BD462">
        <v>1497</v>
      </c>
      <c r="BE462" t="s">
        <v>9385</v>
      </c>
      <c r="BF462" t="str">
        <f>HYPERLINK("http://dx.doi.org/10.1038/s41467-021-21773-5","http://dx.doi.org/10.1038/s41467-021-21773-5")</f>
        <v>http://dx.doi.org/10.1038/s41467-021-21773-5</v>
      </c>
      <c r="BG462" t="s">
        <v>74</v>
      </c>
      <c r="BH462" t="s">
        <v>74</v>
      </c>
      <c r="BI462">
        <v>9</v>
      </c>
      <c r="BJ462" t="s">
        <v>555</v>
      </c>
      <c r="BK462" t="s">
        <v>101</v>
      </c>
      <c r="BL462" t="s">
        <v>556</v>
      </c>
      <c r="BM462" t="s">
        <v>9386</v>
      </c>
      <c r="BN462">
        <v>33686073</v>
      </c>
      <c r="BO462" t="s">
        <v>298</v>
      </c>
      <c r="BP462" t="s">
        <v>74</v>
      </c>
      <c r="BQ462" t="s">
        <v>74</v>
      </c>
      <c r="BR462" t="s">
        <v>104</v>
      </c>
      <c r="BS462" t="s">
        <v>9387</v>
      </c>
      <c r="BT462" t="str">
        <f>HYPERLINK("https%3A%2F%2Fwww.webofscience.com%2Fwos%2Fwoscc%2Ffull-record%2FWOS:000627442200001","View Full Record in Web of Science")</f>
        <v>View Full Record in Web of Science</v>
      </c>
    </row>
    <row r="463" spans="1:72" x14ac:dyDescent="0.15">
      <c r="A463" t="s">
        <v>72</v>
      </c>
      <c r="B463" t="s">
        <v>9388</v>
      </c>
      <c r="C463" t="s">
        <v>74</v>
      </c>
      <c r="D463" t="s">
        <v>74</v>
      </c>
      <c r="E463" t="s">
        <v>74</v>
      </c>
      <c r="F463" t="s">
        <v>9389</v>
      </c>
      <c r="G463" t="s">
        <v>74</v>
      </c>
      <c r="H463" t="s">
        <v>74</v>
      </c>
      <c r="I463" t="s">
        <v>9390</v>
      </c>
      <c r="J463" t="s">
        <v>9391</v>
      </c>
      <c r="K463" t="s">
        <v>74</v>
      </c>
      <c r="L463" t="s">
        <v>74</v>
      </c>
      <c r="M463" t="s">
        <v>78</v>
      </c>
      <c r="N463" t="s">
        <v>79</v>
      </c>
      <c r="O463" t="s">
        <v>74</v>
      </c>
      <c r="P463" t="s">
        <v>74</v>
      </c>
      <c r="Q463" t="s">
        <v>74</v>
      </c>
      <c r="R463" t="s">
        <v>74</v>
      </c>
      <c r="S463" t="s">
        <v>74</v>
      </c>
      <c r="T463" t="s">
        <v>9392</v>
      </c>
      <c r="U463" t="s">
        <v>74</v>
      </c>
      <c r="V463" t="s">
        <v>9393</v>
      </c>
      <c r="W463" t="s">
        <v>9394</v>
      </c>
      <c r="X463" t="s">
        <v>9395</v>
      </c>
      <c r="Y463" t="s">
        <v>9396</v>
      </c>
      <c r="Z463" t="s">
        <v>9397</v>
      </c>
      <c r="AA463" t="s">
        <v>9398</v>
      </c>
      <c r="AB463" t="s">
        <v>9399</v>
      </c>
      <c r="AC463" t="s">
        <v>9400</v>
      </c>
      <c r="AD463" t="s">
        <v>9401</v>
      </c>
      <c r="AE463" t="s">
        <v>9402</v>
      </c>
      <c r="AF463" t="s">
        <v>74</v>
      </c>
      <c r="AG463">
        <v>95</v>
      </c>
      <c r="AH463">
        <v>10</v>
      </c>
      <c r="AI463">
        <v>10</v>
      </c>
      <c r="AJ463">
        <v>2</v>
      </c>
      <c r="AK463">
        <v>24</v>
      </c>
      <c r="AL463" t="s">
        <v>2922</v>
      </c>
      <c r="AM463" t="s">
        <v>2923</v>
      </c>
      <c r="AN463" t="s">
        <v>2924</v>
      </c>
      <c r="AO463" t="s">
        <v>9403</v>
      </c>
      <c r="AP463" t="s">
        <v>74</v>
      </c>
      <c r="AQ463" t="s">
        <v>74</v>
      </c>
      <c r="AR463" t="s">
        <v>9404</v>
      </c>
      <c r="AS463" t="s">
        <v>9405</v>
      </c>
      <c r="AT463" t="s">
        <v>9327</v>
      </c>
      <c r="AU463">
        <v>2021</v>
      </c>
      <c r="AV463">
        <v>17</v>
      </c>
      <c r="AW463">
        <v>2</v>
      </c>
      <c r="AX463" t="s">
        <v>74</v>
      </c>
      <c r="AY463" t="s">
        <v>74</v>
      </c>
      <c r="AZ463" t="s">
        <v>74</v>
      </c>
      <c r="BA463" t="s">
        <v>74</v>
      </c>
      <c r="BB463">
        <v>125</v>
      </c>
      <c r="BC463">
        <v>139</v>
      </c>
      <c r="BD463" t="s">
        <v>74</v>
      </c>
      <c r="BE463" t="s">
        <v>9406</v>
      </c>
      <c r="BF463" t="str">
        <f>HYPERLINK("http://dx.doi.org/10.1080/17445647.2021.1893232","http://dx.doi.org/10.1080/17445647.2021.1893232")</f>
        <v>http://dx.doi.org/10.1080/17445647.2021.1893232</v>
      </c>
      <c r="BG463" t="s">
        <v>74</v>
      </c>
      <c r="BH463" t="s">
        <v>74</v>
      </c>
      <c r="BI463">
        <v>15</v>
      </c>
      <c r="BJ463" t="s">
        <v>9407</v>
      </c>
      <c r="BK463" t="s">
        <v>1038</v>
      </c>
      <c r="BL463" t="s">
        <v>9408</v>
      </c>
      <c r="BM463" t="s">
        <v>9409</v>
      </c>
      <c r="BN463" t="s">
        <v>74</v>
      </c>
      <c r="BO463" t="s">
        <v>8140</v>
      </c>
      <c r="BP463" t="s">
        <v>74</v>
      </c>
      <c r="BQ463" t="s">
        <v>74</v>
      </c>
      <c r="BR463" t="s">
        <v>104</v>
      </c>
      <c r="BS463" t="s">
        <v>9410</v>
      </c>
      <c r="BT463" t="str">
        <f>HYPERLINK("https%3A%2F%2Fwww.webofscience.com%2Fwos%2Fwoscc%2Ffull-record%2FWOS:000626277000001","View Full Record in Web of Science")</f>
        <v>View Full Record in Web of Science</v>
      </c>
    </row>
    <row r="464" spans="1:72" x14ac:dyDescent="0.15">
      <c r="A464" t="s">
        <v>72</v>
      </c>
      <c r="B464" t="s">
        <v>9411</v>
      </c>
      <c r="C464" t="s">
        <v>74</v>
      </c>
      <c r="D464" t="s">
        <v>74</v>
      </c>
      <c r="E464" t="s">
        <v>74</v>
      </c>
      <c r="F464" t="s">
        <v>9412</v>
      </c>
      <c r="G464" t="s">
        <v>74</v>
      </c>
      <c r="H464" t="s">
        <v>74</v>
      </c>
      <c r="I464" t="s">
        <v>9413</v>
      </c>
      <c r="J464" t="s">
        <v>2756</v>
      </c>
      <c r="K464" t="s">
        <v>74</v>
      </c>
      <c r="L464" t="s">
        <v>74</v>
      </c>
      <c r="M464" t="s">
        <v>78</v>
      </c>
      <c r="N464" t="s">
        <v>79</v>
      </c>
      <c r="O464" t="s">
        <v>74</v>
      </c>
      <c r="P464" t="s">
        <v>74</v>
      </c>
      <c r="Q464" t="s">
        <v>74</v>
      </c>
      <c r="R464" t="s">
        <v>74</v>
      </c>
      <c r="S464" t="s">
        <v>74</v>
      </c>
      <c r="T464" t="s">
        <v>9414</v>
      </c>
      <c r="U464" t="s">
        <v>9415</v>
      </c>
      <c r="V464" t="s">
        <v>9416</v>
      </c>
      <c r="W464" t="s">
        <v>9417</v>
      </c>
      <c r="X464" t="s">
        <v>9418</v>
      </c>
      <c r="Y464" t="s">
        <v>9419</v>
      </c>
      <c r="Z464" t="s">
        <v>9420</v>
      </c>
      <c r="AA464" t="s">
        <v>74</v>
      </c>
      <c r="AB464" t="s">
        <v>9421</v>
      </c>
      <c r="AC464" t="s">
        <v>9422</v>
      </c>
      <c r="AD464" t="s">
        <v>9423</v>
      </c>
      <c r="AE464" t="s">
        <v>9424</v>
      </c>
      <c r="AF464" t="s">
        <v>74</v>
      </c>
      <c r="AG464">
        <v>109</v>
      </c>
      <c r="AH464">
        <v>10</v>
      </c>
      <c r="AI464">
        <v>10</v>
      </c>
      <c r="AJ464">
        <v>4</v>
      </c>
      <c r="AK464">
        <v>15</v>
      </c>
      <c r="AL464" t="s">
        <v>1160</v>
      </c>
      <c r="AM464" t="s">
        <v>891</v>
      </c>
      <c r="AN464" t="s">
        <v>1161</v>
      </c>
      <c r="AO464" t="s">
        <v>2768</v>
      </c>
      <c r="AP464" t="s">
        <v>2769</v>
      </c>
      <c r="AQ464" t="s">
        <v>74</v>
      </c>
      <c r="AR464" t="s">
        <v>2770</v>
      </c>
      <c r="AS464" t="s">
        <v>2771</v>
      </c>
      <c r="AT464" t="s">
        <v>1364</v>
      </c>
      <c r="AU464">
        <v>2021</v>
      </c>
      <c r="AV464">
        <v>78</v>
      </c>
      <c r="AW464">
        <v>4</v>
      </c>
      <c r="AX464" t="s">
        <v>74</v>
      </c>
      <c r="AY464" t="s">
        <v>74</v>
      </c>
      <c r="AZ464" t="s">
        <v>74</v>
      </c>
      <c r="BA464" t="s">
        <v>74</v>
      </c>
      <c r="BB464">
        <v>1324</v>
      </c>
      <c r="BC464">
        <v>1339</v>
      </c>
      <c r="BD464" t="s">
        <v>74</v>
      </c>
      <c r="BE464" t="s">
        <v>9425</v>
      </c>
      <c r="BF464" t="str">
        <f>HYPERLINK("http://dx.doi.org/10.1093/icesjms/fsab020","http://dx.doi.org/10.1093/icesjms/fsab020")</f>
        <v>http://dx.doi.org/10.1093/icesjms/fsab020</v>
      </c>
      <c r="BG464" t="s">
        <v>74</v>
      </c>
      <c r="BH464" t="s">
        <v>6407</v>
      </c>
      <c r="BI464">
        <v>16</v>
      </c>
      <c r="BJ464" t="s">
        <v>2773</v>
      </c>
      <c r="BK464" t="s">
        <v>101</v>
      </c>
      <c r="BL464" t="s">
        <v>2773</v>
      </c>
      <c r="BM464" t="s">
        <v>7770</v>
      </c>
      <c r="BN464" t="s">
        <v>74</v>
      </c>
      <c r="BO464" t="s">
        <v>496</v>
      </c>
      <c r="BP464" t="s">
        <v>74</v>
      </c>
      <c r="BQ464" t="s">
        <v>74</v>
      </c>
      <c r="BR464" t="s">
        <v>104</v>
      </c>
      <c r="BS464" t="s">
        <v>9426</v>
      </c>
      <c r="BT464" t="str">
        <f>HYPERLINK("https%3A%2F%2Fwww.webofscience.com%2Fwos%2Fwoscc%2Ffull-record%2FWOS:000692552000013","View Full Record in Web of Science")</f>
        <v>View Full Record in Web of Science</v>
      </c>
    </row>
    <row r="465" spans="1:72" x14ac:dyDescent="0.15">
      <c r="A465" t="s">
        <v>72</v>
      </c>
      <c r="B465" t="s">
        <v>9427</v>
      </c>
      <c r="C465" t="s">
        <v>74</v>
      </c>
      <c r="D465" t="s">
        <v>74</v>
      </c>
      <c r="E465" t="s">
        <v>74</v>
      </c>
      <c r="F465" t="s">
        <v>9428</v>
      </c>
      <c r="G465" t="s">
        <v>74</v>
      </c>
      <c r="H465" t="s">
        <v>74</v>
      </c>
      <c r="I465" t="s">
        <v>9429</v>
      </c>
      <c r="J465" t="s">
        <v>4013</v>
      </c>
      <c r="K465" t="s">
        <v>74</v>
      </c>
      <c r="L465" t="s">
        <v>74</v>
      </c>
      <c r="M465" t="s">
        <v>78</v>
      </c>
      <c r="N465" t="s">
        <v>79</v>
      </c>
      <c r="O465" t="s">
        <v>74</v>
      </c>
      <c r="P465" t="s">
        <v>74</v>
      </c>
      <c r="Q465" t="s">
        <v>74</v>
      </c>
      <c r="R465" t="s">
        <v>74</v>
      </c>
      <c r="S465" t="s">
        <v>74</v>
      </c>
      <c r="T465" t="s">
        <v>9430</v>
      </c>
      <c r="U465" t="s">
        <v>9431</v>
      </c>
      <c r="V465" t="s">
        <v>9432</v>
      </c>
      <c r="W465" t="s">
        <v>9433</v>
      </c>
      <c r="X465" t="s">
        <v>9434</v>
      </c>
      <c r="Y465" t="s">
        <v>9435</v>
      </c>
      <c r="Z465" t="s">
        <v>9436</v>
      </c>
      <c r="AA465" t="s">
        <v>9437</v>
      </c>
      <c r="AB465" t="s">
        <v>9438</v>
      </c>
      <c r="AC465" t="s">
        <v>9439</v>
      </c>
      <c r="AD465" t="s">
        <v>9439</v>
      </c>
      <c r="AE465" t="s">
        <v>9440</v>
      </c>
      <c r="AF465" t="s">
        <v>74</v>
      </c>
      <c r="AG465">
        <v>86</v>
      </c>
      <c r="AH465">
        <v>9</v>
      </c>
      <c r="AI465">
        <v>9</v>
      </c>
      <c r="AJ465">
        <v>5</v>
      </c>
      <c r="AK465">
        <v>20</v>
      </c>
      <c r="AL465" t="s">
        <v>1058</v>
      </c>
      <c r="AM465" t="s">
        <v>891</v>
      </c>
      <c r="AN465" t="s">
        <v>1059</v>
      </c>
      <c r="AO465" t="s">
        <v>4026</v>
      </c>
      <c r="AP465" t="s">
        <v>4027</v>
      </c>
      <c r="AQ465" t="s">
        <v>74</v>
      </c>
      <c r="AR465" t="s">
        <v>4028</v>
      </c>
      <c r="AS465" t="s">
        <v>4029</v>
      </c>
      <c r="AT465" t="s">
        <v>1364</v>
      </c>
      <c r="AU465">
        <v>2021</v>
      </c>
      <c r="AV465">
        <v>109</v>
      </c>
      <c r="AW465" t="s">
        <v>74</v>
      </c>
      <c r="AX465" t="s">
        <v>74</v>
      </c>
      <c r="AY465" t="s">
        <v>74</v>
      </c>
      <c r="AZ465" t="s">
        <v>74</v>
      </c>
      <c r="BA465" t="s">
        <v>74</v>
      </c>
      <c r="BB465" t="s">
        <v>74</v>
      </c>
      <c r="BC465" t="s">
        <v>74</v>
      </c>
      <c r="BD465">
        <v>103254</v>
      </c>
      <c r="BE465" t="s">
        <v>9441</v>
      </c>
      <c r="BF465" t="str">
        <f>HYPERLINK("http://dx.doi.org/10.1016/j.jsames.2021.103254","http://dx.doi.org/10.1016/j.jsames.2021.103254")</f>
        <v>http://dx.doi.org/10.1016/j.jsames.2021.103254</v>
      </c>
      <c r="BG465" t="s">
        <v>74</v>
      </c>
      <c r="BH465" t="s">
        <v>6407</v>
      </c>
      <c r="BI465">
        <v>12</v>
      </c>
      <c r="BJ465" t="s">
        <v>100</v>
      </c>
      <c r="BK465" t="s">
        <v>101</v>
      </c>
      <c r="BL465" t="s">
        <v>102</v>
      </c>
      <c r="BM465" t="s">
        <v>9442</v>
      </c>
      <c r="BN465" t="s">
        <v>74</v>
      </c>
      <c r="BO465" t="s">
        <v>712</v>
      </c>
      <c r="BP465" t="s">
        <v>74</v>
      </c>
      <c r="BQ465" t="s">
        <v>74</v>
      </c>
      <c r="BR465" t="s">
        <v>104</v>
      </c>
      <c r="BS465" t="s">
        <v>9443</v>
      </c>
      <c r="BT465" t="str">
        <f>HYPERLINK("https%3A%2F%2Fwww.webofscience.com%2Fwos%2Fwoscc%2Ffull-record%2FWOS:000670275600001","View Full Record in Web of Science")</f>
        <v>View Full Record in Web of Science</v>
      </c>
    </row>
    <row r="466" spans="1:72" x14ac:dyDescent="0.15">
      <c r="A466" t="s">
        <v>72</v>
      </c>
      <c r="B466" t="s">
        <v>9444</v>
      </c>
      <c r="C466" t="s">
        <v>74</v>
      </c>
      <c r="D466" t="s">
        <v>74</v>
      </c>
      <c r="E466" t="s">
        <v>74</v>
      </c>
      <c r="F466" t="s">
        <v>9445</v>
      </c>
      <c r="G466" t="s">
        <v>74</v>
      </c>
      <c r="H466" t="s">
        <v>74</v>
      </c>
      <c r="I466" t="s">
        <v>9446</v>
      </c>
      <c r="J466" t="s">
        <v>3648</v>
      </c>
      <c r="K466" t="s">
        <v>74</v>
      </c>
      <c r="L466" t="s">
        <v>74</v>
      </c>
      <c r="M466" t="s">
        <v>78</v>
      </c>
      <c r="N466" t="s">
        <v>79</v>
      </c>
      <c r="O466" t="s">
        <v>74</v>
      </c>
      <c r="P466" t="s">
        <v>74</v>
      </c>
      <c r="Q466" t="s">
        <v>74</v>
      </c>
      <c r="R466" t="s">
        <v>74</v>
      </c>
      <c r="S466" t="s">
        <v>74</v>
      </c>
      <c r="T466" t="s">
        <v>9447</v>
      </c>
      <c r="U466" t="s">
        <v>74</v>
      </c>
      <c r="V466" t="s">
        <v>9448</v>
      </c>
      <c r="W466" t="s">
        <v>9449</v>
      </c>
      <c r="X466" t="s">
        <v>9450</v>
      </c>
      <c r="Y466" t="s">
        <v>9451</v>
      </c>
      <c r="Z466" t="s">
        <v>9452</v>
      </c>
      <c r="AA466" t="s">
        <v>9453</v>
      </c>
      <c r="AB466" t="s">
        <v>9454</v>
      </c>
      <c r="AC466" t="s">
        <v>9455</v>
      </c>
      <c r="AD466" t="s">
        <v>9456</v>
      </c>
      <c r="AE466" t="s">
        <v>9457</v>
      </c>
      <c r="AF466" t="s">
        <v>74</v>
      </c>
      <c r="AG466">
        <v>28</v>
      </c>
      <c r="AH466">
        <v>3</v>
      </c>
      <c r="AI466">
        <v>3</v>
      </c>
      <c r="AJ466">
        <v>1</v>
      </c>
      <c r="AK466">
        <v>8</v>
      </c>
      <c r="AL466" t="s">
        <v>795</v>
      </c>
      <c r="AM466" t="s">
        <v>796</v>
      </c>
      <c r="AN466" t="s">
        <v>797</v>
      </c>
      <c r="AO466" t="s">
        <v>3661</v>
      </c>
      <c r="AP466" t="s">
        <v>74</v>
      </c>
      <c r="AQ466" t="s">
        <v>74</v>
      </c>
      <c r="AR466" t="s">
        <v>3662</v>
      </c>
      <c r="AS466" t="s">
        <v>3663</v>
      </c>
      <c r="AT466" t="s">
        <v>2859</v>
      </c>
      <c r="AU466">
        <v>2021</v>
      </c>
      <c r="AV466">
        <v>11</v>
      </c>
      <c r="AW466">
        <v>7</v>
      </c>
      <c r="AX466" t="s">
        <v>74</v>
      </c>
      <c r="AY466" t="s">
        <v>74</v>
      </c>
      <c r="AZ466" t="s">
        <v>74</v>
      </c>
      <c r="BA466" t="s">
        <v>74</v>
      </c>
      <c r="BB466">
        <v>3065</v>
      </c>
      <c r="BC466">
        <v>3071</v>
      </c>
      <c r="BD466" t="s">
        <v>74</v>
      </c>
      <c r="BE466" t="s">
        <v>9458</v>
      </c>
      <c r="BF466" t="str">
        <f>HYPERLINK("http://dx.doi.org/10.1002/ece3.7232","http://dx.doi.org/10.1002/ece3.7232")</f>
        <v>http://dx.doi.org/10.1002/ece3.7232</v>
      </c>
      <c r="BG466" t="s">
        <v>74</v>
      </c>
      <c r="BH466" t="s">
        <v>6407</v>
      </c>
      <c r="BI466">
        <v>7</v>
      </c>
      <c r="BJ466" t="s">
        <v>3508</v>
      </c>
      <c r="BK466" t="s">
        <v>101</v>
      </c>
      <c r="BL466" t="s">
        <v>3509</v>
      </c>
      <c r="BM466" t="s">
        <v>9459</v>
      </c>
      <c r="BN466">
        <v>33841767</v>
      </c>
      <c r="BO466" t="s">
        <v>398</v>
      </c>
      <c r="BP466" t="s">
        <v>74</v>
      </c>
      <c r="BQ466" t="s">
        <v>74</v>
      </c>
      <c r="BR466" t="s">
        <v>104</v>
      </c>
      <c r="BS466" t="s">
        <v>9460</v>
      </c>
      <c r="BT466" t="str">
        <f>HYPERLINK("https%3A%2F%2Fwww.webofscience.com%2Fwos%2Fwoscc%2Ffull-record%2FWOS:000625656100001","View Full Record in Web of Science")</f>
        <v>View Full Record in Web of Science</v>
      </c>
    </row>
    <row r="467" spans="1:72" x14ac:dyDescent="0.15">
      <c r="A467" t="s">
        <v>72</v>
      </c>
      <c r="B467" t="s">
        <v>9461</v>
      </c>
      <c r="C467" t="s">
        <v>74</v>
      </c>
      <c r="D467" t="s">
        <v>74</v>
      </c>
      <c r="E467" t="s">
        <v>74</v>
      </c>
      <c r="F467" t="s">
        <v>9462</v>
      </c>
      <c r="G467" t="s">
        <v>74</v>
      </c>
      <c r="H467" t="s">
        <v>74</v>
      </c>
      <c r="I467" t="s">
        <v>9463</v>
      </c>
      <c r="J467" t="s">
        <v>8700</v>
      </c>
      <c r="K467" t="s">
        <v>74</v>
      </c>
      <c r="L467" t="s">
        <v>74</v>
      </c>
      <c r="M467" t="s">
        <v>78</v>
      </c>
      <c r="N467" t="s">
        <v>79</v>
      </c>
      <c r="O467" t="s">
        <v>74</v>
      </c>
      <c r="P467" t="s">
        <v>74</v>
      </c>
      <c r="Q467" t="s">
        <v>74</v>
      </c>
      <c r="R467" t="s">
        <v>74</v>
      </c>
      <c r="S467" t="s">
        <v>74</v>
      </c>
      <c r="T467" t="s">
        <v>9464</v>
      </c>
      <c r="U467" t="s">
        <v>9465</v>
      </c>
      <c r="V467" t="s">
        <v>9466</v>
      </c>
      <c r="W467" t="s">
        <v>9467</v>
      </c>
      <c r="X467" t="s">
        <v>9468</v>
      </c>
      <c r="Y467" t="s">
        <v>9469</v>
      </c>
      <c r="Z467" t="s">
        <v>9470</v>
      </c>
      <c r="AA467" t="s">
        <v>9471</v>
      </c>
      <c r="AB467" t="s">
        <v>9472</v>
      </c>
      <c r="AC467" t="s">
        <v>9473</v>
      </c>
      <c r="AD467" t="s">
        <v>9474</v>
      </c>
      <c r="AE467" t="s">
        <v>9475</v>
      </c>
      <c r="AF467" t="s">
        <v>74</v>
      </c>
      <c r="AG467">
        <v>58</v>
      </c>
      <c r="AH467">
        <v>7</v>
      </c>
      <c r="AI467">
        <v>7</v>
      </c>
      <c r="AJ467">
        <v>1</v>
      </c>
      <c r="AK467">
        <v>20</v>
      </c>
      <c r="AL467" t="s">
        <v>890</v>
      </c>
      <c r="AM467" t="s">
        <v>891</v>
      </c>
      <c r="AN467" t="s">
        <v>892</v>
      </c>
      <c r="AO467" t="s">
        <v>8713</v>
      </c>
      <c r="AP467" t="s">
        <v>8714</v>
      </c>
      <c r="AQ467" t="s">
        <v>74</v>
      </c>
      <c r="AR467" t="s">
        <v>8715</v>
      </c>
      <c r="AS467" t="s">
        <v>8716</v>
      </c>
      <c r="AT467" t="s">
        <v>127</v>
      </c>
      <c r="AU467">
        <v>2021</v>
      </c>
      <c r="AV467">
        <v>167</v>
      </c>
      <c r="AW467" t="s">
        <v>74</v>
      </c>
      <c r="AX467" t="s">
        <v>74</v>
      </c>
      <c r="AY467" t="s">
        <v>74</v>
      </c>
      <c r="AZ467" t="s">
        <v>74</v>
      </c>
      <c r="BA467" t="s">
        <v>74</v>
      </c>
      <c r="BB467" t="s">
        <v>74</v>
      </c>
      <c r="BC467" t="s">
        <v>74</v>
      </c>
      <c r="BD467">
        <v>105290</v>
      </c>
      <c r="BE467" t="s">
        <v>9476</v>
      </c>
      <c r="BF467" t="str">
        <f>HYPERLINK("http://dx.doi.org/10.1016/j.marenvres.2021.105290","http://dx.doi.org/10.1016/j.marenvres.2021.105290")</f>
        <v>http://dx.doi.org/10.1016/j.marenvres.2021.105290</v>
      </c>
      <c r="BG467" t="s">
        <v>74</v>
      </c>
      <c r="BH467" t="s">
        <v>6407</v>
      </c>
      <c r="BI467">
        <v>10</v>
      </c>
      <c r="BJ467" t="s">
        <v>8718</v>
      </c>
      <c r="BK467" t="s">
        <v>101</v>
      </c>
      <c r="BL467" t="s">
        <v>8719</v>
      </c>
      <c r="BM467" t="s">
        <v>8720</v>
      </c>
      <c r="BN467">
        <v>33684658</v>
      </c>
      <c r="BO467" t="s">
        <v>227</v>
      </c>
      <c r="BP467" t="s">
        <v>74</v>
      </c>
      <c r="BQ467" t="s">
        <v>74</v>
      </c>
      <c r="BR467" t="s">
        <v>104</v>
      </c>
      <c r="BS467" t="s">
        <v>9477</v>
      </c>
      <c r="BT467" t="str">
        <f>HYPERLINK("https%3A%2F%2Fwww.webofscience.com%2Fwos%2Fwoscc%2Ffull-record%2FWOS:000651797100004","View Full Record in Web of Science")</f>
        <v>View Full Record in Web of Science</v>
      </c>
    </row>
    <row r="468" spans="1:72" x14ac:dyDescent="0.15">
      <c r="A468" t="s">
        <v>72</v>
      </c>
      <c r="B468" t="s">
        <v>9478</v>
      </c>
      <c r="C468" t="s">
        <v>74</v>
      </c>
      <c r="D468" t="s">
        <v>74</v>
      </c>
      <c r="E468" t="s">
        <v>74</v>
      </c>
      <c r="F468" t="s">
        <v>9479</v>
      </c>
      <c r="G468" t="s">
        <v>74</v>
      </c>
      <c r="H468" t="s">
        <v>74</v>
      </c>
      <c r="I468" t="s">
        <v>9480</v>
      </c>
      <c r="J468" t="s">
        <v>9481</v>
      </c>
      <c r="K468" t="s">
        <v>74</v>
      </c>
      <c r="L468" t="s">
        <v>74</v>
      </c>
      <c r="M468" t="s">
        <v>78</v>
      </c>
      <c r="N468" t="s">
        <v>79</v>
      </c>
      <c r="O468" t="s">
        <v>74</v>
      </c>
      <c r="P468" t="s">
        <v>74</v>
      </c>
      <c r="Q468" t="s">
        <v>74</v>
      </c>
      <c r="R468" t="s">
        <v>74</v>
      </c>
      <c r="S468" t="s">
        <v>74</v>
      </c>
      <c r="T468" t="s">
        <v>9482</v>
      </c>
      <c r="U468" t="s">
        <v>9483</v>
      </c>
      <c r="V468" t="s">
        <v>9484</v>
      </c>
      <c r="W468" t="s">
        <v>9485</v>
      </c>
      <c r="X468" t="s">
        <v>9486</v>
      </c>
      <c r="Y468" t="s">
        <v>9487</v>
      </c>
      <c r="Z468" t="s">
        <v>9488</v>
      </c>
      <c r="AA468" t="s">
        <v>9489</v>
      </c>
      <c r="AB468" t="s">
        <v>9490</v>
      </c>
      <c r="AC468" t="s">
        <v>9491</v>
      </c>
      <c r="AD468" t="s">
        <v>9492</v>
      </c>
      <c r="AE468" t="s">
        <v>9493</v>
      </c>
      <c r="AF468" t="s">
        <v>74</v>
      </c>
      <c r="AG468">
        <v>67</v>
      </c>
      <c r="AH468">
        <v>18</v>
      </c>
      <c r="AI468">
        <v>18</v>
      </c>
      <c r="AJ468">
        <v>3</v>
      </c>
      <c r="AK468">
        <v>46</v>
      </c>
      <c r="AL468" t="s">
        <v>576</v>
      </c>
      <c r="AM468" t="s">
        <v>577</v>
      </c>
      <c r="AN468" t="s">
        <v>578</v>
      </c>
      <c r="AO468" t="s">
        <v>9494</v>
      </c>
      <c r="AP468" t="s">
        <v>9495</v>
      </c>
      <c r="AQ468" t="s">
        <v>74</v>
      </c>
      <c r="AR468" t="s">
        <v>9481</v>
      </c>
      <c r="AS468" t="s">
        <v>9496</v>
      </c>
      <c r="AT468" t="s">
        <v>2232</v>
      </c>
      <c r="AU468">
        <v>2021</v>
      </c>
      <c r="AV468">
        <v>394</v>
      </c>
      <c r="AW468" t="s">
        <v>74</v>
      </c>
      <c r="AX468" t="s">
        <v>74</v>
      </c>
      <c r="AY468" t="s">
        <v>74</v>
      </c>
      <c r="AZ468" t="s">
        <v>74</v>
      </c>
      <c r="BA468" t="s">
        <v>74</v>
      </c>
      <c r="BB468" t="s">
        <v>74</v>
      </c>
      <c r="BC468" t="s">
        <v>74</v>
      </c>
      <c r="BD468">
        <v>115017</v>
      </c>
      <c r="BE468" t="s">
        <v>9497</v>
      </c>
      <c r="BF468" t="str">
        <f>HYPERLINK("http://dx.doi.org/10.1016/j.geoderma.2021.115017","http://dx.doi.org/10.1016/j.geoderma.2021.115017")</f>
        <v>http://dx.doi.org/10.1016/j.geoderma.2021.115017</v>
      </c>
      <c r="BG468" t="s">
        <v>74</v>
      </c>
      <c r="BH468" t="s">
        <v>6407</v>
      </c>
      <c r="BI468">
        <v>16</v>
      </c>
      <c r="BJ468" t="s">
        <v>5391</v>
      </c>
      <c r="BK468" t="s">
        <v>101</v>
      </c>
      <c r="BL468" t="s">
        <v>5392</v>
      </c>
      <c r="BM468" t="s">
        <v>9498</v>
      </c>
      <c r="BN468" t="s">
        <v>74</v>
      </c>
      <c r="BO468" t="s">
        <v>74</v>
      </c>
      <c r="BP468" t="s">
        <v>74</v>
      </c>
      <c r="BQ468" t="s">
        <v>74</v>
      </c>
      <c r="BR468" t="s">
        <v>104</v>
      </c>
      <c r="BS468" t="s">
        <v>9499</v>
      </c>
      <c r="BT468" t="str">
        <f>HYPERLINK("https%3A%2F%2Fwww.webofscience.com%2Fwos%2Fwoscc%2Ffull-record%2FWOS:000641587900009","View Full Record in Web of Science")</f>
        <v>View Full Record in Web of Science</v>
      </c>
    </row>
    <row r="469" spans="1:72" x14ac:dyDescent="0.15">
      <c r="A469" t="s">
        <v>72</v>
      </c>
      <c r="B469" t="s">
        <v>9500</v>
      </c>
      <c r="C469" t="s">
        <v>74</v>
      </c>
      <c r="D469" t="s">
        <v>74</v>
      </c>
      <c r="E469" t="s">
        <v>74</v>
      </c>
      <c r="F469" t="s">
        <v>9501</v>
      </c>
      <c r="G469" t="s">
        <v>74</v>
      </c>
      <c r="H469" t="s">
        <v>74</v>
      </c>
      <c r="I469" t="s">
        <v>9502</v>
      </c>
      <c r="J469" t="s">
        <v>474</v>
      </c>
      <c r="K469" t="s">
        <v>74</v>
      </c>
      <c r="L469" t="s">
        <v>74</v>
      </c>
      <c r="M469" t="s">
        <v>78</v>
      </c>
      <c r="N469" t="s">
        <v>79</v>
      </c>
      <c r="O469" t="s">
        <v>74</v>
      </c>
      <c r="P469" t="s">
        <v>74</v>
      </c>
      <c r="Q469" t="s">
        <v>74</v>
      </c>
      <c r="R469" t="s">
        <v>74</v>
      </c>
      <c r="S469" t="s">
        <v>74</v>
      </c>
      <c r="T469" t="s">
        <v>74</v>
      </c>
      <c r="U469" t="s">
        <v>9503</v>
      </c>
      <c r="V469" t="s">
        <v>9504</v>
      </c>
      <c r="W469" t="s">
        <v>9505</v>
      </c>
      <c r="X469" t="s">
        <v>9506</v>
      </c>
      <c r="Y469" t="s">
        <v>9507</v>
      </c>
      <c r="Z469" t="s">
        <v>9508</v>
      </c>
      <c r="AA469" t="s">
        <v>9509</v>
      </c>
      <c r="AB469" t="s">
        <v>9510</v>
      </c>
      <c r="AC469" t="s">
        <v>9511</v>
      </c>
      <c r="AD469" t="s">
        <v>9512</v>
      </c>
      <c r="AE469" t="s">
        <v>9513</v>
      </c>
      <c r="AF469" t="s">
        <v>74</v>
      </c>
      <c r="AG469">
        <v>80</v>
      </c>
      <c r="AH469">
        <v>0</v>
      </c>
      <c r="AI469">
        <v>0</v>
      </c>
      <c r="AJ469">
        <v>1</v>
      </c>
      <c r="AK469">
        <v>10</v>
      </c>
      <c r="AL469" t="s">
        <v>486</v>
      </c>
      <c r="AM469" t="s">
        <v>487</v>
      </c>
      <c r="AN469" t="s">
        <v>488</v>
      </c>
      <c r="AO469" t="s">
        <v>489</v>
      </c>
      <c r="AP469" t="s">
        <v>490</v>
      </c>
      <c r="AQ469" t="s">
        <v>74</v>
      </c>
      <c r="AR469" t="s">
        <v>491</v>
      </c>
      <c r="AS469" t="s">
        <v>492</v>
      </c>
      <c r="AT469" t="s">
        <v>9514</v>
      </c>
      <c r="AU469">
        <v>2021</v>
      </c>
      <c r="AV469">
        <v>168</v>
      </c>
      <c r="AW469">
        <v>4</v>
      </c>
      <c r="AX469" t="s">
        <v>74</v>
      </c>
      <c r="AY469" t="s">
        <v>74</v>
      </c>
      <c r="AZ469" t="s">
        <v>74</v>
      </c>
      <c r="BA469" t="s">
        <v>74</v>
      </c>
      <c r="BB469" t="s">
        <v>74</v>
      </c>
      <c r="BC469" t="s">
        <v>74</v>
      </c>
      <c r="BD469">
        <v>43</v>
      </c>
      <c r="BE469" t="s">
        <v>9515</v>
      </c>
      <c r="BF469" t="str">
        <f>HYPERLINK("http://dx.doi.org/10.1007/s00227-021-03845-8","http://dx.doi.org/10.1007/s00227-021-03845-8")</f>
        <v>http://dx.doi.org/10.1007/s00227-021-03845-8</v>
      </c>
      <c r="BG469" t="s">
        <v>74</v>
      </c>
      <c r="BH469" t="s">
        <v>74</v>
      </c>
      <c r="BI469">
        <v>17</v>
      </c>
      <c r="BJ469" t="s">
        <v>494</v>
      </c>
      <c r="BK469" t="s">
        <v>101</v>
      </c>
      <c r="BL469" t="s">
        <v>494</v>
      </c>
      <c r="BM469" t="s">
        <v>9516</v>
      </c>
      <c r="BN469" t="s">
        <v>74</v>
      </c>
      <c r="BO469" t="s">
        <v>74</v>
      </c>
      <c r="BP469" t="s">
        <v>74</v>
      </c>
      <c r="BQ469" t="s">
        <v>74</v>
      </c>
      <c r="BR469" t="s">
        <v>104</v>
      </c>
      <c r="BS469" t="s">
        <v>9517</v>
      </c>
      <c r="BT469" t="str">
        <f>HYPERLINK("https%3A%2F%2Fwww.webofscience.com%2Fwos%2Fwoscc%2Ffull-record%2FWOS:000626510900001","View Full Record in Web of Science")</f>
        <v>View Full Record in Web of Science</v>
      </c>
    </row>
    <row r="470" spans="1:72" x14ac:dyDescent="0.15">
      <c r="A470" t="s">
        <v>72</v>
      </c>
      <c r="B470" t="s">
        <v>9518</v>
      </c>
      <c r="C470" t="s">
        <v>74</v>
      </c>
      <c r="D470" t="s">
        <v>74</v>
      </c>
      <c r="E470" t="s">
        <v>74</v>
      </c>
      <c r="F470" t="s">
        <v>9519</v>
      </c>
      <c r="G470" t="s">
        <v>74</v>
      </c>
      <c r="H470" t="s">
        <v>74</v>
      </c>
      <c r="I470" t="s">
        <v>9520</v>
      </c>
      <c r="J470" t="s">
        <v>590</v>
      </c>
      <c r="K470" t="s">
        <v>74</v>
      </c>
      <c r="L470" t="s">
        <v>74</v>
      </c>
      <c r="M470" t="s">
        <v>78</v>
      </c>
      <c r="N470" t="s">
        <v>79</v>
      </c>
      <c r="O470" t="s">
        <v>74</v>
      </c>
      <c r="P470" t="s">
        <v>74</v>
      </c>
      <c r="Q470" t="s">
        <v>74</v>
      </c>
      <c r="R470" t="s">
        <v>74</v>
      </c>
      <c r="S470" t="s">
        <v>74</v>
      </c>
      <c r="T470" t="s">
        <v>9521</v>
      </c>
      <c r="U470" t="s">
        <v>74</v>
      </c>
      <c r="V470" t="s">
        <v>9522</v>
      </c>
      <c r="W470" t="s">
        <v>9523</v>
      </c>
      <c r="X470" t="s">
        <v>9524</v>
      </c>
      <c r="Y470" t="s">
        <v>9525</v>
      </c>
      <c r="Z470" t="s">
        <v>9526</v>
      </c>
      <c r="AA470" t="s">
        <v>9527</v>
      </c>
      <c r="AB470" t="s">
        <v>9528</v>
      </c>
      <c r="AC470" t="s">
        <v>9529</v>
      </c>
      <c r="AD470" t="s">
        <v>9530</v>
      </c>
      <c r="AE470" t="s">
        <v>9531</v>
      </c>
      <c r="AF470" t="s">
        <v>74</v>
      </c>
      <c r="AG470">
        <v>47</v>
      </c>
      <c r="AH470">
        <v>6</v>
      </c>
      <c r="AI470">
        <v>6</v>
      </c>
      <c r="AJ470">
        <v>2</v>
      </c>
      <c r="AK470">
        <v>8</v>
      </c>
      <c r="AL470" t="s">
        <v>603</v>
      </c>
      <c r="AM470" t="s">
        <v>604</v>
      </c>
      <c r="AN470" t="s">
        <v>605</v>
      </c>
      <c r="AO470" t="s">
        <v>74</v>
      </c>
      <c r="AP470" t="s">
        <v>606</v>
      </c>
      <c r="AQ470" t="s">
        <v>74</v>
      </c>
      <c r="AR470" t="s">
        <v>607</v>
      </c>
      <c r="AS470" t="s">
        <v>608</v>
      </c>
      <c r="AT470" t="s">
        <v>9514</v>
      </c>
      <c r="AU470">
        <v>2021</v>
      </c>
      <c r="AV470">
        <v>9</v>
      </c>
      <c r="AW470" t="s">
        <v>74</v>
      </c>
      <c r="AX470" t="s">
        <v>74</v>
      </c>
      <c r="AY470" t="s">
        <v>74</v>
      </c>
      <c r="AZ470" t="s">
        <v>74</v>
      </c>
      <c r="BA470" t="s">
        <v>74</v>
      </c>
      <c r="BB470" t="s">
        <v>74</v>
      </c>
      <c r="BC470" t="s">
        <v>74</v>
      </c>
      <c r="BD470">
        <v>617043</v>
      </c>
      <c r="BE470" t="s">
        <v>9532</v>
      </c>
      <c r="BF470" t="str">
        <f>HYPERLINK("http://dx.doi.org/10.3389/feart.2021.617043","http://dx.doi.org/10.3389/feart.2021.617043")</f>
        <v>http://dx.doi.org/10.3389/feart.2021.617043</v>
      </c>
      <c r="BG470" t="s">
        <v>74</v>
      </c>
      <c r="BH470" t="s">
        <v>74</v>
      </c>
      <c r="BI470">
        <v>13</v>
      </c>
      <c r="BJ470" t="s">
        <v>100</v>
      </c>
      <c r="BK470" t="s">
        <v>101</v>
      </c>
      <c r="BL470" t="s">
        <v>102</v>
      </c>
      <c r="BM470" t="s">
        <v>9533</v>
      </c>
      <c r="BN470" t="s">
        <v>74</v>
      </c>
      <c r="BO470" t="s">
        <v>9534</v>
      </c>
      <c r="BP470" t="s">
        <v>74</v>
      </c>
      <c r="BQ470" t="s">
        <v>74</v>
      </c>
      <c r="BR470" t="s">
        <v>104</v>
      </c>
      <c r="BS470" t="s">
        <v>9535</v>
      </c>
      <c r="BT470" t="str">
        <f>HYPERLINK("https%3A%2F%2Fwww.webofscience.com%2Fwos%2Fwoscc%2Ffull-record%2FWOS:000630337500001","View Full Record in Web of Science")</f>
        <v>View Full Record in Web of Science</v>
      </c>
    </row>
    <row r="471" spans="1:72" x14ac:dyDescent="0.15">
      <c r="A471" t="s">
        <v>72</v>
      </c>
      <c r="B471" t="s">
        <v>9536</v>
      </c>
      <c r="C471" t="s">
        <v>74</v>
      </c>
      <c r="D471" t="s">
        <v>74</v>
      </c>
      <c r="E471" t="s">
        <v>74</v>
      </c>
      <c r="F471" t="s">
        <v>9537</v>
      </c>
      <c r="G471" t="s">
        <v>74</v>
      </c>
      <c r="H471" t="s">
        <v>74</v>
      </c>
      <c r="I471" t="s">
        <v>9538</v>
      </c>
      <c r="J471" t="s">
        <v>1421</v>
      </c>
      <c r="K471" t="s">
        <v>74</v>
      </c>
      <c r="L471" t="s">
        <v>74</v>
      </c>
      <c r="M471" t="s">
        <v>78</v>
      </c>
      <c r="N471" t="s">
        <v>79</v>
      </c>
      <c r="O471" t="s">
        <v>74</v>
      </c>
      <c r="P471" t="s">
        <v>74</v>
      </c>
      <c r="Q471" t="s">
        <v>74</v>
      </c>
      <c r="R471" t="s">
        <v>74</v>
      </c>
      <c r="S471" t="s">
        <v>74</v>
      </c>
      <c r="T471" t="s">
        <v>9539</v>
      </c>
      <c r="U471" t="s">
        <v>9540</v>
      </c>
      <c r="V471" t="s">
        <v>9541</v>
      </c>
      <c r="W471" t="s">
        <v>9542</v>
      </c>
      <c r="X471" t="s">
        <v>9543</v>
      </c>
      <c r="Y471" t="s">
        <v>9544</v>
      </c>
      <c r="Z471" t="s">
        <v>9545</v>
      </c>
      <c r="AA471" t="s">
        <v>74</v>
      </c>
      <c r="AB471" t="s">
        <v>9546</v>
      </c>
      <c r="AC471" t="s">
        <v>9547</v>
      </c>
      <c r="AD471" t="s">
        <v>9548</v>
      </c>
      <c r="AE471" t="s">
        <v>9549</v>
      </c>
      <c r="AF471" t="s">
        <v>74</v>
      </c>
      <c r="AG471">
        <v>42</v>
      </c>
      <c r="AH471">
        <v>0</v>
      </c>
      <c r="AI471">
        <v>0</v>
      </c>
      <c r="AJ471">
        <v>1</v>
      </c>
      <c r="AK471">
        <v>5</v>
      </c>
      <c r="AL471" t="s">
        <v>166</v>
      </c>
      <c r="AM471" t="s">
        <v>167</v>
      </c>
      <c r="AN471" t="s">
        <v>168</v>
      </c>
      <c r="AO471" t="s">
        <v>1433</v>
      </c>
      <c r="AP471" t="s">
        <v>1434</v>
      </c>
      <c r="AQ471" t="s">
        <v>74</v>
      </c>
      <c r="AR471" t="s">
        <v>1435</v>
      </c>
      <c r="AS471" t="s">
        <v>1436</v>
      </c>
      <c r="AT471" t="s">
        <v>2859</v>
      </c>
      <c r="AU471">
        <v>2021</v>
      </c>
      <c r="AV471">
        <v>44</v>
      </c>
      <c r="AW471">
        <v>4</v>
      </c>
      <c r="AX471" t="s">
        <v>74</v>
      </c>
      <c r="AY471" t="s">
        <v>74</v>
      </c>
      <c r="AZ471" t="s">
        <v>74</v>
      </c>
      <c r="BA471" t="s">
        <v>74</v>
      </c>
      <c r="BB471">
        <v>729</v>
      </c>
      <c r="BC471">
        <v>738</v>
      </c>
      <c r="BD471" t="s">
        <v>74</v>
      </c>
      <c r="BE471" t="s">
        <v>9550</v>
      </c>
      <c r="BF471" t="str">
        <f>HYPERLINK("http://dx.doi.org/10.1007/s00300-021-02830-7","http://dx.doi.org/10.1007/s00300-021-02830-7")</f>
        <v>http://dx.doi.org/10.1007/s00300-021-02830-7</v>
      </c>
      <c r="BG471" t="s">
        <v>74</v>
      </c>
      <c r="BH471" t="s">
        <v>6407</v>
      </c>
      <c r="BI471">
        <v>10</v>
      </c>
      <c r="BJ471" t="s">
        <v>1438</v>
      </c>
      <c r="BK471" t="s">
        <v>101</v>
      </c>
      <c r="BL471" t="s">
        <v>1439</v>
      </c>
      <c r="BM471" t="s">
        <v>8214</v>
      </c>
      <c r="BN471" t="s">
        <v>74</v>
      </c>
      <c r="BO471" t="s">
        <v>74</v>
      </c>
      <c r="BP471" t="s">
        <v>74</v>
      </c>
      <c r="BQ471" t="s">
        <v>74</v>
      </c>
      <c r="BR471" t="s">
        <v>104</v>
      </c>
      <c r="BS471" t="s">
        <v>9551</v>
      </c>
      <c r="BT471" t="str">
        <f>HYPERLINK("https%3A%2F%2Fwww.webofscience.com%2Fwos%2Fwoscc%2Ffull-record%2FWOS:000625592600002","View Full Record in Web of Science")</f>
        <v>View Full Record in Web of Science</v>
      </c>
    </row>
    <row r="472" spans="1:72" x14ac:dyDescent="0.15">
      <c r="A472" t="s">
        <v>72</v>
      </c>
      <c r="B472" t="s">
        <v>9552</v>
      </c>
      <c r="C472" t="s">
        <v>74</v>
      </c>
      <c r="D472" t="s">
        <v>74</v>
      </c>
      <c r="E472" t="s">
        <v>74</v>
      </c>
      <c r="F472" t="s">
        <v>9553</v>
      </c>
      <c r="G472" t="s">
        <v>74</v>
      </c>
      <c r="H472" t="s">
        <v>74</v>
      </c>
      <c r="I472" t="s">
        <v>9554</v>
      </c>
      <c r="J472" t="s">
        <v>9338</v>
      </c>
      <c r="K472" t="s">
        <v>74</v>
      </c>
      <c r="L472" t="s">
        <v>74</v>
      </c>
      <c r="M472" t="s">
        <v>78</v>
      </c>
      <c r="N472" t="s">
        <v>79</v>
      </c>
      <c r="O472" t="s">
        <v>74</v>
      </c>
      <c r="P472" t="s">
        <v>74</v>
      </c>
      <c r="Q472" t="s">
        <v>74</v>
      </c>
      <c r="R472" t="s">
        <v>74</v>
      </c>
      <c r="S472" t="s">
        <v>74</v>
      </c>
      <c r="T472" t="s">
        <v>9555</v>
      </c>
      <c r="U472" t="s">
        <v>9556</v>
      </c>
      <c r="V472" t="s">
        <v>9557</v>
      </c>
      <c r="W472" t="s">
        <v>9558</v>
      </c>
      <c r="X472" t="s">
        <v>9559</v>
      </c>
      <c r="Y472" t="s">
        <v>9560</v>
      </c>
      <c r="Z472" t="s">
        <v>9561</v>
      </c>
      <c r="AA472" t="s">
        <v>74</v>
      </c>
      <c r="AB472" t="s">
        <v>9562</v>
      </c>
      <c r="AC472" t="s">
        <v>9563</v>
      </c>
      <c r="AD472" t="s">
        <v>9563</v>
      </c>
      <c r="AE472" t="s">
        <v>9564</v>
      </c>
      <c r="AF472" t="s">
        <v>74</v>
      </c>
      <c r="AG472">
        <v>52</v>
      </c>
      <c r="AH472">
        <v>6</v>
      </c>
      <c r="AI472">
        <v>6</v>
      </c>
      <c r="AJ472">
        <v>0</v>
      </c>
      <c r="AK472">
        <v>8</v>
      </c>
      <c r="AL472" t="s">
        <v>795</v>
      </c>
      <c r="AM472" t="s">
        <v>796</v>
      </c>
      <c r="AN472" t="s">
        <v>797</v>
      </c>
      <c r="AO472" t="s">
        <v>9349</v>
      </c>
      <c r="AP472" t="s">
        <v>9350</v>
      </c>
      <c r="AQ472" t="s">
        <v>74</v>
      </c>
      <c r="AR472" t="s">
        <v>9351</v>
      </c>
      <c r="AS472" t="s">
        <v>9352</v>
      </c>
      <c r="AT472" t="s">
        <v>1035</v>
      </c>
      <c r="AU472">
        <v>2021</v>
      </c>
      <c r="AV472">
        <v>44</v>
      </c>
      <c r="AW472">
        <v>7</v>
      </c>
      <c r="AX472" t="s">
        <v>74</v>
      </c>
      <c r="AY472" t="s">
        <v>74</v>
      </c>
      <c r="AZ472" t="s">
        <v>74</v>
      </c>
      <c r="BA472" t="s">
        <v>74</v>
      </c>
      <c r="BB472">
        <v>993</v>
      </c>
      <c r="BC472">
        <v>1004</v>
      </c>
      <c r="BD472" t="s">
        <v>74</v>
      </c>
      <c r="BE472" t="s">
        <v>9565</v>
      </c>
      <c r="BF472" t="str">
        <f>HYPERLINK("http://dx.doi.org/10.1111/jfd.13360","http://dx.doi.org/10.1111/jfd.13360")</f>
        <v>http://dx.doi.org/10.1111/jfd.13360</v>
      </c>
      <c r="BG472" t="s">
        <v>74</v>
      </c>
      <c r="BH472" t="s">
        <v>6407</v>
      </c>
      <c r="BI472">
        <v>12</v>
      </c>
      <c r="BJ472" t="s">
        <v>9354</v>
      </c>
      <c r="BK472" t="s">
        <v>101</v>
      </c>
      <c r="BL472" t="s">
        <v>9354</v>
      </c>
      <c r="BM472" t="s">
        <v>9355</v>
      </c>
      <c r="BN472">
        <v>33675091</v>
      </c>
      <c r="BO472" t="s">
        <v>74</v>
      </c>
      <c r="BP472" t="s">
        <v>74</v>
      </c>
      <c r="BQ472" t="s">
        <v>74</v>
      </c>
      <c r="BR472" t="s">
        <v>104</v>
      </c>
      <c r="BS472" t="s">
        <v>9566</v>
      </c>
      <c r="BT472" t="str">
        <f>HYPERLINK("https%3A%2F%2Fwww.webofscience.com%2Fwos%2Fwoscc%2Ffull-record%2FWOS:000625656600001","View Full Record in Web of Science")</f>
        <v>View Full Record in Web of Science</v>
      </c>
    </row>
    <row r="473" spans="1:72" x14ac:dyDescent="0.15">
      <c r="A473" t="s">
        <v>72</v>
      </c>
      <c r="B473" t="s">
        <v>9567</v>
      </c>
      <c r="C473" t="s">
        <v>74</v>
      </c>
      <c r="D473" t="s">
        <v>74</v>
      </c>
      <c r="E473" t="s">
        <v>74</v>
      </c>
      <c r="F473" t="s">
        <v>9568</v>
      </c>
      <c r="G473" t="s">
        <v>74</v>
      </c>
      <c r="H473" t="s">
        <v>74</v>
      </c>
      <c r="I473" t="s">
        <v>9569</v>
      </c>
      <c r="J473" t="s">
        <v>2624</v>
      </c>
      <c r="K473" t="s">
        <v>74</v>
      </c>
      <c r="L473" t="s">
        <v>74</v>
      </c>
      <c r="M473" t="s">
        <v>78</v>
      </c>
      <c r="N473" t="s">
        <v>79</v>
      </c>
      <c r="O473" t="s">
        <v>74</v>
      </c>
      <c r="P473" t="s">
        <v>74</v>
      </c>
      <c r="Q473" t="s">
        <v>74</v>
      </c>
      <c r="R473" t="s">
        <v>74</v>
      </c>
      <c r="S473" t="s">
        <v>74</v>
      </c>
      <c r="T473" t="s">
        <v>74</v>
      </c>
      <c r="U473" t="s">
        <v>9570</v>
      </c>
      <c r="V473" t="s">
        <v>9571</v>
      </c>
      <c r="W473" t="s">
        <v>9572</v>
      </c>
      <c r="X473" t="s">
        <v>9573</v>
      </c>
      <c r="Y473" t="s">
        <v>9574</v>
      </c>
      <c r="Z473" t="s">
        <v>9575</v>
      </c>
      <c r="AA473" t="s">
        <v>9576</v>
      </c>
      <c r="AB473" t="s">
        <v>9577</v>
      </c>
      <c r="AC473" t="s">
        <v>9578</v>
      </c>
      <c r="AD473" t="s">
        <v>9579</v>
      </c>
      <c r="AE473" t="s">
        <v>9580</v>
      </c>
      <c r="AF473" t="s">
        <v>74</v>
      </c>
      <c r="AG473">
        <v>61</v>
      </c>
      <c r="AH473">
        <v>4</v>
      </c>
      <c r="AI473">
        <v>4</v>
      </c>
      <c r="AJ473">
        <v>0</v>
      </c>
      <c r="AK473">
        <v>11</v>
      </c>
      <c r="AL473" t="s">
        <v>1269</v>
      </c>
      <c r="AM473" t="s">
        <v>1270</v>
      </c>
      <c r="AN473" t="s">
        <v>1271</v>
      </c>
      <c r="AO473" t="s">
        <v>2636</v>
      </c>
      <c r="AP473" t="s">
        <v>2637</v>
      </c>
      <c r="AQ473" t="s">
        <v>74</v>
      </c>
      <c r="AR473" t="s">
        <v>2638</v>
      </c>
      <c r="AS473" t="s">
        <v>2639</v>
      </c>
      <c r="AT473" t="s">
        <v>9514</v>
      </c>
      <c r="AU473">
        <v>2021</v>
      </c>
      <c r="AV473">
        <v>14</v>
      </c>
      <c r="AW473">
        <v>3</v>
      </c>
      <c r="AX473" t="s">
        <v>74</v>
      </c>
      <c r="AY473" t="s">
        <v>74</v>
      </c>
      <c r="AZ473" t="s">
        <v>74</v>
      </c>
      <c r="BA473" t="s">
        <v>74</v>
      </c>
      <c r="BB473">
        <v>1833</v>
      </c>
      <c r="BC473">
        <v>1849</v>
      </c>
      <c r="BD473" t="s">
        <v>74</v>
      </c>
      <c r="BE473" t="s">
        <v>9581</v>
      </c>
      <c r="BF473" t="str">
        <f>HYPERLINK("http://dx.doi.org/10.5194/amt-14-1833-2021","http://dx.doi.org/10.5194/amt-14-1833-2021")</f>
        <v>http://dx.doi.org/10.5194/amt-14-1833-2021</v>
      </c>
      <c r="BG473" t="s">
        <v>74</v>
      </c>
      <c r="BH473" t="s">
        <v>74</v>
      </c>
      <c r="BI473">
        <v>17</v>
      </c>
      <c r="BJ473" t="s">
        <v>129</v>
      </c>
      <c r="BK473" t="s">
        <v>101</v>
      </c>
      <c r="BL473" t="s">
        <v>129</v>
      </c>
      <c r="BM473" t="s">
        <v>9582</v>
      </c>
      <c r="BN473" t="s">
        <v>74</v>
      </c>
      <c r="BO473" t="s">
        <v>7805</v>
      </c>
      <c r="BP473" t="s">
        <v>74</v>
      </c>
      <c r="BQ473" t="s">
        <v>74</v>
      </c>
      <c r="BR473" t="s">
        <v>104</v>
      </c>
      <c r="BS473" t="s">
        <v>9583</v>
      </c>
      <c r="BT473" t="str">
        <f>HYPERLINK("https%3A%2F%2Fwww.webofscience.com%2Fwos%2Fwoscc%2Ffull-record%2FWOS:000626739200001","View Full Record in Web of Science")</f>
        <v>View Full Record in Web of Science</v>
      </c>
    </row>
    <row r="474" spans="1:72" x14ac:dyDescent="0.15">
      <c r="A474" t="s">
        <v>72</v>
      </c>
      <c r="B474" t="s">
        <v>9584</v>
      </c>
      <c r="C474" t="s">
        <v>74</v>
      </c>
      <c r="D474" t="s">
        <v>74</v>
      </c>
      <c r="E474" t="s">
        <v>74</v>
      </c>
      <c r="F474" t="s">
        <v>9585</v>
      </c>
      <c r="G474" t="s">
        <v>74</v>
      </c>
      <c r="H474" t="s">
        <v>74</v>
      </c>
      <c r="I474" t="s">
        <v>9586</v>
      </c>
      <c r="J474" t="s">
        <v>8794</v>
      </c>
      <c r="K474" t="s">
        <v>74</v>
      </c>
      <c r="L474" t="s">
        <v>74</v>
      </c>
      <c r="M474" t="s">
        <v>78</v>
      </c>
      <c r="N474" t="s">
        <v>79</v>
      </c>
      <c r="O474" t="s">
        <v>74</v>
      </c>
      <c r="P474" t="s">
        <v>74</v>
      </c>
      <c r="Q474" t="s">
        <v>74</v>
      </c>
      <c r="R474" t="s">
        <v>74</v>
      </c>
      <c r="S474" t="s">
        <v>74</v>
      </c>
      <c r="T474" t="s">
        <v>74</v>
      </c>
      <c r="U474" t="s">
        <v>9587</v>
      </c>
      <c r="V474" t="s">
        <v>9588</v>
      </c>
      <c r="W474" t="s">
        <v>9589</v>
      </c>
      <c r="X474" t="s">
        <v>9590</v>
      </c>
      <c r="Y474" t="s">
        <v>9591</v>
      </c>
      <c r="Z474" t="s">
        <v>9592</v>
      </c>
      <c r="AA474" t="s">
        <v>9593</v>
      </c>
      <c r="AB474" t="s">
        <v>9594</v>
      </c>
      <c r="AC474" t="s">
        <v>9595</v>
      </c>
      <c r="AD474" t="s">
        <v>9596</v>
      </c>
      <c r="AE474" t="s">
        <v>9597</v>
      </c>
      <c r="AF474" t="s">
        <v>74</v>
      </c>
      <c r="AG474">
        <v>99</v>
      </c>
      <c r="AH474">
        <v>127</v>
      </c>
      <c r="AI474">
        <v>138</v>
      </c>
      <c r="AJ474">
        <v>11</v>
      </c>
      <c r="AK474">
        <v>82</v>
      </c>
      <c r="AL474" t="s">
        <v>4283</v>
      </c>
      <c r="AM474" t="s">
        <v>390</v>
      </c>
      <c r="AN474" t="s">
        <v>4284</v>
      </c>
      <c r="AO474" t="s">
        <v>8806</v>
      </c>
      <c r="AP474" t="s">
        <v>8807</v>
      </c>
      <c r="AQ474" t="s">
        <v>74</v>
      </c>
      <c r="AR474" t="s">
        <v>8794</v>
      </c>
      <c r="AS474" t="s">
        <v>8808</v>
      </c>
      <c r="AT474" t="s">
        <v>9514</v>
      </c>
      <c r="AU474">
        <v>2021</v>
      </c>
      <c r="AV474">
        <v>371</v>
      </c>
      <c r="AW474">
        <v>6533</v>
      </c>
      <c r="AX474" t="s">
        <v>74</v>
      </c>
      <c r="AY474" t="s">
        <v>74</v>
      </c>
      <c r="AZ474" t="s">
        <v>74</v>
      </c>
      <c r="BA474" t="s">
        <v>74</v>
      </c>
      <c r="BB474">
        <v>1014</v>
      </c>
      <c r="BC474" t="s">
        <v>867</v>
      </c>
      <c r="BD474" t="s">
        <v>74</v>
      </c>
      <c r="BE474" t="s">
        <v>9598</v>
      </c>
      <c r="BF474" t="str">
        <f>HYPERLINK("http://dx.doi.org/10.1126/science.abc5810","http://dx.doi.org/10.1126/science.abc5810")</f>
        <v>http://dx.doi.org/10.1126/science.abc5810</v>
      </c>
      <c r="BG474" t="s">
        <v>74</v>
      </c>
      <c r="BH474" t="s">
        <v>74</v>
      </c>
      <c r="BI474">
        <v>39</v>
      </c>
      <c r="BJ474" t="s">
        <v>555</v>
      </c>
      <c r="BK474" t="s">
        <v>101</v>
      </c>
      <c r="BL474" t="s">
        <v>556</v>
      </c>
      <c r="BM474" t="s">
        <v>9599</v>
      </c>
      <c r="BN474">
        <v>33674487</v>
      </c>
      <c r="BO474" t="s">
        <v>496</v>
      </c>
      <c r="BP474" t="s">
        <v>871</v>
      </c>
      <c r="BQ474" t="s">
        <v>872</v>
      </c>
      <c r="BR474" t="s">
        <v>104</v>
      </c>
      <c r="BS474" t="s">
        <v>9600</v>
      </c>
      <c r="BT474" t="str">
        <f>HYPERLINK("https%3A%2F%2Fwww.webofscience.com%2Fwos%2Fwoscc%2Ffull-record%2FWOS:000625876100048","View Full Record in Web of Science")</f>
        <v>View Full Record in Web of Science</v>
      </c>
    </row>
    <row r="475" spans="1:72" x14ac:dyDescent="0.15">
      <c r="A475" t="s">
        <v>72</v>
      </c>
      <c r="B475" t="s">
        <v>9601</v>
      </c>
      <c r="C475" t="s">
        <v>74</v>
      </c>
      <c r="D475" t="s">
        <v>74</v>
      </c>
      <c r="E475" t="s">
        <v>74</v>
      </c>
      <c r="F475" t="s">
        <v>9602</v>
      </c>
      <c r="G475" t="s">
        <v>74</v>
      </c>
      <c r="H475" t="s">
        <v>74</v>
      </c>
      <c r="I475" t="s">
        <v>9603</v>
      </c>
      <c r="J475" t="s">
        <v>1692</v>
      </c>
      <c r="K475" t="s">
        <v>74</v>
      </c>
      <c r="L475" t="s">
        <v>74</v>
      </c>
      <c r="M475" t="s">
        <v>78</v>
      </c>
      <c r="N475" t="s">
        <v>3616</v>
      </c>
      <c r="O475" t="s">
        <v>74</v>
      </c>
      <c r="P475" t="s">
        <v>74</v>
      </c>
      <c r="Q475" t="s">
        <v>74</v>
      </c>
      <c r="R475" t="s">
        <v>74</v>
      </c>
      <c r="S475" t="s">
        <v>74</v>
      </c>
      <c r="T475" t="s">
        <v>74</v>
      </c>
      <c r="U475" t="s">
        <v>74</v>
      </c>
      <c r="V475" t="s">
        <v>74</v>
      </c>
      <c r="W475" t="s">
        <v>74</v>
      </c>
      <c r="X475" t="s">
        <v>74</v>
      </c>
      <c r="Y475" t="s">
        <v>74</v>
      </c>
      <c r="Z475" t="s">
        <v>9604</v>
      </c>
      <c r="AA475" t="s">
        <v>9605</v>
      </c>
      <c r="AB475" t="s">
        <v>9606</v>
      </c>
      <c r="AC475" t="s">
        <v>74</v>
      </c>
      <c r="AD475" t="s">
        <v>74</v>
      </c>
      <c r="AE475" t="s">
        <v>74</v>
      </c>
      <c r="AF475" t="s">
        <v>74</v>
      </c>
      <c r="AG475">
        <v>1</v>
      </c>
      <c r="AH475">
        <v>0</v>
      </c>
      <c r="AI475">
        <v>0</v>
      </c>
      <c r="AJ475">
        <v>1</v>
      </c>
      <c r="AK475">
        <v>4</v>
      </c>
      <c r="AL475" t="s">
        <v>3620</v>
      </c>
      <c r="AM475" t="s">
        <v>862</v>
      </c>
      <c r="AN475" t="s">
        <v>863</v>
      </c>
      <c r="AO475" t="s">
        <v>1704</v>
      </c>
      <c r="AP475" t="s">
        <v>74</v>
      </c>
      <c r="AQ475" t="s">
        <v>74</v>
      </c>
      <c r="AR475" t="s">
        <v>1705</v>
      </c>
      <c r="AS475" t="s">
        <v>1706</v>
      </c>
      <c r="AT475" t="s">
        <v>9514</v>
      </c>
      <c r="AU475">
        <v>2021</v>
      </c>
      <c r="AV475">
        <v>12</v>
      </c>
      <c r="AW475">
        <v>1</v>
      </c>
      <c r="AX475" t="s">
        <v>74</v>
      </c>
      <c r="AY475" t="s">
        <v>74</v>
      </c>
      <c r="AZ475" t="s">
        <v>74</v>
      </c>
      <c r="BA475" t="s">
        <v>74</v>
      </c>
      <c r="BB475" t="s">
        <v>74</v>
      </c>
      <c r="BC475" t="s">
        <v>74</v>
      </c>
      <c r="BD475">
        <v>1608</v>
      </c>
      <c r="BE475" t="s">
        <v>9607</v>
      </c>
      <c r="BF475" t="str">
        <f>HYPERLINK("http://dx.doi.org/10.1038/s41467-021-22037-y","http://dx.doi.org/10.1038/s41467-021-22037-y")</f>
        <v>http://dx.doi.org/10.1038/s41467-021-22037-y</v>
      </c>
      <c r="BG475" t="s">
        <v>74</v>
      </c>
      <c r="BH475" t="s">
        <v>74</v>
      </c>
      <c r="BI475">
        <v>1</v>
      </c>
      <c r="BJ475" t="s">
        <v>555</v>
      </c>
      <c r="BK475" t="s">
        <v>101</v>
      </c>
      <c r="BL475" t="s">
        <v>556</v>
      </c>
      <c r="BM475" t="s">
        <v>9608</v>
      </c>
      <c r="BN475">
        <v>33674613</v>
      </c>
      <c r="BO475" t="s">
        <v>298</v>
      </c>
      <c r="BP475" t="s">
        <v>74</v>
      </c>
      <c r="BQ475" t="s">
        <v>74</v>
      </c>
      <c r="BR475" t="s">
        <v>104</v>
      </c>
      <c r="BS475" t="s">
        <v>9609</v>
      </c>
      <c r="BT475" t="str">
        <f>HYPERLINK("https%3A%2F%2Fwww.webofscience.com%2Fwos%2Fwoscc%2Ffull-record%2FWOS:000627416200001","View Full Record in Web of Science")</f>
        <v>View Full Record in Web of Science</v>
      </c>
    </row>
    <row r="476" spans="1:72" x14ac:dyDescent="0.15">
      <c r="A476" t="s">
        <v>72</v>
      </c>
      <c r="B476" t="s">
        <v>9610</v>
      </c>
      <c r="C476" t="s">
        <v>74</v>
      </c>
      <c r="D476" t="s">
        <v>74</v>
      </c>
      <c r="E476" t="s">
        <v>74</v>
      </c>
      <c r="F476" t="s">
        <v>9611</v>
      </c>
      <c r="G476" t="s">
        <v>74</v>
      </c>
      <c r="H476" t="s">
        <v>74</v>
      </c>
      <c r="I476" t="s">
        <v>9612</v>
      </c>
      <c r="J476" t="s">
        <v>1980</v>
      </c>
      <c r="K476" t="s">
        <v>74</v>
      </c>
      <c r="L476" t="s">
        <v>74</v>
      </c>
      <c r="M476" t="s">
        <v>78</v>
      </c>
      <c r="N476" t="s">
        <v>79</v>
      </c>
      <c r="O476" t="s">
        <v>74</v>
      </c>
      <c r="P476" t="s">
        <v>74</v>
      </c>
      <c r="Q476" t="s">
        <v>74</v>
      </c>
      <c r="R476" t="s">
        <v>74</v>
      </c>
      <c r="S476" t="s">
        <v>74</v>
      </c>
      <c r="T476" t="s">
        <v>74</v>
      </c>
      <c r="U476" t="s">
        <v>74</v>
      </c>
      <c r="V476" t="s">
        <v>9613</v>
      </c>
      <c r="W476" t="s">
        <v>9614</v>
      </c>
      <c r="X476" t="s">
        <v>9615</v>
      </c>
      <c r="Y476" t="s">
        <v>9616</v>
      </c>
      <c r="Z476" t="s">
        <v>9617</v>
      </c>
      <c r="AA476" t="s">
        <v>9618</v>
      </c>
      <c r="AB476" t="s">
        <v>9619</v>
      </c>
      <c r="AC476" t="s">
        <v>9620</v>
      </c>
      <c r="AD476" t="s">
        <v>4769</v>
      </c>
      <c r="AE476" t="s">
        <v>9621</v>
      </c>
      <c r="AF476" t="s">
        <v>74</v>
      </c>
      <c r="AG476">
        <v>137</v>
      </c>
      <c r="AH476">
        <v>34</v>
      </c>
      <c r="AI476">
        <v>37</v>
      </c>
      <c r="AJ476">
        <v>4</v>
      </c>
      <c r="AK476">
        <v>40</v>
      </c>
      <c r="AL476" t="s">
        <v>1269</v>
      </c>
      <c r="AM476" t="s">
        <v>1270</v>
      </c>
      <c r="AN476" t="s">
        <v>1271</v>
      </c>
      <c r="AO476" t="s">
        <v>1992</v>
      </c>
      <c r="AP476" t="s">
        <v>1993</v>
      </c>
      <c r="AQ476" t="s">
        <v>74</v>
      </c>
      <c r="AR476" t="s">
        <v>1994</v>
      </c>
      <c r="AS476" t="s">
        <v>1995</v>
      </c>
      <c r="AT476" t="s">
        <v>9514</v>
      </c>
      <c r="AU476">
        <v>2021</v>
      </c>
      <c r="AV476">
        <v>21</v>
      </c>
      <c r="AW476">
        <v>5</v>
      </c>
      <c r="AX476" t="s">
        <v>74</v>
      </c>
      <c r="AY476" t="s">
        <v>74</v>
      </c>
      <c r="AZ476" t="s">
        <v>74</v>
      </c>
      <c r="BA476" t="s">
        <v>74</v>
      </c>
      <c r="BB476">
        <v>3427</v>
      </c>
      <c r="BC476">
        <v>3446</v>
      </c>
      <c r="BD476" t="s">
        <v>74</v>
      </c>
      <c r="BE476" t="s">
        <v>9622</v>
      </c>
      <c r="BF476" t="str">
        <f>HYPERLINK("http://dx.doi.org/10.5194/acp-21-3427-2021","http://dx.doi.org/10.5194/acp-21-3427-2021")</f>
        <v>http://dx.doi.org/10.5194/acp-21-3427-2021</v>
      </c>
      <c r="BG476" t="s">
        <v>74</v>
      </c>
      <c r="BH476" t="s">
        <v>74</v>
      </c>
      <c r="BI476">
        <v>20</v>
      </c>
      <c r="BJ476" t="s">
        <v>199</v>
      </c>
      <c r="BK476" t="s">
        <v>101</v>
      </c>
      <c r="BL476" t="s">
        <v>200</v>
      </c>
      <c r="BM476" t="s">
        <v>9623</v>
      </c>
      <c r="BN476" t="s">
        <v>74</v>
      </c>
      <c r="BO476" t="s">
        <v>1280</v>
      </c>
      <c r="BP476" t="s">
        <v>74</v>
      </c>
      <c r="BQ476" t="s">
        <v>74</v>
      </c>
      <c r="BR476" t="s">
        <v>104</v>
      </c>
      <c r="BS476" t="s">
        <v>9624</v>
      </c>
      <c r="BT476" t="str">
        <f>HYPERLINK("https%3A%2F%2Fwww.webofscience.com%2Fwos%2Fwoscc%2Ffull-record%2FWOS:000626739700002","View Full Record in Web of Science")</f>
        <v>View Full Record in Web of Science</v>
      </c>
    </row>
    <row r="477" spans="1:72" x14ac:dyDescent="0.15">
      <c r="A477" t="s">
        <v>72</v>
      </c>
      <c r="B477" t="s">
        <v>9625</v>
      </c>
      <c r="C477" t="s">
        <v>74</v>
      </c>
      <c r="D477" t="s">
        <v>74</v>
      </c>
      <c r="E477" t="s">
        <v>74</v>
      </c>
      <c r="F477" t="s">
        <v>9626</v>
      </c>
      <c r="G477" t="s">
        <v>74</v>
      </c>
      <c r="H477" t="s">
        <v>74</v>
      </c>
      <c r="I477" t="s">
        <v>9627</v>
      </c>
      <c r="J477" t="s">
        <v>7986</v>
      </c>
      <c r="K477" t="s">
        <v>74</v>
      </c>
      <c r="L477" t="s">
        <v>74</v>
      </c>
      <c r="M477" t="s">
        <v>78</v>
      </c>
      <c r="N477" t="s">
        <v>79</v>
      </c>
      <c r="O477" t="s">
        <v>74</v>
      </c>
      <c r="P477" t="s">
        <v>74</v>
      </c>
      <c r="Q477" t="s">
        <v>74</v>
      </c>
      <c r="R477" t="s">
        <v>74</v>
      </c>
      <c r="S477" t="s">
        <v>74</v>
      </c>
      <c r="T477" t="s">
        <v>74</v>
      </c>
      <c r="U477" t="s">
        <v>9628</v>
      </c>
      <c r="V477" t="s">
        <v>9629</v>
      </c>
      <c r="W477" t="s">
        <v>9630</v>
      </c>
      <c r="X477" t="s">
        <v>9631</v>
      </c>
      <c r="Y477" t="s">
        <v>9632</v>
      </c>
      <c r="Z477" t="s">
        <v>9633</v>
      </c>
      <c r="AA477" t="s">
        <v>9634</v>
      </c>
      <c r="AB477" t="s">
        <v>9635</v>
      </c>
      <c r="AC477" t="s">
        <v>9636</v>
      </c>
      <c r="AD477" t="s">
        <v>9637</v>
      </c>
      <c r="AE477" t="s">
        <v>9638</v>
      </c>
      <c r="AF477" t="s">
        <v>74</v>
      </c>
      <c r="AG477">
        <v>52</v>
      </c>
      <c r="AH477">
        <v>14</v>
      </c>
      <c r="AI477">
        <v>14</v>
      </c>
      <c r="AJ477">
        <v>1</v>
      </c>
      <c r="AK477">
        <v>2</v>
      </c>
      <c r="AL477" t="s">
        <v>4306</v>
      </c>
      <c r="AM477" t="s">
        <v>1909</v>
      </c>
      <c r="AN477" t="s">
        <v>4307</v>
      </c>
      <c r="AO477" t="s">
        <v>74</v>
      </c>
      <c r="AP477" t="s">
        <v>7998</v>
      </c>
      <c r="AQ477" t="s">
        <v>74</v>
      </c>
      <c r="AR477" t="s">
        <v>7999</v>
      </c>
      <c r="AS477" t="s">
        <v>8000</v>
      </c>
      <c r="AT477" t="s">
        <v>9514</v>
      </c>
      <c r="AU477">
        <v>2021</v>
      </c>
      <c r="AV477">
        <v>2</v>
      </c>
      <c r="AW477">
        <v>1</v>
      </c>
      <c r="AX477" t="s">
        <v>74</v>
      </c>
      <c r="AY477" t="s">
        <v>74</v>
      </c>
      <c r="AZ477" t="s">
        <v>74</v>
      </c>
      <c r="BA477" t="s">
        <v>74</v>
      </c>
      <c r="BB477" t="s">
        <v>74</v>
      </c>
      <c r="BC477" t="s">
        <v>74</v>
      </c>
      <c r="BD477">
        <v>40</v>
      </c>
      <c r="BE477" t="s">
        <v>9639</v>
      </c>
      <c r="BF477" t="str">
        <f>HYPERLINK("http://dx.doi.org/10.1038/s43247-021-00111-z","http://dx.doi.org/10.1038/s43247-021-00111-z")</f>
        <v>http://dx.doi.org/10.1038/s43247-021-00111-z</v>
      </c>
      <c r="BG477" t="s">
        <v>74</v>
      </c>
      <c r="BH477" t="s">
        <v>74</v>
      </c>
      <c r="BI477">
        <v>9</v>
      </c>
      <c r="BJ477" t="s">
        <v>6147</v>
      </c>
      <c r="BK477" t="s">
        <v>101</v>
      </c>
      <c r="BL477" t="s">
        <v>6148</v>
      </c>
      <c r="BM477" t="s">
        <v>9640</v>
      </c>
      <c r="BN477" t="s">
        <v>74</v>
      </c>
      <c r="BO477" t="s">
        <v>1170</v>
      </c>
      <c r="BP477" t="s">
        <v>74</v>
      </c>
      <c r="BQ477" t="s">
        <v>74</v>
      </c>
      <c r="BR477" t="s">
        <v>104</v>
      </c>
      <c r="BS477" t="s">
        <v>9641</v>
      </c>
      <c r="BT477" t="str">
        <f>HYPERLINK("https%3A%2F%2Fwww.webofscience.com%2Fwos%2Fwoscc%2Ffull-record%2FWOS:000665750500001","View Full Record in Web of Science")</f>
        <v>View Full Record in Web of Science</v>
      </c>
    </row>
    <row r="478" spans="1:72" x14ac:dyDescent="0.15">
      <c r="A478" t="s">
        <v>72</v>
      </c>
      <c r="B478" t="s">
        <v>9642</v>
      </c>
      <c r="C478" t="s">
        <v>74</v>
      </c>
      <c r="D478" t="s">
        <v>74</v>
      </c>
      <c r="E478" t="s">
        <v>74</v>
      </c>
      <c r="F478" t="s">
        <v>9643</v>
      </c>
      <c r="G478" t="s">
        <v>74</v>
      </c>
      <c r="H478" t="s">
        <v>74</v>
      </c>
      <c r="I478" t="s">
        <v>9644</v>
      </c>
      <c r="J478" t="s">
        <v>1761</v>
      </c>
      <c r="K478" t="s">
        <v>74</v>
      </c>
      <c r="L478" t="s">
        <v>74</v>
      </c>
      <c r="M478" t="s">
        <v>78</v>
      </c>
      <c r="N478" t="s">
        <v>79</v>
      </c>
      <c r="O478" t="s">
        <v>74</v>
      </c>
      <c r="P478" t="s">
        <v>74</v>
      </c>
      <c r="Q478" t="s">
        <v>74</v>
      </c>
      <c r="R478" t="s">
        <v>74</v>
      </c>
      <c r="S478" t="s">
        <v>74</v>
      </c>
      <c r="T478" t="s">
        <v>74</v>
      </c>
      <c r="U478" t="s">
        <v>9645</v>
      </c>
      <c r="V478" t="s">
        <v>9646</v>
      </c>
      <c r="W478" t="s">
        <v>9647</v>
      </c>
      <c r="X478" t="s">
        <v>9648</v>
      </c>
      <c r="Y478" t="s">
        <v>9649</v>
      </c>
      <c r="Z478" t="s">
        <v>9650</v>
      </c>
      <c r="AA478" t="s">
        <v>9651</v>
      </c>
      <c r="AB478" t="s">
        <v>9652</v>
      </c>
      <c r="AC478" t="s">
        <v>9653</v>
      </c>
      <c r="AD478" t="s">
        <v>9654</v>
      </c>
      <c r="AE478" t="s">
        <v>9655</v>
      </c>
      <c r="AF478" t="s">
        <v>74</v>
      </c>
      <c r="AG478">
        <v>100</v>
      </c>
      <c r="AH478">
        <v>69</v>
      </c>
      <c r="AI478">
        <v>73</v>
      </c>
      <c r="AJ478">
        <v>5</v>
      </c>
      <c r="AK478">
        <v>23</v>
      </c>
      <c r="AL478" t="s">
        <v>1269</v>
      </c>
      <c r="AM478" t="s">
        <v>1270</v>
      </c>
      <c r="AN478" t="s">
        <v>1271</v>
      </c>
      <c r="AO478" t="s">
        <v>1773</v>
      </c>
      <c r="AP478" t="s">
        <v>1774</v>
      </c>
      <c r="AQ478" t="s">
        <v>74</v>
      </c>
      <c r="AR478" t="s">
        <v>1761</v>
      </c>
      <c r="AS478" t="s">
        <v>1775</v>
      </c>
      <c r="AT478" t="s">
        <v>9514</v>
      </c>
      <c r="AU478">
        <v>2021</v>
      </c>
      <c r="AV478">
        <v>15</v>
      </c>
      <c r="AW478">
        <v>3</v>
      </c>
      <c r="AX478" t="s">
        <v>74</v>
      </c>
      <c r="AY478" t="s">
        <v>74</v>
      </c>
      <c r="AZ478" t="s">
        <v>74</v>
      </c>
      <c r="BA478" t="s">
        <v>74</v>
      </c>
      <c r="BB478">
        <v>1215</v>
      </c>
      <c r="BC478">
        <v>1236</v>
      </c>
      <c r="BD478" t="s">
        <v>74</v>
      </c>
      <c r="BE478" t="s">
        <v>9656</v>
      </c>
      <c r="BF478" t="str">
        <f>HYPERLINK("http://dx.doi.org/10.5194/tc-15-1215-2021","http://dx.doi.org/10.5194/tc-15-1215-2021")</f>
        <v>http://dx.doi.org/10.5194/tc-15-1215-2021</v>
      </c>
      <c r="BG478" t="s">
        <v>74</v>
      </c>
      <c r="BH478" t="s">
        <v>74</v>
      </c>
      <c r="BI478">
        <v>22</v>
      </c>
      <c r="BJ478" t="s">
        <v>1685</v>
      </c>
      <c r="BK478" t="s">
        <v>101</v>
      </c>
      <c r="BL478" t="s">
        <v>1686</v>
      </c>
      <c r="BM478" t="s">
        <v>9657</v>
      </c>
      <c r="BN478" t="s">
        <v>74</v>
      </c>
      <c r="BO478" t="s">
        <v>1121</v>
      </c>
      <c r="BP478" t="s">
        <v>74</v>
      </c>
      <c r="BQ478" t="s">
        <v>74</v>
      </c>
      <c r="BR478" t="s">
        <v>104</v>
      </c>
      <c r="BS478" t="s">
        <v>9658</v>
      </c>
      <c r="BT478" t="str">
        <f>HYPERLINK("https%3A%2F%2Fwww.webofscience.com%2Fwos%2Fwoscc%2Ffull-record%2FWOS:000626744200001","View Full Record in Web of Science")</f>
        <v>View Full Record in Web of Science</v>
      </c>
    </row>
    <row r="479" spans="1:72" x14ac:dyDescent="0.15">
      <c r="A479" t="s">
        <v>72</v>
      </c>
      <c r="B479" t="s">
        <v>9659</v>
      </c>
      <c r="C479" t="s">
        <v>74</v>
      </c>
      <c r="D479" t="s">
        <v>74</v>
      </c>
      <c r="E479" t="s">
        <v>74</v>
      </c>
      <c r="F479" t="s">
        <v>9660</v>
      </c>
      <c r="G479" t="s">
        <v>74</v>
      </c>
      <c r="H479" t="s">
        <v>74</v>
      </c>
      <c r="I479" t="s">
        <v>9661</v>
      </c>
      <c r="J479" t="s">
        <v>9662</v>
      </c>
      <c r="K479" t="s">
        <v>74</v>
      </c>
      <c r="L479" t="s">
        <v>74</v>
      </c>
      <c r="M479" t="s">
        <v>78</v>
      </c>
      <c r="N479" t="s">
        <v>79</v>
      </c>
      <c r="O479" t="s">
        <v>74</v>
      </c>
      <c r="P479" t="s">
        <v>74</v>
      </c>
      <c r="Q479" t="s">
        <v>74</v>
      </c>
      <c r="R479" t="s">
        <v>74</v>
      </c>
      <c r="S479" t="s">
        <v>74</v>
      </c>
      <c r="T479" t="s">
        <v>9663</v>
      </c>
      <c r="U479" t="s">
        <v>9664</v>
      </c>
      <c r="V479" t="s">
        <v>9665</v>
      </c>
      <c r="W479" t="s">
        <v>9666</v>
      </c>
      <c r="X479" t="s">
        <v>9450</v>
      </c>
      <c r="Y479" t="s">
        <v>9667</v>
      </c>
      <c r="Z479" t="s">
        <v>9668</v>
      </c>
      <c r="AA479" t="s">
        <v>9453</v>
      </c>
      <c r="AB479" t="s">
        <v>9669</v>
      </c>
      <c r="AC479" t="s">
        <v>9670</v>
      </c>
      <c r="AD479" t="s">
        <v>9671</v>
      </c>
      <c r="AE479" t="s">
        <v>9672</v>
      </c>
      <c r="AF479" t="s">
        <v>74</v>
      </c>
      <c r="AG479">
        <v>81</v>
      </c>
      <c r="AH479">
        <v>5</v>
      </c>
      <c r="AI479">
        <v>5</v>
      </c>
      <c r="AJ479">
        <v>1</v>
      </c>
      <c r="AK479">
        <v>5</v>
      </c>
      <c r="AL479" t="s">
        <v>795</v>
      </c>
      <c r="AM479" t="s">
        <v>796</v>
      </c>
      <c r="AN479" t="s">
        <v>797</v>
      </c>
      <c r="AO479" t="s">
        <v>9673</v>
      </c>
      <c r="AP479" t="s">
        <v>9674</v>
      </c>
      <c r="AQ479" t="s">
        <v>74</v>
      </c>
      <c r="AR479" t="s">
        <v>9662</v>
      </c>
      <c r="AS479" t="s">
        <v>9675</v>
      </c>
      <c r="AT479" t="s">
        <v>1035</v>
      </c>
      <c r="AU479">
        <v>2021</v>
      </c>
      <c r="AV479">
        <v>163</v>
      </c>
      <c r="AW479">
        <v>3</v>
      </c>
      <c r="AX479" t="s">
        <v>74</v>
      </c>
      <c r="AY479" t="s">
        <v>74</v>
      </c>
      <c r="AZ479" t="s">
        <v>74</v>
      </c>
      <c r="BA479" t="s">
        <v>74</v>
      </c>
      <c r="BB479">
        <v>812</v>
      </c>
      <c r="BC479">
        <v>823</v>
      </c>
      <c r="BD479" t="s">
        <v>74</v>
      </c>
      <c r="BE479" t="s">
        <v>9676</v>
      </c>
      <c r="BF479" t="str">
        <f>HYPERLINK("http://dx.doi.org/10.1111/ibi.12941","http://dx.doi.org/10.1111/ibi.12941")</f>
        <v>http://dx.doi.org/10.1111/ibi.12941</v>
      </c>
      <c r="BG479" t="s">
        <v>74</v>
      </c>
      <c r="BH479" t="s">
        <v>6407</v>
      </c>
      <c r="BI479">
        <v>12</v>
      </c>
      <c r="BJ479" t="s">
        <v>2930</v>
      </c>
      <c r="BK479" t="s">
        <v>101</v>
      </c>
      <c r="BL479" t="s">
        <v>1229</v>
      </c>
      <c r="BM479" t="s">
        <v>9677</v>
      </c>
      <c r="BN479" t="s">
        <v>74</v>
      </c>
      <c r="BO479" t="s">
        <v>74</v>
      </c>
      <c r="BP479" t="s">
        <v>74</v>
      </c>
      <c r="BQ479" t="s">
        <v>74</v>
      </c>
      <c r="BR479" t="s">
        <v>104</v>
      </c>
      <c r="BS479" t="s">
        <v>9678</v>
      </c>
      <c r="BT479" t="str">
        <f>HYPERLINK("https%3A%2F%2Fwww.webofscience.com%2Fwos%2Fwoscc%2Ffull-record%2FWOS:000625569000001","View Full Record in Web of Science")</f>
        <v>View Full Record in Web of Science</v>
      </c>
    </row>
    <row r="480" spans="1:72" x14ac:dyDescent="0.15">
      <c r="A480" t="s">
        <v>72</v>
      </c>
      <c r="B480" t="s">
        <v>9679</v>
      </c>
      <c r="C480" t="s">
        <v>74</v>
      </c>
      <c r="D480" t="s">
        <v>74</v>
      </c>
      <c r="E480" t="s">
        <v>74</v>
      </c>
      <c r="F480" t="s">
        <v>9680</v>
      </c>
      <c r="G480" t="s">
        <v>74</v>
      </c>
      <c r="H480" t="s">
        <v>74</v>
      </c>
      <c r="I480" t="s">
        <v>9681</v>
      </c>
      <c r="J480" t="s">
        <v>9061</v>
      </c>
      <c r="K480" t="s">
        <v>74</v>
      </c>
      <c r="L480" t="s">
        <v>74</v>
      </c>
      <c r="M480" t="s">
        <v>78</v>
      </c>
      <c r="N480" t="s">
        <v>79</v>
      </c>
      <c r="O480" t="s">
        <v>74</v>
      </c>
      <c r="P480" t="s">
        <v>74</v>
      </c>
      <c r="Q480" t="s">
        <v>74</v>
      </c>
      <c r="R480" t="s">
        <v>74</v>
      </c>
      <c r="S480" t="s">
        <v>74</v>
      </c>
      <c r="T480" t="s">
        <v>9682</v>
      </c>
      <c r="U480" t="s">
        <v>9683</v>
      </c>
      <c r="V480" t="s">
        <v>9684</v>
      </c>
      <c r="W480" t="s">
        <v>9685</v>
      </c>
      <c r="X480" t="s">
        <v>9686</v>
      </c>
      <c r="Y480" t="s">
        <v>9687</v>
      </c>
      <c r="Z480" t="s">
        <v>9688</v>
      </c>
      <c r="AA480" t="s">
        <v>9689</v>
      </c>
      <c r="AB480" t="s">
        <v>9690</v>
      </c>
      <c r="AC480" t="s">
        <v>9691</v>
      </c>
      <c r="AD480" t="s">
        <v>9692</v>
      </c>
      <c r="AE480" t="s">
        <v>9693</v>
      </c>
      <c r="AF480" t="s">
        <v>74</v>
      </c>
      <c r="AG480">
        <v>51</v>
      </c>
      <c r="AH480">
        <v>8</v>
      </c>
      <c r="AI480">
        <v>9</v>
      </c>
      <c r="AJ480">
        <v>0</v>
      </c>
      <c r="AK480">
        <v>14</v>
      </c>
      <c r="AL480" t="s">
        <v>576</v>
      </c>
      <c r="AM480" t="s">
        <v>577</v>
      </c>
      <c r="AN480" t="s">
        <v>578</v>
      </c>
      <c r="AO480" t="s">
        <v>9073</v>
      </c>
      <c r="AP480" t="s">
        <v>9074</v>
      </c>
      <c r="AQ480" t="s">
        <v>74</v>
      </c>
      <c r="AR480" t="s">
        <v>9075</v>
      </c>
      <c r="AS480" t="s">
        <v>9076</v>
      </c>
      <c r="AT480" t="s">
        <v>707</v>
      </c>
      <c r="AU480">
        <v>2021</v>
      </c>
      <c r="AV480">
        <v>218</v>
      </c>
      <c r="AW480" t="s">
        <v>74</v>
      </c>
      <c r="AX480" t="s">
        <v>74</v>
      </c>
      <c r="AY480" t="s">
        <v>74</v>
      </c>
      <c r="AZ480" t="s">
        <v>74</v>
      </c>
      <c r="BA480" t="s">
        <v>74</v>
      </c>
      <c r="BB480" t="s">
        <v>74</v>
      </c>
      <c r="BC480" t="s">
        <v>74</v>
      </c>
      <c r="BD480">
        <v>103527</v>
      </c>
      <c r="BE480" t="s">
        <v>9694</v>
      </c>
      <c r="BF480" t="str">
        <f>HYPERLINK("http://dx.doi.org/10.1016/j.jmarsys.2021.103527","http://dx.doi.org/10.1016/j.jmarsys.2021.103527")</f>
        <v>http://dx.doi.org/10.1016/j.jmarsys.2021.103527</v>
      </c>
      <c r="BG480" t="s">
        <v>74</v>
      </c>
      <c r="BH480" t="s">
        <v>6407</v>
      </c>
      <c r="BI480">
        <v>11</v>
      </c>
      <c r="BJ480" t="s">
        <v>9078</v>
      </c>
      <c r="BK480" t="s">
        <v>101</v>
      </c>
      <c r="BL480" t="s">
        <v>9079</v>
      </c>
      <c r="BM480" t="s">
        <v>9695</v>
      </c>
      <c r="BN480" t="s">
        <v>74</v>
      </c>
      <c r="BO480" t="s">
        <v>74</v>
      </c>
      <c r="BP480" t="s">
        <v>74</v>
      </c>
      <c r="BQ480" t="s">
        <v>74</v>
      </c>
      <c r="BR480" t="s">
        <v>104</v>
      </c>
      <c r="BS480" t="s">
        <v>9696</v>
      </c>
      <c r="BT480" t="str">
        <f>HYPERLINK("https%3A%2F%2Fwww.webofscience.com%2Fwos%2Fwoscc%2Ffull-record%2FWOS:000640901600003","View Full Record in Web of Science")</f>
        <v>View Full Record in Web of Science</v>
      </c>
    </row>
    <row r="481" spans="1:72" x14ac:dyDescent="0.15">
      <c r="A481" t="s">
        <v>72</v>
      </c>
      <c r="B481" t="s">
        <v>9697</v>
      </c>
      <c r="C481" t="s">
        <v>74</v>
      </c>
      <c r="D481" t="s">
        <v>74</v>
      </c>
      <c r="E481" t="s">
        <v>74</v>
      </c>
      <c r="F481" t="s">
        <v>9698</v>
      </c>
      <c r="G481" t="s">
        <v>74</v>
      </c>
      <c r="H481" t="s">
        <v>74</v>
      </c>
      <c r="I481" t="s">
        <v>9699</v>
      </c>
      <c r="J481" t="s">
        <v>535</v>
      </c>
      <c r="K481" t="s">
        <v>74</v>
      </c>
      <c r="L481" t="s">
        <v>74</v>
      </c>
      <c r="M481" t="s">
        <v>78</v>
      </c>
      <c r="N481" t="s">
        <v>79</v>
      </c>
      <c r="O481" t="s">
        <v>74</v>
      </c>
      <c r="P481" t="s">
        <v>74</v>
      </c>
      <c r="Q481" t="s">
        <v>74</v>
      </c>
      <c r="R481" t="s">
        <v>74</v>
      </c>
      <c r="S481" t="s">
        <v>74</v>
      </c>
      <c r="T481" t="s">
        <v>74</v>
      </c>
      <c r="U481" t="s">
        <v>9700</v>
      </c>
      <c r="V481" t="s">
        <v>9701</v>
      </c>
      <c r="W481" t="s">
        <v>9702</v>
      </c>
      <c r="X481" t="s">
        <v>9703</v>
      </c>
      <c r="Y481" t="s">
        <v>9704</v>
      </c>
      <c r="Z481" t="s">
        <v>9705</v>
      </c>
      <c r="AA481" t="s">
        <v>9706</v>
      </c>
      <c r="AB481" t="s">
        <v>9707</v>
      </c>
      <c r="AC481" t="s">
        <v>9708</v>
      </c>
      <c r="AD481" t="s">
        <v>9709</v>
      </c>
      <c r="AE481" t="s">
        <v>9710</v>
      </c>
      <c r="AF481" t="s">
        <v>74</v>
      </c>
      <c r="AG481">
        <v>74</v>
      </c>
      <c r="AH481">
        <v>6</v>
      </c>
      <c r="AI481">
        <v>7</v>
      </c>
      <c r="AJ481">
        <v>1</v>
      </c>
      <c r="AK481">
        <v>5</v>
      </c>
      <c r="AL481" t="s">
        <v>547</v>
      </c>
      <c r="AM481" t="s">
        <v>548</v>
      </c>
      <c r="AN481" t="s">
        <v>549</v>
      </c>
      <c r="AO481" t="s">
        <v>550</v>
      </c>
      <c r="AP481" t="s">
        <v>74</v>
      </c>
      <c r="AQ481" t="s">
        <v>74</v>
      </c>
      <c r="AR481" t="s">
        <v>535</v>
      </c>
      <c r="AS481" t="s">
        <v>551</v>
      </c>
      <c r="AT481" t="s">
        <v>3180</v>
      </c>
      <c r="AU481">
        <v>2021</v>
      </c>
      <c r="AV481">
        <v>16</v>
      </c>
      <c r="AW481">
        <v>3</v>
      </c>
      <c r="AX481" t="s">
        <v>74</v>
      </c>
      <c r="AY481" t="s">
        <v>74</v>
      </c>
      <c r="AZ481" t="s">
        <v>74</v>
      </c>
      <c r="BA481" t="s">
        <v>74</v>
      </c>
      <c r="BB481" t="s">
        <v>74</v>
      </c>
      <c r="BC481" t="s">
        <v>74</v>
      </c>
      <c r="BD481" t="s">
        <v>9711</v>
      </c>
      <c r="BE481" t="s">
        <v>9712</v>
      </c>
      <c r="BF481" t="str">
        <f>HYPERLINK("http://dx.doi.org/10.1371/journal.pone.0248071","http://dx.doi.org/10.1371/journal.pone.0248071")</f>
        <v>http://dx.doi.org/10.1371/journal.pone.0248071</v>
      </c>
      <c r="BG481" t="s">
        <v>74</v>
      </c>
      <c r="BH481" t="s">
        <v>74</v>
      </c>
      <c r="BI481">
        <v>20</v>
      </c>
      <c r="BJ481" t="s">
        <v>555</v>
      </c>
      <c r="BK481" t="s">
        <v>101</v>
      </c>
      <c r="BL481" t="s">
        <v>556</v>
      </c>
      <c r="BM481" t="s">
        <v>9713</v>
      </c>
      <c r="BN481">
        <v>33662029</v>
      </c>
      <c r="BO481" t="s">
        <v>5570</v>
      </c>
      <c r="BP481" t="s">
        <v>74</v>
      </c>
      <c r="BQ481" t="s">
        <v>74</v>
      </c>
      <c r="BR481" t="s">
        <v>104</v>
      </c>
      <c r="BS481" t="s">
        <v>9714</v>
      </c>
      <c r="BT481" t="str">
        <f>HYPERLINK("https%3A%2F%2Fwww.webofscience.com%2Fwos%2Fwoscc%2Ffull-record%2FWOS:000626604100075","View Full Record in Web of Science")</f>
        <v>View Full Record in Web of Science</v>
      </c>
    </row>
    <row r="482" spans="1:72" x14ac:dyDescent="0.15">
      <c r="A482" t="s">
        <v>72</v>
      </c>
      <c r="B482" t="s">
        <v>9715</v>
      </c>
      <c r="C482" t="s">
        <v>74</v>
      </c>
      <c r="D482" t="s">
        <v>74</v>
      </c>
      <c r="E482" t="s">
        <v>74</v>
      </c>
      <c r="F482" t="s">
        <v>9716</v>
      </c>
      <c r="G482" t="s">
        <v>74</v>
      </c>
      <c r="H482" t="s">
        <v>74</v>
      </c>
      <c r="I482" t="s">
        <v>9717</v>
      </c>
      <c r="J482" t="s">
        <v>9718</v>
      </c>
      <c r="K482" t="s">
        <v>74</v>
      </c>
      <c r="L482" t="s">
        <v>74</v>
      </c>
      <c r="M482" t="s">
        <v>78</v>
      </c>
      <c r="N482" t="s">
        <v>79</v>
      </c>
      <c r="O482" t="s">
        <v>74</v>
      </c>
      <c r="P482" t="s">
        <v>74</v>
      </c>
      <c r="Q482" t="s">
        <v>74</v>
      </c>
      <c r="R482" t="s">
        <v>74</v>
      </c>
      <c r="S482" t="s">
        <v>74</v>
      </c>
      <c r="T482" t="s">
        <v>9719</v>
      </c>
      <c r="U482" t="s">
        <v>74</v>
      </c>
      <c r="V482" t="s">
        <v>9720</v>
      </c>
      <c r="W482" t="s">
        <v>9721</v>
      </c>
      <c r="X482" t="s">
        <v>9722</v>
      </c>
      <c r="Y482" t="s">
        <v>9723</v>
      </c>
      <c r="Z482" t="s">
        <v>9724</v>
      </c>
      <c r="AA482" t="s">
        <v>74</v>
      </c>
      <c r="AB482" t="s">
        <v>9725</v>
      </c>
      <c r="AC482" t="s">
        <v>74</v>
      </c>
      <c r="AD482" t="s">
        <v>74</v>
      </c>
      <c r="AE482" t="s">
        <v>74</v>
      </c>
      <c r="AF482" t="s">
        <v>74</v>
      </c>
      <c r="AG482">
        <v>12</v>
      </c>
      <c r="AH482">
        <v>0</v>
      </c>
      <c r="AI482">
        <v>0</v>
      </c>
      <c r="AJ482">
        <v>0</v>
      </c>
      <c r="AK482">
        <v>1</v>
      </c>
      <c r="AL482" t="s">
        <v>9726</v>
      </c>
      <c r="AM482" t="s">
        <v>9727</v>
      </c>
      <c r="AN482" t="s">
        <v>9728</v>
      </c>
      <c r="AO482" t="s">
        <v>9729</v>
      </c>
      <c r="AP482" t="s">
        <v>9730</v>
      </c>
      <c r="AQ482" t="s">
        <v>74</v>
      </c>
      <c r="AR482" t="s">
        <v>9731</v>
      </c>
      <c r="AS482" t="s">
        <v>9732</v>
      </c>
      <c r="AT482" t="s">
        <v>707</v>
      </c>
      <c r="AU482">
        <v>2022</v>
      </c>
      <c r="AV482">
        <v>92</v>
      </c>
      <c r="AW482">
        <v>2</v>
      </c>
      <c r="AX482" t="s">
        <v>74</v>
      </c>
      <c r="AY482" t="s">
        <v>74</v>
      </c>
      <c r="AZ482" t="s">
        <v>74</v>
      </c>
      <c r="BA482" t="s">
        <v>74</v>
      </c>
      <c r="BB482">
        <v>231</v>
      </c>
      <c r="BC482">
        <v>242</v>
      </c>
      <c r="BD482" t="s">
        <v>74</v>
      </c>
      <c r="BE482" t="s">
        <v>9733</v>
      </c>
      <c r="BF482" t="str">
        <f>HYPERLINK("http://dx.doi.org/10.1007/s40010-021-00738-9","http://dx.doi.org/10.1007/s40010-021-00738-9")</f>
        <v>http://dx.doi.org/10.1007/s40010-021-00738-9</v>
      </c>
      <c r="BG482" t="s">
        <v>74</v>
      </c>
      <c r="BH482" t="s">
        <v>6407</v>
      </c>
      <c r="BI482">
        <v>12</v>
      </c>
      <c r="BJ482" t="s">
        <v>555</v>
      </c>
      <c r="BK482" t="s">
        <v>101</v>
      </c>
      <c r="BL482" t="s">
        <v>556</v>
      </c>
      <c r="BM482" t="s">
        <v>9734</v>
      </c>
      <c r="BN482" t="s">
        <v>74</v>
      </c>
      <c r="BO482" t="s">
        <v>74</v>
      </c>
      <c r="BP482" t="s">
        <v>74</v>
      </c>
      <c r="BQ482" t="s">
        <v>74</v>
      </c>
      <c r="BR482" t="s">
        <v>104</v>
      </c>
      <c r="BS482" t="s">
        <v>9735</v>
      </c>
      <c r="BT482" t="str">
        <f>HYPERLINK("https%3A%2F%2Fwww.webofscience.com%2Fwos%2Fwoscc%2Ffull-record%2FWOS:000625781300002","View Full Record in Web of Science")</f>
        <v>View Full Record in Web of Science</v>
      </c>
    </row>
    <row r="483" spans="1:72" x14ac:dyDescent="0.15">
      <c r="A483" t="s">
        <v>72</v>
      </c>
      <c r="B483" t="s">
        <v>9736</v>
      </c>
      <c r="C483" t="s">
        <v>74</v>
      </c>
      <c r="D483" t="s">
        <v>74</v>
      </c>
      <c r="E483" t="s">
        <v>74</v>
      </c>
      <c r="F483" t="s">
        <v>9737</v>
      </c>
      <c r="G483" t="s">
        <v>74</v>
      </c>
      <c r="H483" t="s">
        <v>74</v>
      </c>
      <c r="I483" t="s">
        <v>9738</v>
      </c>
      <c r="J483" t="s">
        <v>3900</v>
      </c>
      <c r="K483" t="s">
        <v>74</v>
      </c>
      <c r="L483" t="s">
        <v>74</v>
      </c>
      <c r="M483" t="s">
        <v>78</v>
      </c>
      <c r="N483" t="s">
        <v>79</v>
      </c>
      <c r="O483" t="s">
        <v>74</v>
      </c>
      <c r="P483" t="s">
        <v>74</v>
      </c>
      <c r="Q483" t="s">
        <v>74</v>
      </c>
      <c r="R483" t="s">
        <v>74</v>
      </c>
      <c r="S483" t="s">
        <v>74</v>
      </c>
      <c r="T483" t="s">
        <v>9739</v>
      </c>
      <c r="U483" t="s">
        <v>74</v>
      </c>
      <c r="V483" t="s">
        <v>9740</v>
      </c>
      <c r="W483" t="s">
        <v>9741</v>
      </c>
      <c r="X483" t="s">
        <v>9742</v>
      </c>
      <c r="Y483" t="s">
        <v>9743</v>
      </c>
      <c r="Z483" t="s">
        <v>9744</v>
      </c>
      <c r="AA483" t="s">
        <v>9745</v>
      </c>
      <c r="AB483" t="s">
        <v>9746</v>
      </c>
      <c r="AC483" t="s">
        <v>9747</v>
      </c>
      <c r="AD483" t="s">
        <v>8825</v>
      </c>
      <c r="AE483" t="s">
        <v>9748</v>
      </c>
      <c r="AF483" t="s">
        <v>74</v>
      </c>
      <c r="AG483">
        <v>5</v>
      </c>
      <c r="AH483">
        <v>2</v>
      </c>
      <c r="AI483">
        <v>1</v>
      </c>
      <c r="AJ483">
        <v>0</v>
      </c>
      <c r="AK483">
        <v>4</v>
      </c>
      <c r="AL483" t="s">
        <v>2922</v>
      </c>
      <c r="AM483" t="s">
        <v>2923</v>
      </c>
      <c r="AN483" t="s">
        <v>2924</v>
      </c>
      <c r="AO483" t="s">
        <v>74</v>
      </c>
      <c r="AP483" t="s">
        <v>3912</v>
      </c>
      <c r="AQ483" t="s">
        <v>74</v>
      </c>
      <c r="AR483" t="s">
        <v>3913</v>
      </c>
      <c r="AS483" t="s">
        <v>3914</v>
      </c>
      <c r="AT483" t="s">
        <v>3180</v>
      </c>
      <c r="AU483">
        <v>2021</v>
      </c>
      <c r="AV483">
        <v>6</v>
      </c>
      <c r="AW483">
        <v>3</v>
      </c>
      <c r="AX483" t="s">
        <v>74</v>
      </c>
      <c r="AY483" t="s">
        <v>74</v>
      </c>
      <c r="AZ483" t="s">
        <v>74</v>
      </c>
      <c r="BA483" t="s">
        <v>74</v>
      </c>
      <c r="BB483">
        <v>878</v>
      </c>
      <c r="BC483">
        <v>879</v>
      </c>
      <c r="BD483" t="s">
        <v>74</v>
      </c>
      <c r="BE483" t="s">
        <v>9749</v>
      </c>
      <c r="BF483" t="str">
        <f>HYPERLINK("http://dx.doi.org/10.1080/23802359.2021.1886010","http://dx.doi.org/10.1080/23802359.2021.1886010")</f>
        <v>http://dx.doi.org/10.1080/23802359.2021.1886010</v>
      </c>
      <c r="BG483" t="s">
        <v>74</v>
      </c>
      <c r="BH483" t="s">
        <v>74</v>
      </c>
      <c r="BI483">
        <v>2</v>
      </c>
      <c r="BJ483" t="s">
        <v>3916</v>
      </c>
      <c r="BK483" t="s">
        <v>101</v>
      </c>
      <c r="BL483" t="s">
        <v>3916</v>
      </c>
      <c r="BM483" t="s">
        <v>9750</v>
      </c>
      <c r="BN483">
        <v>33796665</v>
      </c>
      <c r="BO483" t="s">
        <v>298</v>
      </c>
      <c r="BP483" t="s">
        <v>74</v>
      </c>
      <c r="BQ483" t="s">
        <v>74</v>
      </c>
      <c r="BR483" t="s">
        <v>104</v>
      </c>
      <c r="BS483" t="s">
        <v>9751</v>
      </c>
      <c r="BT483" t="str">
        <f>HYPERLINK("https%3A%2F%2Fwww.webofscience.com%2Fwos%2Fwoscc%2Ffull-record%2FWOS:000629590100001","View Full Record in Web of Science")</f>
        <v>View Full Record in Web of Science</v>
      </c>
    </row>
    <row r="484" spans="1:72" x14ac:dyDescent="0.15">
      <c r="A484" t="s">
        <v>72</v>
      </c>
      <c r="B484" t="s">
        <v>9752</v>
      </c>
      <c r="C484" t="s">
        <v>74</v>
      </c>
      <c r="D484" t="s">
        <v>74</v>
      </c>
      <c r="E484" t="s">
        <v>74</v>
      </c>
      <c r="F484" t="s">
        <v>9753</v>
      </c>
      <c r="G484" t="s">
        <v>74</v>
      </c>
      <c r="H484" t="s">
        <v>74</v>
      </c>
      <c r="I484" t="s">
        <v>9754</v>
      </c>
      <c r="J484" t="s">
        <v>9755</v>
      </c>
      <c r="K484" t="s">
        <v>74</v>
      </c>
      <c r="L484" t="s">
        <v>74</v>
      </c>
      <c r="M484" t="s">
        <v>78</v>
      </c>
      <c r="N484" t="s">
        <v>79</v>
      </c>
      <c r="O484" t="s">
        <v>74</v>
      </c>
      <c r="P484" t="s">
        <v>74</v>
      </c>
      <c r="Q484" t="s">
        <v>74</v>
      </c>
      <c r="R484" t="s">
        <v>74</v>
      </c>
      <c r="S484" t="s">
        <v>74</v>
      </c>
      <c r="T484" t="s">
        <v>9756</v>
      </c>
      <c r="U484" t="s">
        <v>74</v>
      </c>
      <c r="V484" t="s">
        <v>9757</v>
      </c>
      <c r="W484" t="s">
        <v>9758</v>
      </c>
      <c r="X484" t="s">
        <v>9759</v>
      </c>
      <c r="Y484" t="s">
        <v>9760</v>
      </c>
      <c r="Z484" t="s">
        <v>9761</v>
      </c>
      <c r="AA484" t="s">
        <v>9762</v>
      </c>
      <c r="AB484" t="s">
        <v>9763</v>
      </c>
      <c r="AC484" t="s">
        <v>9764</v>
      </c>
      <c r="AD484" t="s">
        <v>9764</v>
      </c>
      <c r="AE484" t="s">
        <v>9765</v>
      </c>
      <c r="AF484" t="s">
        <v>74</v>
      </c>
      <c r="AG484">
        <v>68</v>
      </c>
      <c r="AH484">
        <v>4</v>
      </c>
      <c r="AI484">
        <v>4</v>
      </c>
      <c r="AJ484">
        <v>0</v>
      </c>
      <c r="AK484">
        <v>2</v>
      </c>
      <c r="AL484" t="s">
        <v>2922</v>
      </c>
      <c r="AM484" t="s">
        <v>2923</v>
      </c>
      <c r="AN484" t="s">
        <v>2924</v>
      </c>
      <c r="AO484" t="s">
        <v>9766</v>
      </c>
      <c r="AP484" t="s">
        <v>9767</v>
      </c>
      <c r="AQ484" t="s">
        <v>74</v>
      </c>
      <c r="AR484" t="s">
        <v>9768</v>
      </c>
      <c r="AS484" t="s">
        <v>9769</v>
      </c>
      <c r="AT484" t="s">
        <v>1597</v>
      </c>
      <c r="AU484">
        <v>2021</v>
      </c>
      <c r="AV484">
        <v>43</v>
      </c>
      <c r="AW484">
        <v>1</v>
      </c>
      <c r="AX484" t="s">
        <v>74</v>
      </c>
      <c r="AY484" t="s">
        <v>74</v>
      </c>
      <c r="AZ484" t="s">
        <v>74</v>
      </c>
      <c r="BA484" t="s">
        <v>74</v>
      </c>
      <c r="BB484">
        <v>61</v>
      </c>
      <c r="BC484">
        <v>76</v>
      </c>
      <c r="BD484" t="s">
        <v>74</v>
      </c>
      <c r="BE484" t="s">
        <v>9770</v>
      </c>
      <c r="BF484" t="str">
        <f>HYPERLINK("http://dx.doi.org/10.2989/1814232X.2021.1873858","http://dx.doi.org/10.2989/1814232X.2021.1873858")</f>
        <v>http://dx.doi.org/10.2989/1814232X.2021.1873858</v>
      </c>
      <c r="BG484" t="s">
        <v>74</v>
      </c>
      <c r="BH484" t="s">
        <v>6407</v>
      </c>
      <c r="BI484">
        <v>16</v>
      </c>
      <c r="BJ484" t="s">
        <v>494</v>
      </c>
      <c r="BK484" t="s">
        <v>101</v>
      </c>
      <c r="BL484" t="s">
        <v>494</v>
      </c>
      <c r="BM484" t="s">
        <v>9771</v>
      </c>
      <c r="BN484" t="s">
        <v>74</v>
      </c>
      <c r="BO484" t="s">
        <v>74</v>
      </c>
      <c r="BP484" t="s">
        <v>74</v>
      </c>
      <c r="BQ484" t="s">
        <v>74</v>
      </c>
      <c r="BR484" t="s">
        <v>104</v>
      </c>
      <c r="BS484" t="s">
        <v>9772</v>
      </c>
      <c r="BT484" t="str">
        <f>HYPERLINK("https%3A%2F%2Fwww.webofscience.com%2Fwos%2Fwoscc%2Ffull-record%2FWOS:000625529100001","View Full Record in Web of Science")</f>
        <v>View Full Record in Web of Science</v>
      </c>
    </row>
    <row r="485" spans="1:72" x14ac:dyDescent="0.15">
      <c r="A485" t="s">
        <v>72</v>
      </c>
      <c r="B485" t="s">
        <v>9773</v>
      </c>
      <c r="C485" t="s">
        <v>74</v>
      </c>
      <c r="D485" t="s">
        <v>74</v>
      </c>
      <c r="E485" t="s">
        <v>74</v>
      </c>
      <c r="F485" t="s">
        <v>9774</v>
      </c>
      <c r="G485" t="s">
        <v>74</v>
      </c>
      <c r="H485" t="s">
        <v>74</v>
      </c>
      <c r="I485" t="s">
        <v>9775</v>
      </c>
      <c r="J485" t="s">
        <v>9776</v>
      </c>
      <c r="K485" t="s">
        <v>74</v>
      </c>
      <c r="L485" t="s">
        <v>74</v>
      </c>
      <c r="M485" t="s">
        <v>78</v>
      </c>
      <c r="N485" t="s">
        <v>79</v>
      </c>
      <c r="O485" t="s">
        <v>74</v>
      </c>
      <c r="P485" t="s">
        <v>74</v>
      </c>
      <c r="Q485" t="s">
        <v>74</v>
      </c>
      <c r="R485" t="s">
        <v>74</v>
      </c>
      <c r="S485" t="s">
        <v>74</v>
      </c>
      <c r="T485" t="s">
        <v>9777</v>
      </c>
      <c r="U485" t="s">
        <v>9778</v>
      </c>
      <c r="V485" t="s">
        <v>9779</v>
      </c>
      <c r="W485" t="s">
        <v>9780</v>
      </c>
      <c r="X485" t="s">
        <v>9781</v>
      </c>
      <c r="Y485" t="s">
        <v>9782</v>
      </c>
      <c r="Z485" t="s">
        <v>9783</v>
      </c>
      <c r="AA485" t="s">
        <v>9784</v>
      </c>
      <c r="AB485" t="s">
        <v>9785</v>
      </c>
      <c r="AC485" t="s">
        <v>9786</v>
      </c>
      <c r="AD485" t="s">
        <v>9787</v>
      </c>
      <c r="AE485" t="s">
        <v>9788</v>
      </c>
      <c r="AF485" t="s">
        <v>74</v>
      </c>
      <c r="AG485">
        <v>73</v>
      </c>
      <c r="AH485">
        <v>2</v>
      </c>
      <c r="AI485">
        <v>2</v>
      </c>
      <c r="AJ485">
        <v>5</v>
      </c>
      <c r="AK485">
        <v>14</v>
      </c>
      <c r="AL485" t="s">
        <v>166</v>
      </c>
      <c r="AM485" t="s">
        <v>192</v>
      </c>
      <c r="AN485" t="s">
        <v>193</v>
      </c>
      <c r="AO485" t="s">
        <v>9789</v>
      </c>
      <c r="AP485" t="s">
        <v>9790</v>
      </c>
      <c r="AQ485" t="s">
        <v>74</v>
      </c>
      <c r="AR485" t="s">
        <v>9791</v>
      </c>
      <c r="AS485" t="s">
        <v>9792</v>
      </c>
      <c r="AT485" t="s">
        <v>1809</v>
      </c>
      <c r="AU485">
        <v>2023</v>
      </c>
      <c r="AV485">
        <v>112</v>
      </c>
      <c r="AW485">
        <v>3</v>
      </c>
      <c r="AX485" t="s">
        <v>74</v>
      </c>
      <c r="AY485" t="s">
        <v>74</v>
      </c>
      <c r="AZ485" t="s">
        <v>74</v>
      </c>
      <c r="BA485" t="s">
        <v>74</v>
      </c>
      <c r="BB485">
        <v>765</v>
      </c>
      <c r="BC485">
        <v>788</v>
      </c>
      <c r="BD485" t="s">
        <v>74</v>
      </c>
      <c r="BE485" t="s">
        <v>9793</v>
      </c>
      <c r="BF485" t="str">
        <f>HYPERLINK("http://dx.doi.org/10.1007/s10994-020-05944-x","http://dx.doi.org/10.1007/s10994-020-05944-x")</f>
        <v>http://dx.doi.org/10.1007/s10994-020-05944-x</v>
      </c>
      <c r="BG485" t="s">
        <v>74</v>
      </c>
      <c r="BH485" t="s">
        <v>6407</v>
      </c>
      <c r="BI485">
        <v>24</v>
      </c>
      <c r="BJ485" t="s">
        <v>9794</v>
      </c>
      <c r="BK485" t="s">
        <v>101</v>
      </c>
      <c r="BL485" t="s">
        <v>9795</v>
      </c>
      <c r="BM485" t="s">
        <v>9796</v>
      </c>
      <c r="BN485" t="s">
        <v>74</v>
      </c>
      <c r="BO485" t="s">
        <v>148</v>
      </c>
      <c r="BP485" t="s">
        <v>74</v>
      </c>
      <c r="BQ485" t="s">
        <v>74</v>
      </c>
      <c r="BR485" t="s">
        <v>104</v>
      </c>
      <c r="BS485" t="s">
        <v>9797</v>
      </c>
      <c r="BT485" t="str">
        <f>HYPERLINK("https%3A%2F%2Fwww.webofscience.com%2Fwos%2Fwoscc%2Ffull-record%2FWOS:000625490400002","View Full Record in Web of Science")</f>
        <v>View Full Record in Web of Science</v>
      </c>
    </row>
    <row r="486" spans="1:72" x14ac:dyDescent="0.15">
      <c r="A486" t="s">
        <v>72</v>
      </c>
      <c r="B486" t="s">
        <v>9798</v>
      </c>
      <c r="C486" t="s">
        <v>74</v>
      </c>
      <c r="D486" t="s">
        <v>74</v>
      </c>
      <c r="E486" t="s">
        <v>74</v>
      </c>
      <c r="F486" t="s">
        <v>9799</v>
      </c>
      <c r="G486" t="s">
        <v>74</v>
      </c>
      <c r="H486" t="s">
        <v>74</v>
      </c>
      <c r="I486" t="s">
        <v>9800</v>
      </c>
      <c r="J486" t="s">
        <v>1666</v>
      </c>
      <c r="K486" t="s">
        <v>74</v>
      </c>
      <c r="L486" t="s">
        <v>74</v>
      </c>
      <c r="M486" t="s">
        <v>78</v>
      </c>
      <c r="N486" t="s">
        <v>79</v>
      </c>
      <c r="O486" t="s">
        <v>74</v>
      </c>
      <c r="P486" t="s">
        <v>74</v>
      </c>
      <c r="Q486" t="s">
        <v>74</v>
      </c>
      <c r="R486" t="s">
        <v>74</v>
      </c>
      <c r="S486" t="s">
        <v>74</v>
      </c>
      <c r="T486" t="s">
        <v>9801</v>
      </c>
      <c r="U486" t="s">
        <v>9802</v>
      </c>
      <c r="V486" t="s">
        <v>9803</v>
      </c>
      <c r="W486" t="s">
        <v>9804</v>
      </c>
      <c r="X486" t="s">
        <v>9805</v>
      </c>
      <c r="Y486" t="s">
        <v>9806</v>
      </c>
      <c r="Z486" t="s">
        <v>9807</v>
      </c>
      <c r="AA486" t="s">
        <v>9808</v>
      </c>
      <c r="AB486" t="s">
        <v>9809</v>
      </c>
      <c r="AC486" t="s">
        <v>9810</v>
      </c>
      <c r="AD486" t="s">
        <v>9810</v>
      </c>
      <c r="AE486" t="s">
        <v>9811</v>
      </c>
      <c r="AF486" t="s">
        <v>74</v>
      </c>
      <c r="AG486">
        <v>110</v>
      </c>
      <c r="AH486">
        <v>15</v>
      </c>
      <c r="AI486">
        <v>16</v>
      </c>
      <c r="AJ486">
        <v>5</v>
      </c>
      <c r="AK486">
        <v>17</v>
      </c>
      <c r="AL486" t="s">
        <v>1058</v>
      </c>
      <c r="AM486" t="s">
        <v>891</v>
      </c>
      <c r="AN486" t="s">
        <v>1059</v>
      </c>
      <c r="AO486" t="s">
        <v>1679</v>
      </c>
      <c r="AP486" t="s">
        <v>1680</v>
      </c>
      <c r="AQ486" t="s">
        <v>74</v>
      </c>
      <c r="AR486" t="s">
        <v>1681</v>
      </c>
      <c r="AS486" t="s">
        <v>1682</v>
      </c>
      <c r="AT486" t="s">
        <v>5649</v>
      </c>
      <c r="AU486">
        <v>2021</v>
      </c>
      <c r="AV486">
        <v>257</v>
      </c>
      <c r="AW486" t="s">
        <v>74</v>
      </c>
      <c r="AX486" t="s">
        <v>74</v>
      </c>
      <c r="AY486" t="s">
        <v>74</v>
      </c>
      <c r="AZ486" t="s">
        <v>74</v>
      </c>
      <c r="BA486" t="s">
        <v>74</v>
      </c>
      <c r="BB486" t="s">
        <v>74</v>
      </c>
      <c r="BC486" t="s">
        <v>74</v>
      </c>
      <c r="BD486">
        <v>106853</v>
      </c>
      <c r="BE486" t="s">
        <v>9812</v>
      </c>
      <c r="BF486" t="str">
        <f>HYPERLINK("http://dx.doi.org/10.1016/j.quascirev.2021.106853","http://dx.doi.org/10.1016/j.quascirev.2021.106853")</f>
        <v>http://dx.doi.org/10.1016/j.quascirev.2021.106853</v>
      </c>
      <c r="BG486" t="s">
        <v>74</v>
      </c>
      <c r="BH486" t="s">
        <v>6407</v>
      </c>
      <c r="BI486">
        <v>16</v>
      </c>
      <c r="BJ486" t="s">
        <v>1685</v>
      </c>
      <c r="BK486" t="s">
        <v>101</v>
      </c>
      <c r="BL486" t="s">
        <v>1686</v>
      </c>
      <c r="BM486" t="s">
        <v>9813</v>
      </c>
      <c r="BN486" t="s">
        <v>74</v>
      </c>
      <c r="BO486" t="s">
        <v>74</v>
      </c>
      <c r="BP486" t="s">
        <v>74</v>
      </c>
      <c r="BQ486" t="s">
        <v>74</v>
      </c>
      <c r="BR486" t="s">
        <v>104</v>
      </c>
      <c r="BS486" t="s">
        <v>9814</v>
      </c>
      <c r="BT486" t="str">
        <f>HYPERLINK("https%3A%2F%2Fwww.webofscience.com%2Fwos%2Fwoscc%2Ffull-record%2FWOS:000631046400007","View Full Record in Web of Science")</f>
        <v>View Full Record in Web of Science</v>
      </c>
    </row>
    <row r="487" spans="1:72" x14ac:dyDescent="0.15">
      <c r="A487" t="s">
        <v>72</v>
      </c>
      <c r="B487" t="s">
        <v>9815</v>
      </c>
      <c r="C487" t="s">
        <v>74</v>
      </c>
      <c r="D487" t="s">
        <v>74</v>
      </c>
      <c r="E487" t="s">
        <v>74</v>
      </c>
      <c r="F487" t="s">
        <v>9816</v>
      </c>
      <c r="G487" t="s">
        <v>74</v>
      </c>
      <c r="H487" t="s">
        <v>74</v>
      </c>
      <c r="I487" t="s">
        <v>9817</v>
      </c>
      <c r="J487" t="s">
        <v>3900</v>
      </c>
      <c r="K487" t="s">
        <v>74</v>
      </c>
      <c r="L487" t="s">
        <v>74</v>
      </c>
      <c r="M487" t="s">
        <v>78</v>
      </c>
      <c r="N487" t="s">
        <v>79</v>
      </c>
      <c r="O487" t="s">
        <v>74</v>
      </c>
      <c r="P487" t="s">
        <v>74</v>
      </c>
      <c r="Q487" t="s">
        <v>74</v>
      </c>
      <c r="R487" t="s">
        <v>74</v>
      </c>
      <c r="S487" t="s">
        <v>74</v>
      </c>
      <c r="T487" t="s">
        <v>9818</v>
      </c>
      <c r="U487" t="s">
        <v>74</v>
      </c>
      <c r="V487" t="s">
        <v>9819</v>
      </c>
      <c r="W487" t="s">
        <v>9820</v>
      </c>
      <c r="X487" t="s">
        <v>9821</v>
      </c>
      <c r="Y487" t="s">
        <v>9822</v>
      </c>
      <c r="Z487" t="s">
        <v>9823</v>
      </c>
      <c r="AA487" t="s">
        <v>74</v>
      </c>
      <c r="AB487" t="s">
        <v>9824</v>
      </c>
      <c r="AC487" t="s">
        <v>9825</v>
      </c>
      <c r="AD487" t="s">
        <v>8825</v>
      </c>
      <c r="AE487" t="s">
        <v>9826</v>
      </c>
      <c r="AF487" t="s">
        <v>74</v>
      </c>
      <c r="AG487">
        <v>8</v>
      </c>
      <c r="AH487">
        <v>0</v>
      </c>
      <c r="AI487">
        <v>0</v>
      </c>
      <c r="AJ487">
        <v>0</v>
      </c>
      <c r="AK487">
        <v>1</v>
      </c>
      <c r="AL487" t="s">
        <v>2922</v>
      </c>
      <c r="AM487" t="s">
        <v>2923</v>
      </c>
      <c r="AN487" t="s">
        <v>2924</v>
      </c>
      <c r="AO487" t="s">
        <v>74</v>
      </c>
      <c r="AP487" t="s">
        <v>3912</v>
      </c>
      <c r="AQ487" t="s">
        <v>74</v>
      </c>
      <c r="AR487" t="s">
        <v>3913</v>
      </c>
      <c r="AS487" t="s">
        <v>3914</v>
      </c>
      <c r="AT487" t="s">
        <v>3180</v>
      </c>
      <c r="AU487">
        <v>2021</v>
      </c>
      <c r="AV487">
        <v>6</v>
      </c>
      <c r="AW487">
        <v>3</v>
      </c>
      <c r="AX487" t="s">
        <v>74</v>
      </c>
      <c r="AY487" t="s">
        <v>74</v>
      </c>
      <c r="AZ487" t="s">
        <v>74</v>
      </c>
      <c r="BA487" t="s">
        <v>74</v>
      </c>
      <c r="BB487">
        <v>972</v>
      </c>
      <c r="BC487">
        <v>973</v>
      </c>
      <c r="BD487" t="s">
        <v>74</v>
      </c>
      <c r="BE487" t="s">
        <v>9827</v>
      </c>
      <c r="BF487" t="str">
        <f>HYPERLINK("http://dx.doi.org/10.1080/23802359.2021.1888329","http://dx.doi.org/10.1080/23802359.2021.1888329")</f>
        <v>http://dx.doi.org/10.1080/23802359.2021.1888329</v>
      </c>
      <c r="BG487" t="s">
        <v>74</v>
      </c>
      <c r="BH487" t="s">
        <v>74</v>
      </c>
      <c r="BI487">
        <v>2</v>
      </c>
      <c r="BJ487" t="s">
        <v>3916</v>
      </c>
      <c r="BK487" t="s">
        <v>101</v>
      </c>
      <c r="BL487" t="s">
        <v>3916</v>
      </c>
      <c r="BM487" t="s">
        <v>9828</v>
      </c>
      <c r="BN487">
        <v>33796703</v>
      </c>
      <c r="BO487" t="s">
        <v>298</v>
      </c>
      <c r="BP487" t="s">
        <v>74</v>
      </c>
      <c r="BQ487" t="s">
        <v>74</v>
      </c>
      <c r="BR487" t="s">
        <v>104</v>
      </c>
      <c r="BS487" t="s">
        <v>9829</v>
      </c>
      <c r="BT487" t="str">
        <f>HYPERLINK("https%3A%2F%2Fwww.webofscience.com%2Fwos%2Fwoscc%2Ffull-record%2FWOS:000631132900001","View Full Record in Web of Science")</f>
        <v>View Full Record in Web of Science</v>
      </c>
    </row>
    <row r="488" spans="1:72" x14ac:dyDescent="0.15">
      <c r="A488" t="s">
        <v>72</v>
      </c>
      <c r="B488" t="s">
        <v>9830</v>
      </c>
      <c r="C488" t="s">
        <v>74</v>
      </c>
      <c r="D488" t="s">
        <v>74</v>
      </c>
      <c r="E488" t="s">
        <v>74</v>
      </c>
      <c r="F488" t="s">
        <v>9831</v>
      </c>
      <c r="G488" t="s">
        <v>74</v>
      </c>
      <c r="H488" t="s">
        <v>74</v>
      </c>
      <c r="I488" t="s">
        <v>9832</v>
      </c>
      <c r="J488" t="s">
        <v>9833</v>
      </c>
      <c r="K488" t="s">
        <v>74</v>
      </c>
      <c r="L488" t="s">
        <v>74</v>
      </c>
      <c r="M488" t="s">
        <v>78</v>
      </c>
      <c r="N488" t="s">
        <v>79</v>
      </c>
      <c r="O488" t="s">
        <v>74</v>
      </c>
      <c r="P488" t="s">
        <v>74</v>
      </c>
      <c r="Q488" t="s">
        <v>74</v>
      </c>
      <c r="R488" t="s">
        <v>74</v>
      </c>
      <c r="S488" t="s">
        <v>74</v>
      </c>
      <c r="T488" t="s">
        <v>9834</v>
      </c>
      <c r="U488" t="s">
        <v>74</v>
      </c>
      <c r="V488" t="s">
        <v>9835</v>
      </c>
      <c r="W488" t="s">
        <v>9836</v>
      </c>
      <c r="X488" t="s">
        <v>9837</v>
      </c>
      <c r="Y488" t="s">
        <v>9838</v>
      </c>
      <c r="Z488" t="s">
        <v>9839</v>
      </c>
      <c r="AA488" t="s">
        <v>9840</v>
      </c>
      <c r="AB488" t="s">
        <v>9841</v>
      </c>
      <c r="AC488" t="s">
        <v>9842</v>
      </c>
      <c r="AD488" t="s">
        <v>9843</v>
      </c>
      <c r="AE488" t="s">
        <v>9844</v>
      </c>
      <c r="AF488" t="s">
        <v>74</v>
      </c>
      <c r="AG488">
        <v>60</v>
      </c>
      <c r="AH488">
        <v>8</v>
      </c>
      <c r="AI488">
        <v>8</v>
      </c>
      <c r="AJ488">
        <v>0</v>
      </c>
      <c r="AK488">
        <v>5</v>
      </c>
      <c r="AL488" t="s">
        <v>576</v>
      </c>
      <c r="AM488" t="s">
        <v>577</v>
      </c>
      <c r="AN488" t="s">
        <v>578</v>
      </c>
      <c r="AO488" t="s">
        <v>9845</v>
      </c>
      <c r="AP488" t="s">
        <v>9846</v>
      </c>
      <c r="AQ488" t="s">
        <v>74</v>
      </c>
      <c r="AR488" t="s">
        <v>9847</v>
      </c>
      <c r="AS488" t="s">
        <v>9848</v>
      </c>
      <c r="AT488" t="s">
        <v>127</v>
      </c>
      <c r="AU488">
        <v>2021</v>
      </c>
      <c r="AV488">
        <v>93</v>
      </c>
      <c r="AW488" t="s">
        <v>74</v>
      </c>
      <c r="AX488" t="s">
        <v>74</v>
      </c>
      <c r="AY488" t="s">
        <v>74</v>
      </c>
      <c r="AZ488" t="s">
        <v>74</v>
      </c>
      <c r="BA488" t="s">
        <v>74</v>
      </c>
      <c r="BB488">
        <v>227</v>
      </c>
      <c r="BC488">
        <v>241</v>
      </c>
      <c r="BD488" t="s">
        <v>74</v>
      </c>
      <c r="BE488" t="s">
        <v>9849</v>
      </c>
      <c r="BF488" t="str">
        <f>HYPERLINK("http://dx.doi.org/10.1016/j.gr.2020.12.031","http://dx.doi.org/10.1016/j.gr.2020.12.031")</f>
        <v>http://dx.doi.org/10.1016/j.gr.2020.12.031</v>
      </c>
      <c r="BG488" t="s">
        <v>74</v>
      </c>
      <c r="BH488" t="s">
        <v>6407</v>
      </c>
      <c r="BI488">
        <v>15</v>
      </c>
      <c r="BJ488" t="s">
        <v>100</v>
      </c>
      <c r="BK488" t="s">
        <v>101</v>
      </c>
      <c r="BL488" t="s">
        <v>102</v>
      </c>
      <c r="BM488" t="s">
        <v>9850</v>
      </c>
      <c r="BN488" t="s">
        <v>74</v>
      </c>
      <c r="BO488" t="s">
        <v>74</v>
      </c>
      <c r="BP488" t="s">
        <v>74</v>
      </c>
      <c r="BQ488" t="s">
        <v>74</v>
      </c>
      <c r="BR488" t="s">
        <v>104</v>
      </c>
      <c r="BS488" t="s">
        <v>9851</v>
      </c>
      <c r="BT488" t="str">
        <f>HYPERLINK("https%3A%2F%2Fwww.webofscience.com%2Fwos%2Fwoscc%2Ffull-record%2FWOS:000634521600002","View Full Record in Web of Science")</f>
        <v>View Full Record in Web of Science</v>
      </c>
    </row>
    <row r="489" spans="1:72" x14ac:dyDescent="0.15">
      <c r="A489" t="s">
        <v>72</v>
      </c>
      <c r="B489" t="s">
        <v>9852</v>
      </c>
      <c r="C489" t="s">
        <v>74</v>
      </c>
      <c r="D489" t="s">
        <v>74</v>
      </c>
      <c r="E489" t="s">
        <v>74</v>
      </c>
      <c r="F489" t="s">
        <v>9853</v>
      </c>
      <c r="G489" t="s">
        <v>74</v>
      </c>
      <c r="H489" t="s">
        <v>74</v>
      </c>
      <c r="I489" t="s">
        <v>9854</v>
      </c>
      <c r="J489" t="s">
        <v>9855</v>
      </c>
      <c r="K489" t="s">
        <v>74</v>
      </c>
      <c r="L489" t="s">
        <v>74</v>
      </c>
      <c r="M489" t="s">
        <v>78</v>
      </c>
      <c r="N489" t="s">
        <v>79</v>
      </c>
      <c r="O489" t="s">
        <v>74</v>
      </c>
      <c r="P489" t="s">
        <v>74</v>
      </c>
      <c r="Q489" t="s">
        <v>74</v>
      </c>
      <c r="R489" t="s">
        <v>74</v>
      </c>
      <c r="S489" t="s">
        <v>74</v>
      </c>
      <c r="T489" t="s">
        <v>9856</v>
      </c>
      <c r="U489" t="s">
        <v>74</v>
      </c>
      <c r="V489" t="s">
        <v>9857</v>
      </c>
      <c r="W489" t="s">
        <v>9858</v>
      </c>
      <c r="X489" t="s">
        <v>9859</v>
      </c>
      <c r="Y489" t="s">
        <v>9860</v>
      </c>
      <c r="Z489" t="s">
        <v>9861</v>
      </c>
      <c r="AA489" t="s">
        <v>9862</v>
      </c>
      <c r="AB489" t="s">
        <v>9863</v>
      </c>
      <c r="AC489" t="s">
        <v>9864</v>
      </c>
      <c r="AD489" t="s">
        <v>9865</v>
      </c>
      <c r="AE489" t="s">
        <v>9866</v>
      </c>
      <c r="AF489" t="s">
        <v>74</v>
      </c>
      <c r="AG489">
        <v>35</v>
      </c>
      <c r="AH489">
        <v>15</v>
      </c>
      <c r="AI489">
        <v>17</v>
      </c>
      <c r="AJ489">
        <v>3</v>
      </c>
      <c r="AK489">
        <v>44</v>
      </c>
      <c r="AL489" t="s">
        <v>9867</v>
      </c>
      <c r="AM489" t="s">
        <v>9868</v>
      </c>
      <c r="AN489" t="s">
        <v>9869</v>
      </c>
      <c r="AO489" t="s">
        <v>9870</v>
      </c>
      <c r="AP489" t="s">
        <v>74</v>
      </c>
      <c r="AQ489" t="s">
        <v>74</v>
      </c>
      <c r="AR489" t="s">
        <v>9871</v>
      </c>
      <c r="AS489" t="s">
        <v>9872</v>
      </c>
      <c r="AT489" t="s">
        <v>1809</v>
      </c>
      <c r="AU489">
        <v>2021</v>
      </c>
      <c r="AV489">
        <v>12</v>
      </c>
      <c r="AW489">
        <v>3</v>
      </c>
      <c r="AX489" t="s">
        <v>74</v>
      </c>
      <c r="AY489" t="s">
        <v>74</v>
      </c>
      <c r="AZ489" t="s">
        <v>74</v>
      </c>
      <c r="BA489" t="s">
        <v>74</v>
      </c>
      <c r="BB489">
        <v>315</v>
      </c>
      <c r="BC489">
        <v>322</v>
      </c>
      <c r="BD489" t="s">
        <v>74</v>
      </c>
      <c r="BE489" t="s">
        <v>9873</v>
      </c>
      <c r="BF489" t="str">
        <f>HYPERLINK("http://dx.doi.org/10.1016/j.apr.2021.01.003","http://dx.doi.org/10.1016/j.apr.2021.01.003")</f>
        <v>http://dx.doi.org/10.1016/j.apr.2021.01.003</v>
      </c>
      <c r="BG489" t="s">
        <v>74</v>
      </c>
      <c r="BH489" t="s">
        <v>6407</v>
      </c>
      <c r="BI489">
        <v>8</v>
      </c>
      <c r="BJ489" t="s">
        <v>224</v>
      </c>
      <c r="BK489" t="s">
        <v>101</v>
      </c>
      <c r="BL489" t="s">
        <v>225</v>
      </c>
      <c r="BM489" t="s">
        <v>9874</v>
      </c>
      <c r="BN489" t="s">
        <v>74</v>
      </c>
      <c r="BO489" t="s">
        <v>74</v>
      </c>
      <c r="BP489" t="s">
        <v>74</v>
      </c>
      <c r="BQ489" t="s">
        <v>74</v>
      </c>
      <c r="BR489" t="s">
        <v>104</v>
      </c>
      <c r="BS489" t="s">
        <v>9875</v>
      </c>
      <c r="BT489" t="str">
        <f>HYPERLINK("https%3A%2F%2Fwww.webofscience.com%2Fwos%2Fwoscc%2Ffull-record%2FWOS:000631830400002","View Full Record in Web of Science")</f>
        <v>View Full Record in Web of Science</v>
      </c>
    </row>
    <row r="490" spans="1:72" x14ac:dyDescent="0.15">
      <c r="A490" t="s">
        <v>72</v>
      </c>
      <c r="B490" t="s">
        <v>9876</v>
      </c>
      <c r="C490" t="s">
        <v>74</v>
      </c>
      <c r="D490" t="s">
        <v>74</v>
      </c>
      <c r="E490" t="s">
        <v>74</v>
      </c>
      <c r="F490" t="s">
        <v>9877</v>
      </c>
      <c r="G490" t="s">
        <v>74</v>
      </c>
      <c r="H490" t="s">
        <v>74</v>
      </c>
      <c r="I490" t="s">
        <v>9878</v>
      </c>
      <c r="J490" t="s">
        <v>2021</v>
      </c>
      <c r="K490" t="s">
        <v>74</v>
      </c>
      <c r="L490" t="s">
        <v>74</v>
      </c>
      <c r="M490" t="s">
        <v>78</v>
      </c>
      <c r="N490" t="s">
        <v>79</v>
      </c>
      <c r="O490" t="s">
        <v>74</v>
      </c>
      <c r="P490" t="s">
        <v>74</v>
      </c>
      <c r="Q490" t="s">
        <v>74</v>
      </c>
      <c r="R490" t="s">
        <v>74</v>
      </c>
      <c r="S490" t="s">
        <v>74</v>
      </c>
      <c r="T490" t="s">
        <v>74</v>
      </c>
      <c r="U490" t="s">
        <v>9879</v>
      </c>
      <c r="V490" t="s">
        <v>9880</v>
      </c>
      <c r="W490" t="s">
        <v>9881</v>
      </c>
      <c r="X490" t="s">
        <v>9882</v>
      </c>
      <c r="Y490" t="s">
        <v>9883</v>
      </c>
      <c r="Z490" t="s">
        <v>9884</v>
      </c>
      <c r="AA490" t="s">
        <v>9885</v>
      </c>
      <c r="AB490" t="s">
        <v>9886</v>
      </c>
      <c r="AC490" t="s">
        <v>9887</v>
      </c>
      <c r="AD490" t="s">
        <v>9888</v>
      </c>
      <c r="AE490" t="s">
        <v>9889</v>
      </c>
      <c r="AF490" t="s">
        <v>74</v>
      </c>
      <c r="AG490">
        <v>69</v>
      </c>
      <c r="AH490">
        <v>15</v>
      </c>
      <c r="AI490">
        <v>15</v>
      </c>
      <c r="AJ490">
        <v>1</v>
      </c>
      <c r="AK490">
        <v>9</v>
      </c>
      <c r="AL490" t="s">
        <v>861</v>
      </c>
      <c r="AM490" t="s">
        <v>862</v>
      </c>
      <c r="AN490" t="s">
        <v>863</v>
      </c>
      <c r="AO490" t="s">
        <v>2033</v>
      </c>
      <c r="AP490" t="s">
        <v>74</v>
      </c>
      <c r="AQ490" t="s">
        <v>74</v>
      </c>
      <c r="AR490" t="s">
        <v>2034</v>
      </c>
      <c r="AS490" t="s">
        <v>2035</v>
      </c>
      <c r="AT490" t="s">
        <v>9890</v>
      </c>
      <c r="AU490">
        <v>2021</v>
      </c>
      <c r="AV490">
        <v>11</v>
      </c>
      <c r="AW490">
        <v>1</v>
      </c>
      <c r="AX490" t="s">
        <v>74</v>
      </c>
      <c r="AY490" t="s">
        <v>74</v>
      </c>
      <c r="AZ490" t="s">
        <v>74</v>
      </c>
      <c r="BA490" t="s">
        <v>74</v>
      </c>
      <c r="BB490" t="s">
        <v>74</v>
      </c>
      <c r="BC490" t="s">
        <v>74</v>
      </c>
      <c r="BD490">
        <v>5095</v>
      </c>
      <c r="BE490" t="s">
        <v>9891</v>
      </c>
      <c r="BF490" t="str">
        <f>HYPERLINK("http://dx.doi.org/10.1038/s41598-021-84545-7","http://dx.doi.org/10.1038/s41598-021-84545-7")</f>
        <v>http://dx.doi.org/10.1038/s41598-021-84545-7</v>
      </c>
      <c r="BG490" t="s">
        <v>74</v>
      </c>
      <c r="BH490" t="s">
        <v>74</v>
      </c>
      <c r="BI490">
        <v>11</v>
      </c>
      <c r="BJ490" t="s">
        <v>555</v>
      </c>
      <c r="BK490" t="s">
        <v>101</v>
      </c>
      <c r="BL490" t="s">
        <v>556</v>
      </c>
      <c r="BM490" t="s">
        <v>9892</v>
      </c>
      <c r="BN490">
        <v>33658658</v>
      </c>
      <c r="BO490" t="s">
        <v>298</v>
      </c>
      <c r="BP490" t="s">
        <v>74</v>
      </c>
      <c r="BQ490" t="s">
        <v>74</v>
      </c>
      <c r="BR490" t="s">
        <v>104</v>
      </c>
      <c r="BS490" t="s">
        <v>9893</v>
      </c>
      <c r="BT490" t="str">
        <f>HYPERLINK("https%3A%2F%2Fwww.webofscience.com%2Fwos%2Fwoscc%2Ffull-record%2FWOS:000626140400002","View Full Record in Web of Science")</f>
        <v>View Full Record in Web of Science</v>
      </c>
    </row>
    <row r="491" spans="1:72" x14ac:dyDescent="0.15">
      <c r="A491" t="s">
        <v>72</v>
      </c>
      <c r="B491" t="s">
        <v>9894</v>
      </c>
      <c r="C491" t="s">
        <v>74</v>
      </c>
      <c r="D491" t="s">
        <v>74</v>
      </c>
      <c r="E491" t="s">
        <v>74</v>
      </c>
      <c r="F491" t="s">
        <v>9895</v>
      </c>
      <c r="G491" t="s">
        <v>74</v>
      </c>
      <c r="H491" t="s">
        <v>74</v>
      </c>
      <c r="I491" t="s">
        <v>9896</v>
      </c>
      <c r="J491" t="s">
        <v>9897</v>
      </c>
      <c r="K491" t="s">
        <v>74</v>
      </c>
      <c r="L491" t="s">
        <v>74</v>
      </c>
      <c r="M491" t="s">
        <v>78</v>
      </c>
      <c r="N491" t="s">
        <v>79</v>
      </c>
      <c r="O491" t="s">
        <v>74</v>
      </c>
      <c r="P491" t="s">
        <v>74</v>
      </c>
      <c r="Q491" t="s">
        <v>74</v>
      </c>
      <c r="R491" t="s">
        <v>74</v>
      </c>
      <c r="S491" t="s">
        <v>74</v>
      </c>
      <c r="T491" t="s">
        <v>9898</v>
      </c>
      <c r="U491" t="s">
        <v>9899</v>
      </c>
      <c r="V491" t="s">
        <v>9900</v>
      </c>
      <c r="W491" t="s">
        <v>9901</v>
      </c>
      <c r="X491" t="s">
        <v>9902</v>
      </c>
      <c r="Y491" t="s">
        <v>9903</v>
      </c>
      <c r="Z491" t="s">
        <v>9904</v>
      </c>
      <c r="AA491" t="s">
        <v>9905</v>
      </c>
      <c r="AB491" t="s">
        <v>9906</v>
      </c>
      <c r="AC491" t="s">
        <v>9907</v>
      </c>
      <c r="AD491" t="s">
        <v>9908</v>
      </c>
      <c r="AE491" t="s">
        <v>9909</v>
      </c>
      <c r="AF491" t="s">
        <v>74</v>
      </c>
      <c r="AG491">
        <v>105</v>
      </c>
      <c r="AH491">
        <v>9</v>
      </c>
      <c r="AI491">
        <v>9</v>
      </c>
      <c r="AJ491">
        <v>2</v>
      </c>
      <c r="AK491">
        <v>25</v>
      </c>
      <c r="AL491" t="s">
        <v>795</v>
      </c>
      <c r="AM491" t="s">
        <v>796</v>
      </c>
      <c r="AN491" t="s">
        <v>797</v>
      </c>
      <c r="AO491" t="s">
        <v>9910</v>
      </c>
      <c r="AP491" t="s">
        <v>9911</v>
      </c>
      <c r="AQ491" t="s">
        <v>74</v>
      </c>
      <c r="AR491" t="s">
        <v>9912</v>
      </c>
      <c r="AS491" t="s">
        <v>9913</v>
      </c>
      <c r="AT491" t="s">
        <v>127</v>
      </c>
      <c r="AU491">
        <v>2021</v>
      </c>
      <c r="AV491">
        <v>109</v>
      </c>
      <c r="AW491">
        <v>5</v>
      </c>
      <c r="AX491" t="s">
        <v>74</v>
      </c>
      <c r="AY491" t="s">
        <v>74</v>
      </c>
      <c r="AZ491" t="s">
        <v>74</v>
      </c>
      <c r="BA491" t="s">
        <v>74</v>
      </c>
      <c r="BB491">
        <v>2081</v>
      </c>
      <c r="BC491">
        <v>2094</v>
      </c>
      <c r="BD491" t="s">
        <v>74</v>
      </c>
      <c r="BE491" t="s">
        <v>9914</v>
      </c>
      <c r="BF491" t="str">
        <f>HYPERLINK("http://dx.doi.org/10.1111/1365-2745.13621","http://dx.doi.org/10.1111/1365-2745.13621")</f>
        <v>http://dx.doi.org/10.1111/1365-2745.13621</v>
      </c>
      <c r="BG491" t="s">
        <v>74</v>
      </c>
      <c r="BH491" t="s">
        <v>6407</v>
      </c>
      <c r="BI491">
        <v>14</v>
      </c>
      <c r="BJ491" t="s">
        <v>9915</v>
      </c>
      <c r="BK491" t="s">
        <v>101</v>
      </c>
      <c r="BL491" t="s">
        <v>9916</v>
      </c>
      <c r="BM491" t="s">
        <v>9917</v>
      </c>
      <c r="BN491" t="s">
        <v>74</v>
      </c>
      <c r="BO491" t="s">
        <v>148</v>
      </c>
      <c r="BP491" t="s">
        <v>74</v>
      </c>
      <c r="BQ491" t="s">
        <v>74</v>
      </c>
      <c r="BR491" t="s">
        <v>104</v>
      </c>
      <c r="BS491" t="s">
        <v>9918</v>
      </c>
      <c r="BT491" t="str">
        <f>HYPERLINK("https%3A%2F%2Fwww.webofscience.com%2Fwos%2Fwoscc%2Ffull-record%2FWOS:000624971200001","View Full Record in Web of Science")</f>
        <v>View Full Record in Web of Science</v>
      </c>
    </row>
    <row r="492" spans="1:72" x14ac:dyDescent="0.15">
      <c r="A492" t="s">
        <v>72</v>
      </c>
      <c r="B492" t="s">
        <v>9919</v>
      </c>
      <c r="C492" t="s">
        <v>74</v>
      </c>
      <c r="D492" t="s">
        <v>74</v>
      </c>
      <c r="E492" t="s">
        <v>74</v>
      </c>
      <c r="F492" t="s">
        <v>9920</v>
      </c>
      <c r="G492" t="s">
        <v>74</v>
      </c>
      <c r="H492" t="s">
        <v>74</v>
      </c>
      <c r="I492" t="s">
        <v>9921</v>
      </c>
      <c r="J492" t="s">
        <v>1761</v>
      </c>
      <c r="K492" t="s">
        <v>74</v>
      </c>
      <c r="L492" t="s">
        <v>74</v>
      </c>
      <c r="M492" t="s">
        <v>78</v>
      </c>
      <c r="N492" t="s">
        <v>79</v>
      </c>
      <c r="O492" t="s">
        <v>74</v>
      </c>
      <c r="P492" t="s">
        <v>74</v>
      </c>
      <c r="Q492" t="s">
        <v>74</v>
      </c>
      <c r="R492" t="s">
        <v>74</v>
      </c>
      <c r="S492" t="s">
        <v>74</v>
      </c>
      <c r="T492" t="s">
        <v>74</v>
      </c>
      <c r="U492" t="s">
        <v>9922</v>
      </c>
      <c r="V492" t="s">
        <v>9923</v>
      </c>
      <c r="W492" t="s">
        <v>9924</v>
      </c>
      <c r="X492" t="s">
        <v>9925</v>
      </c>
      <c r="Y492" t="s">
        <v>9926</v>
      </c>
      <c r="Z492" t="s">
        <v>9927</v>
      </c>
      <c r="AA492" t="s">
        <v>9928</v>
      </c>
      <c r="AB492" t="s">
        <v>9929</v>
      </c>
      <c r="AC492" t="s">
        <v>9930</v>
      </c>
      <c r="AD492" t="s">
        <v>9931</v>
      </c>
      <c r="AE492" t="s">
        <v>9932</v>
      </c>
      <c r="AF492" t="s">
        <v>74</v>
      </c>
      <c r="AG492">
        <v>30</v>
      </c>
      <c r="AH492">
        <v>5</v>
      </c>
      <c r="AI492">
        <v>5</v>
      </c>
      <c r="AJ492">
        <v>1</v>
      </c>
      <c r="AK492">
        <v>6</v>
      </c>
      <c r="AL492" t="s">
        <v>1269</v>
      </c>
      <c r="AM492" t="s">
        <v>1270</v>
      </c>
      <c r="AN492" t="s">
        <v>1271</v>
      </c>
      <c r="AO492" t="s">
        <v>1773</v>
      </c>
      <c r="AP492" t="s">
        <v>1774</v>
      </c>
      <c r="AQ492" t="s">
        <v>74</v>
      </c>
      <c r="AR492" t="s">
        <v>1761</v>
      </c>
      <c r="AS492" t="s">
        <v>1775</v>
      </c>
      <c r="AT492" t="s">
        <v>9890</v>
      </c>
      <c r="AU492">
        <v>2021</v>
      </c>
      <c r="AV492">
        <v>15</v>
      </c>
      <c r="AW492">
        <v>2</v>
      </c>
      <c r="AX492" t="s">
        <v>74</v>
      </c>
      <c r="AY492" t="s">
        <v>74</v>
      </c>
      <c r="AZ492" t="s">
        <v>74</v>
      </c>
      <c r="BA492" t="s">
        <v>74</v>
      </c>
      <c r="BB492">
        <v>1173</v>
      </c>
      <c r="BC492">
        <v>1186</v>
      </c>
      <c r="BD492" t="s">
        <v>74</v>
      </c>
      <c r="BE492" t="s">
        <v>9933</v>
      </c>
      <c r="BF492" t="str">
        <f>HYPERLINK("http://dx.doi.org/10.5194/tc-15-1173-2021","http://dx.doi.org/10.5194/tc-15-1173-2021")</f>
        <v>http://dx.doi.org/10.5194/tc-15-1173-2021</v>
      </c>
      <c r="BG492" t="s">
        <v>74</v>
      </c>
      <c r="BH492" t="s">
        <v>74</v>
      </c>
      <c r="BI492">
        <v>14</v>
      </c>
      <c r="BJ492" t="s">
        <v>1685</v>
      </c>
      <c r="BK492" t="s">
        <v>101</v>
      </c>
      <c r="BL492" t="s">
        <v>1686</v>
      </c>
      <c r="BM492" t="s">
        <v>9934</v>
      </c>
      <c r="BN492" t="s">
        <v>74</v>
      </c>
      <c r="BO492" t="s">
        <v>3593</v>
      </c>
      <c r="BP492" t="s">
        <v>74</v>
      </c>
      <c r="BQ492" t="s">
        <v>74</v>
      </c>
      <c r="BR492" t="s">
        <v>104</v>
      </c>
      <c r="BS492" t="s">
        <v>9935</v>
      </c>
      <c r="BT492" t="str">
        <f>HYPERLINK("https%3A%2F%2Fwww.webofscience.com%2Fwos%2Fwoscc%2Ffull-record%2FWOS:000626295900003","View Full Record in Web of Science")</f>
        <v>View Full Record in Web of Science</v>
      </c>
    </row>
    <row r="493" spans="1:72" x14ac:dyDescent="0.15">
      <c r="A493" t="s">
        <v>72</v>
      </c>
      <c r="B493" t="s">
        <v>9936</v>
      </c>
      <c r="C493" t="s">
        <v>74</v>
      </c>
      <c r="D493" t="s">
        <v>74</v>
      </c>
      <c r="E493" t="s">
        <v>74</v>
      </c>
      <c r="F493" t="s">
        <v>9937</v>
      </c>
      <c r="G493" t="s">
        <v>74</v>
      </c>
      <c r="H493" t="s">
        <v>74</v>
      </c>
      <c r="I493" t="s">
        <v>9938</v>
      </c>
      <c r="J493" t="s">
        <v>9939</v>
      </c>
      <c r="K493" t="s">
        <v>74</v>
      </c>
      <c r="L493" t="s">
        <v>74</v>
      </c>
      <c r="M493" t="s">
        <v>78</v>
      </c>
      <c r="N493" t="s">
        <v>79</v>
      </c>
      <c r="O493" t="s">
        <v>74</v>
      </c>
      <c r="P493" t="s">
        <v>74</v>
      </c>
      <c r="Q493" t="s">
        <v>74</v>
      </c>
      <c r="R493" t="s">
        <v>74</v>
      </c>
      <c r="S493" t="s">
        <v>74</v>
      </c>
      <c r="T493" t="s">
        <v>74</v>
      </c>
      <c r="U493" t="s">
        <v>9940</v>
      </c>
      <c r="V493" t="s">
        <v>9941</v>
      </c>
      <c r="W493" t="s">
        <v>9942</v>
      </c>
      <c r="X493" t="s">
        <v>9943</v>
      </c>
      <c r="Y493" t="s">
        <v>9944</v>
      </c>
      <c r="Z493" t="s">
        <v>9945</v>
      </c>
      <c r="AA493" t="s">
        <v>74</v>
      </c>
      <c r="AB493" t="s">
        <v>9946</v>
      </c>
      <c r="AC493" t="s">
        <v>9947</v>
      </c>
      <c r="AD493" t="s">
        <v>9948</v>
      </c>
      <c r="AE493" t="s">
        <v>9949</v>
      </c>
      <c r="AF493" t="s">
        <v>74</v>
      </c>
      <c r="AG493">
        <v>29</v>
      </c>
      <c r="AH493">
        <v>0</v>
      </c>
      <c r="AI493">
        <v>0</v>
      </c>
      <c r="AJ493">
        <v>0</v>
      </c>
      <c r="AK493">
        <v>1</v>
      </c>
      <c r="AL493" t="s">
        <v>1269</v>
      </c>
      <c r="AM493" t="s">
        <v>1270</v>
      </c>
      <c r="AN493" t="s">
        <v>1271</v>
      </c>
      <c r="AO493" t="s">
        <v>9950</v>
      </c>
      <c r="AP493" t="s">
        <v>9951</v>
      </c>
      <c r="AQ493" t="s">
        <v>74</v>
      </c>
      <c r="AR493" t="s">
        <v>9952</v>
      </c>
      <c r="AS493" t="s">
        <v>9953</v>
      </c>
      <c r="AT493" t="s">
        <v>9890</v>
      </c>
      <c r="AU493">
        <v>2021</v>
      </c>
      <c r="AV493">
        <v>28</v>
      </c>
      <c r="AW493">
        <v>1</v>
      </c>
      <c r="AX493" t="s">
        <v>74</v>
      </c>
      <c r="AY493" t="s">
        <v>74</v>
      </c>
      <c r="AZ493" t="s">
        <v>74</v>
      </c>
      <c r="BA493" t="s">
        <v>74</v>
      </c>
      <c r="BB493">
        <v>153</v>
      </c>
      <c r="BC493">
        <v>166</v>
      </c>
      <c r="BD493" t="s">
        <v>74</v>
      </c>
      <c r="BE493" t="s">
        <v>9954</v>
      </c>
      <c r="BF493" t="str">
        <f>HYPERLINK("http://dx.doi.org/10.5194/npg-28-153-2021","http://dx.doi.org/10.5194/npg-28-153-2021")</f>
        <v>http://dx.doi.org/10.5194/npg-28-153-2021</v>
      </c>
      <c r="BG493" t="s">
        <v>74</v>
      </c>
      <c r="BH493" t="s">
        <v>74</v>
      </c>
      <c r="BI493">
        <v>14</v>
      </c>
      <c r="BJ493" t="s">
        <v>9955</v>
      </c>
      <c r="BK493" t="s">
        <v>101</v>
      </c>
      <c r="BL493" t="s">
        <v>9956</v>
      </c>
      <c r="BM493" t="s">
        <v>9957</v>
      </c>
      <c r="BN493" t="s">
        <v>74</v>
      </c>
      <c r="BO493" t="s">
        <v>1779</v>
      </c>
      <c r="BP493" t="s">
        <v>74</v>
      </c>
      <c r="BQ493" t="s">
        <v>74</v>
      </c>
      <c r="BR493" t="s">
        <v>104</v>
      </c>
      <c r="BS493" t="s">
        <v>9958</v>
      </c>
      <c r="BT493" t="str">
        <f>HYPERLINK("https%3A%2F%2Fwww.webofscience.com%2Fwos%2Fwoscc%2Ffull-record%2FWOS:000626293900001","View Full Record in Web of Science")</f>
        <v>View Full Record in Web of Science</v>
      </c>
    </row>
    <row r="494" spans="1:72" x14ac:dyDescent="0.15">
      <c r="A494" t="s">
        <v>72</v>
      </c>
      <c r="B494" t="s">
        <v>9959</v>
      </c>
      <c r="C494" t="s">
        <v>74</v>
      </c>
      <c r="D494" t="s">
        <v>74</v>
      </c>
      <c r="E494" t="s">
        <v>74</v>
      </c>
      <c r="F494" t="s">
        <v>9960</v>
      </c>
      <c r="G494" t="s">
        <v>74</v>
      </c>
      <c r="H494" t="s">
        <v>74</v>
      </c>
      <c r="I494" t="s">
        <v>9961</v>
      </c>
      <c r="J494" t="s">
        <v>8219</v>
      </c>
      <c r="K494" t="s">
        <v>74</v>
      </c>
      <c r="L494" t="s">
        <v>74</v>
      </c>
      <c r="M494" t="s">
        <v>78</v>
      </c>
      <c r="N494" t="s">
        <v>79</v>
      </c>
      <c r="O494" t="s">
        <v>74</v>
      </c>
      <c r="P494" t="s">
        <v>74</v>
      </c>
      <c r="Q494" t="s">
        <v>74</v>
      </c>
      <c r="R494" t="s">
        <v>74</v>
      </c>
      <c r="S494" t="s">
        <v>74</v>
      </c>
      <c r="T494" t="s">
        <v>9962</v>
      </c>
      <c r="U494" t="s">
        <v>9963</v>
      </c>
      <c r="V494" t="s">
        <v>9964</v>
      </c>
      <c r="W494" t="s">
        <v>9965</v>
      </c>
      <c r="X494" t="s">
        <v>5506</v>
      </c>
      <c r="Y494" t="s">
        <v>9966</v>
      </c>
      <c r="Z494" t="s">
        <v>9967</v>
      </c>
      <c r="AA494" t="s">
        <v>9968</v>
      </c>
      <c r="AB494" t="s">
        <v>9969</v>
      </c>
      <c r="AC494" t="s">
        <v>74</v>
      </c>
      <c r="AD494" t="s">
        <v>74</v>
      </c>
      <c r="AE494" t="s">
        <v>74</v>
      </c>
      <c r="AF494" t="s">
        <v>74</v>
      </c>
      <c r="AG494">
        <v>102</v>
      </c>
      <c r="AH494">
        <v>2</v>
      </c>
      <c r="AI494">
        <v>2</v>
      </c>
      <c r="AJ494">
        <v>1</v>
      </c>
      <c r="AK494">
        <v>19</v>
      </c>
      <c r="AL494" t="s">
        <v>795</v>
      </c>
      <c r="AM494" t="s">
        <v>796</v>
      </c>
      <c r="AN494" t="s">
        <v>797</v>
      </c>
      <c r="AO494" t="s">
        <v>8232</v>
      </c>
      <c r="AP494" t="s">
        <v>8233</v>
      </c>
      <c r="AQ494" t="s">
        <v>74</v>
      </c>
      <c r="AR494" t="s">
        <v>8234</v>
      </c>
      <c r="AS494" t="s">
        <v>8235</v>
      </c>
      <c r="AT494" t="s">
        <v>2859</v>
      </c>
      <c r="AU494">
        <v>2021</v>
      </c>
      <c r="AV494">
        <v>57</v>
      </c>
      <c r="AW494">
        <v>2</v>
      </c>
      <c r="AX494" t="s">
        <v>74</v>
      </c>
      <c r="AY494" t="s">
        <v>74</v>
      </c>
      <c r="AZ494" t="s">
        <v>74</v>
      </c>
      <c r="BA494" t="s">
        <v>74</v>
      </c>
      <c r="BB494">
        <v>664</v>
      </c>
      <c r="BC494">
        <v>676</v>
      </c>
      <c r="BD494" t="s">
        <v>74</v>
      </c>
      <c r="BE494" t="s">
        <v>9970</v>
      </c>
      <c r="BF494" t="str">
        <f>HYPERLINK("http://dx.doi.org/10.1111/jpy.13124","http://dx.doi.org/10.1111/jpy.13124")</f>
        <v>http://dx.doi.org/10.1111/jpy.13124</v>
      </c>
      <c r="BG494" t="s">
        <v>74</v>
      </c>
      <c r="BH494" t="s">
        <v>6407</v>
      </c>
      <c r="BI494">
        <v>13</v>
      </c>
      <c r="BJ494" t="s">
        <v>6897</v>
      </c>
      <c r="BK494" t="s">
        <v>101</v>
      </c>
      <c r="BL494" t="s">
        <v>6897</v>
      </c>
      <c r="BM494" t="s">
        <v>9971</v>
      </c>
      <c r="BN494">
        <v>33406291</v>
      </c>
      <c r="BO494" t="s">
        <v>74</v>
      </c>
      <c r="BP494" t="s">
        <v>74</v>
      </c>
      <c r="BQ494" t="s">
        <v>74</v>
      </c>
      <c r="BR494" t="s">
        <v>104</v>
      </c>
      <c r="BS494" t="s">
        <v>9972</v>
      </c>
      <c r="BT494" t="str">
        <f>HYPERLINK("https%3A%2F%2Fwww.webofscience.com%2Fwos%2Fwoscc%2Ffull-record%2FWOS:000624620700001","View Full Record in Web of Science")</f>
        <v>View Full Record in Web of Science</v>
      </c>
    </row>
    <row r="495" spans="1:72" x14ac:dyDescent="0.15">
      <c r="A495" t="s">
        <v>72</v>
      </c>
      <c r="B495" t="s">
        <v>9973</v>
      </c>
      <c r="C495" t="s">
        <v>74</v>
      </c>
      <c r="D495" t="s">
        <v>74</v>
      </c>
      <c r="E495" t="s">
        <v>74</v>
      </c>
      <c r="F495" t="s">
        <v>9974</v>
      </c>
      <c r="G495" t="s">
        <v>74</v>
      </c>
      <c r="H495" t="s">
        <v>74</v>
      </c>
      <c r="I495" t="s">
        <v>9975</v>
      </c>
      <c r="J495" t="s">
        <v>9976</v>
      </c>
      <c r="K495" t="s">
        <v>74</v>
      </c>
      <c r="L495" t="s">
        <v>74</v>
      </c>
      <c r="M495" t="s">
        <v>78</v>
      </c>
      <c r="N495" t="s">
        <v>79</v>
      </c>
      <c r="O495" t="s">
        <v>74</v>
      </c>
      <c r="P495" t="s">
        <v>74</v>
      </c>
      <c r="Q495" t="s">
        <v>74</v>
      </c>
      <c r="R495" t="s">
        <v>74</v>
      </c>
      <c r="S495" t="s">
        <v>74</v>
      </c>
      <c r="T495" t="s">
        <v>9977</v>
      </c>
      <c r="U495" t="s">
        <v>74</v>
      </c>
      <c r="V495" t="s">
        <v>9978</v>
      </c>
      <c r="W495" t="s">
        <v>9979</v>
      </c>
      <c r="X495" t="s">
        <v>9980</v>
      </c>
      <c r="Y495" t="s">
        <v>9981</v>
      </c>
      <c r="Z495" t="s">
        <v>9982</v>
      </c>
      <c r="AA495" t="s">
        <v>9983</v>
      </c>
      <c r="AB495" t="s">
        <v>9984</v>
      </c>
      <c r="AC495" t="s">
        <v>9985</v>
      </c>
      <c r="AD495" t="s">
        <v>9985</v>
      </c>
      <c r="AE495" t="s">
        <v>9986</v>
      </c>
      <c r="AF495" t="s">
        <v>74</v>
      </c>
      <c r="AG495">
        <v>107</v>
      </c>
      <c r="AH495">
        <v>7</v>
      </c>
      <c r="AI495">
        <v>7</v>
      </c>
      <c r="AJ495">
        <v>4</v>
      </c>
      <c r="AK495">
        <v>15</v>
      </c>
      <c r="AL495" t="s">
        <v>3801</v>
      </c>
      <c r="AM495" t="s">
        <v>1909</v>
      </c>
      <c r="AN495" t="s">
        <v>3802</v>
      </c>
      <c r="AO495" t="s">
        <v>9987</v>
      </c>
      <c r="AP495" t="s">
        <v>74</v>
      </c>
      <c r="AQ495" t="s">
        <v>74</v>
      </c>
      <c r="AR495" t="s">
        <v>9988</v>
      </c>
      <c r="AS495" t="s">
        <v>9989</v>
      </c>
      <c r="AT495" t="s">
        <v>9890</v>
      </c>
      <c r="AU495">
        <v>2021</v>
      </c>
      <c r="AV495">
        <v>8</v>
      </c>
      <c r="AW495">
        <v>3</v>
      </c>
      <c r="AX495" t="s">
        <v>74</v>
      </c>
      <c r="AY495" t="s">
        <v>74</v>
      </c>
      <c r="AZ495" t="s">
        <v>74</v>
      </c>
      <c r="BA495" t="s">
        <v>74</v>
      </c>
      <c r="BB495" t="s">
        <v>74</v>
      </c>
      <c r="BC495" t="s">
        <v>74</v>
      </c>
      <c r="BD495">
        <v>201503</v>
      </c>
      <c r="BE495" t="s">
        <v>9990</v>
      </c>
      <c r="BF495" t="str">
        <f>HYPERLINK("http://dx.doi.org/10.1098/rsos.201503","http://dx.doi.org/10.1098/rsos.201503")</f>
        <v>http://dx.doi.org/10.1098/rsos.201503</v>
      </c>
      <c r="BG495" t="s">
        <v>74</v>
      </c>
      <c r="BH495" t="s">
        <v>74</v>
      </c>
      <c r="BI495">
        <v>19</v>
      </c>
      <c r="BJ495" t="s">
        <v>555</v>
      </c>
      <c r="BK495" t="s">
        <v>101</v>
      </c>
      <c r="BL495" t="s">
        <v>556</v>
      </c>
      <c r="BM495" t="s">
        <v>9991</v>
      </c>
      <c r="BN495">
        <v>33959320</v>
      </c>
      <c r="BO495" t="s">
        <v>298</v>
      </c>
      <c r="BP495" t="s">
        <v>74</v>
      </c>
      <c r="BQ495" t="s">
        <v>74</v>
      </c>
      <c r="BR495" t="s">
        <v>104</v>
      </c>
      <c r="BS495" t="s">
        <v>9992</v>
      </c>
      <c r="BT495" t="str">
        <f>HYPERLINK("https%3A%2F%2Fwww.webofscience.com%2Fwos%2Fwoscc%2Ffull-record%2FWOS:000626176000001","View Full Record in Web of Science")</f>
        <v>View Full Record in Web of Science</v>
      </c>
    </row>
    <row r="496" spans="1:72" x14ac:dyDescent="0.15">
      <c r="A496" t="s">
        <v>72</v>
      </c>
      <c r="B496" t="s">
        <v>9993</v>
      </c>
      <c r="C496" t="s">
        <v>74</v>
      </c>
      <c r="D496" t="s">
        <v>74</v>
      </c>
      <c r="E496" t="s">
        <v>74</v>
      </c>
      <c r="F496" t="s">
        <v>9994</v>
      </c>
      <c r="G496" t="s">
        <v>74</v>
      </c>
      <c r="H496" t="s">
        <v>74</v>
      </c>
      <c r="I496" t="s">
        <v>9995</v>
      </c>
      <c r="J496" t="s">
        <v>1421</v>
      </c>
      <c r="K496" t="s">
        <v>74</v>
      </c>
      <c r="L496" t="s">
        <v>74</v>
      </c>
      <c r="M496" t="s">
        <v>78</v>
      </c>
      <c r="N496" t="s">
        <v>79</v>
      </c>
      <c r="O496" t="s">
        <v>74</v>
      </c>
      <c r="P496" t="s">
        <v>74</v>
      </c>
      <c r="Q496" t="s">
        <v>74</v>
      </c>
      <c r="R496" t="s">
        <v>74</v>
      </c>
      <c r="S496" t="s">
        <v>74</v>
      </c>
      <c r="T496" t="s">
        <v>9996</v>
      </c>
      <c r="U496" t="s">
        <v>74</v>
      </c>
      <c r="V496" t="s">
        <v>9997</v>
      </c>
      <c r="W496" t="s">
        <v>9998</v>
      </c>
      <c r="X496" t="s">
        <v>2407</v>
      </c>
      <c r="Y496" t="s">
        <v>9999</v>
      </c>
      <c r="Z496" t="s">
        <v>10000</v>
      </c>
      <c r="AA496" t="s">
        <v>74</v>
      </c>
      <c r="AB496" t="s">
        <v>10001</v>
      </c>
      <c r="AC496" t="s">
        <v>10002</v>
      </c>
      <c r="AD496" t="s">
        <v>10003</v>
      </c>
      <c r="AE496" t="s">
        <v>10004</v>
      </c>
      <c r="AF496" t="s">
        <v>74</v>
      </c>
      <c r="AG496">
        <v>78</v>
      </c>
      <c r="AH496">
        <v>13</v>
      </c>
      <c r="AI496">
        <v>13</v>
      </c>
      <c r="AJ496">
        <v>2</v>
      </c>
      <c r="AK496">
        <v>13</v>
      </c>
      <c r="AL496" t="s">
        <v>166</v>
      </c>
      <c r="AM496" t="s">
        <v>167</v>
      </c>
      <c r="AN496" t="s">
        <v>168</v>
      </c>
      <c r="AO496" t="s">
        <v>1433</v>
      </c>
      <c r="AP496" t="s">
        <v>1434</v>
      </c>
      <c r="AQ496" t="s">
        <v>74</v>
      </c>
      <c r="AR496" t="s">
        <v>1435</v>
      </c>
      <c r="AS496" t="s">
        <v>1436</v>
      </c>
      <c r="AT496" t="s">
        <v>2859</v>
      </c>
      <c r="AU496">
        <v>2021</v>
      </c>
      <c r="AV496">
        <v>44</v>
      </c>
      <c r="AW496">
        <v>4</v>
      </c>
      <c r="AX496" t="s">
        <v>74</v>
      </c>
      <c r="AY496" t="s">
        <v>74</v>
      </c>
      <c r="AZ496" t="s">
        <v>74</v>
      </c>
      <c r="BA496" t="s">
        <v>74</v>
      </c>
      <c r="BB496">
        <v>717</v>
      </c>
      <c r="BC496">
        <v>727</v>
      </c>
      <c r="BD496" t="s">
        <v>74</v>
      </c>
      <c r="BE496" t="s">
        <v>10005</v>
      </c>
      <c r="BF496" t="str">
        <f>HYPERLINK("http://dx.doi.org/10.1007/s00300-021-02831-6","http://dx.doi.org/10.1007/s00300-021-02831-6")</f>
        <v>http://dx.doi.org/10.1007/s00300-021-02831-6</v>
      </c>
      <c r="BG496" t="s">
        <v>74</v>
      </c>
      <c r="BH496" t="s">
        <v>6407</v>
      </c>
      <c r="BI496">
        <v>11</v>
      </c>
      <c r="BJ496" t="s">
        <v>1438</v>
      </c>
      <c r="BK496" t="s">
        <v>101</v>
      </c>
      <c r="BL496" t="s">
        <v>1439</v>
      </c>
      <c r="BM496" t="s">
        <v>8214</v>
      </c>
      <c r="BN496" t="s">
        <v>74</v>
      </c>
      <c r="BO496" t="s">
        <v>1095</v>
      </c>
      <c r="BP496" t="s">
        <v>74</v>
      </c>
      <c r="BQ496" t="s">
        <v>74</v>
      </c>
      <c r="BR496" t="s">
        <v>104</v>
      </c>
      <c r="BS496" t="s">
        <v>10006</v>
      </c>
      <c r="BT496" t="str">
        <f>HYPERLINK("https%3A%2F%2Fwww.webofscience.com%2Fwos%2Fwoscc%2Ffull-record%2FWOS:000625033200001","View Full Record in Web of Science")</f>
        <v>View Full Record in Web of Science</v>
      </c>
    </row>
    <row r="497" spans="1:72" x14ac:dyDescent="0.15">
      <c r="A497" t="s">
        <v>72</v>
      </c>
      <c r="B497" t="s">
        <v>10007</v>
      </c>
      <c r="C497" t="s">
        <v>74</v>
      </c>
      <c r="D497" t="s">
        <v>74</v>
      </c>
      <c r="E497" t="s">
        <v>74</v>
      </c>
      <c r="F497" t="s">
        <v>10008</v>
      </c>
      <c r="G497" t="s">
        <v>74</v>
      </c>
      <c r="H497" t="s">
        <v>74</v>
      </c>
      <c r="I497" t="s">
        <v>10009</v>
      </c>
      <c r="J497" t="s">
        <v>9897</v>
      </c>
      <c r="K497" t="s">
        <v>74</v>
      </c>
      <c r="L497" t="s">
        <v>74</v>
      </c>
      <c r="M497" t="s">
        <v>78</v>
      </c>
      <c r="N497" t="s">
        <v>79</v>
      </c>
      <c r="O497" t="s">
        <v>74</v>
      </c>
      <c r="P497" t="s">
        <v>74</v>
      </c>
      <c r="Q497" t="s">
        <v>74</v>
      </c>
      <c r="R497" t="s">
        <v>74</v>
      </c>
      <c r="S497" t="s">
        <v>74</v>
      </c>
      <c r="T497" t="s">
        <v>10010</v>
      </c>
      <c r="U497" t="s">
        <v>10011</v>
      </c>
      <c r="V497" t="s">
        <v>10012</v>
      </c>
      <c r="W497" t="s">
        <v>10013</v>
      </c>
      <c r="X497" t="s">
        <v>10014</v>
      </c>
      <c r="Y497" t="s">
        <v>10015</v>
      </c>
      <c r="Z497" t="s">
        <v>10016</v>
      </c>
      <c r="AA497" t="s">
        <v>10017</v>
      </c>
      <c r="AB497" t="s">
        <v>10018</v>
      </c>
      <c r="AC497" t="s">
        <v>10019</v>
      </c>
      <c r="AD497" t="s">
        <v>10020</v>
      </c>
      <c r="AE497" t="s">
        <v>10021</v>
      </c>
      <c r="AF497" t="s">
        <v>74</v>
      </c>
      <c r="AG497">
        <v>126</v>
      </c>
      <c r="AH497">
        <v>13</v>
      </c>
      <c r="AI497">
        <v>13</v>
      </c>
      <c r="AJ497">
        <v>2</v>
      </c>
      <c r="AK497">
        <v>37</v>
      </c>
      <c r="AL497" t="s">
        <v>795</v>
      </c>
      <c r="AM497" t="s">
        <v>796</v>
      </c>
      <c r="AN497" t="s">
        <v>797</v>
      </c>
      <c r="AO497" t="s">
        <v>9910</v>
      </c>
      <c r="AP497" t="s">
        <v>9911</v>
      </c>
      <c r="AQ497" t="s">
        <v>74</v>
      </c>
      <c r="AR497" t="s">
        <v>9912</v>
      </c>
      <c r="AS497" t="s">
        <v>9913</v>
      </c>
      <c r="AT497" t="s">
        <v>127</v>
      </c>
      <c r="AU497">
        <v>2021</v>
      </c>
      <c r="AV497">
        <v>109</v>
      </c>
      <c r="AW497">
        <v>5</v>
      </c>
      <c r="AX497" t="s">
        <v>74</v>
      </c>
      <c r="AY497" t="s">
        <v>74</v>
      </c>
      <c r="AZ497" t="s">
        <v>74</v>
      </c>
      <c r="BA497" t="s">
        <v>74</v>
      </c>
      <c r="BB497">
        <v>2121</v>
      </c>
      <c r="BC497">
        <v>2136</v>
      </c>
      <c r="BD497" t="s">
        <v>74</v>
      </c>
      <c r="BE497" t="s">
        <v>10022</v>
      </c>
      <c r="BF497" t="str">
        <f>HYPERLINK("http://dx.doi.org/10.1111/1365-2745.13625","http://dx.doi.org/10.1111/1365-2745.13625")</f>
        <v>http://dx.doi.org/10.1111/1365-2745.13625</v>
      </c>
      <c r="BG497" t="s">
        <v>74</v>
      </c>
      <c r="BH497" t="s">
        <v>6407</v>
      </c>
      <c r="BI497">
        <v>16</v>
      </c>
      <c r="BJ497" t="s">
        <v>9915</v>
      </c>
      <c r="BK497" t="s">
        <v>101</v>
      </c>
      <c r="BL497" t="s">
        <v>9916</v>
      </c>
      <c r="BM497" t="s">
        <v>9917</v>
      </c>
      <c r="BN497" t="s">
        <v>74</v>
      </c>
      <c r="BO497" t="s">
        <v>5118</v>
      </c>
      <c r="BP497" t="s">
        <v>74</v>
      </c>
      <c r="BQ497" t="s">
        <v>74</v>
      </c>
      <c r="BR497" t="s">
        <v>104</v>
      </c>
      <c r="BS497" t="s">
        <v>10023</v>
      </c>
      <c r="BT497" t="str">
        <f>HYPERLINK("https%3A%2F%2Fwww.webofscience.com%2Fwos%2Fwoscc%2Ffull-record%2FWOS:000624971100001","View Full Record in Web of Science")</f>
        <v>View Full Record in Web of Science</v>
      </c>
    </row>
    <row r="498" spans="1:72" x14ac:dyDescent="0.15">
      <c r="A498" t="s">
        <v>72</v>
      </c>
      <c r="B498" t="s">
        <v>10024</v>
      </c>
      <c r="C498" t="s">
        <v>74</v>
      </c>
      <c r="D498" t="s">
        <v>74</v>
      </c>
      <c r="E498" t="s">
        <v>74</v>
      </c>
      <c r="F498" t="s">
        <v>10025</v>
      </c>
      <c r="G498" t="s">
        <v>74</v>
      </c>
      <c r="H498" t="s">
        <v>74</v>
      </c>
      <c r="I498" t="s">
        <v>10026</v>
      </c>
      <c r="J498" t="s">
        <v>10027</v>
      </c>
      <c r="K498" t="s">
        <v>74</v>
      </c>
      <c r="L498" t="s">
        <v>74</v>
      </c>
      <c r="M498" t="s">
        <v>78</v>
      </c>
      <c r="N498" t="s">
        <v>79</v>
      </c>
      <c r="O498" t="s">
        <v>74</v>
      </c>
      <c r="P498" t="s">
        <v>74</v>
      </c>
      <c r="Q498" t="s">
        <v>74</v>
      </c>
      <c r="R498" t="s">
        <v>74</v>
      </c>
      <c r="S498" t="s">
        <v>74</v>
      </c>
      <c r="T498" t="s">
        <v>10028</v>
      </c>
      <c r="U498" t="s">
        <v>74</v>
      </c>
      <c r="V498" t="s">
        <v>10029</v>
      </c>
      <c r="W498" t="s">
        <v>10030</v>
      </c>
      <c r="X498" t="s">
        <v>10031</v>
      </c>
      <c r="Y498" t="s">
        <v>10032</v>
      </c>
      <c r="Z498" t="s">
        <v>10033</v>
      </c>
      <c r="AA498" t="s">
        <v>10034</v>
      </c>
      <c r="AB498" t="s">
        <v>10035</v>
      </c>
      <c r="AC498" t="s">
        <v>10036</v>
      </c>
      <c r="AD498" t="s">
        <v>10037</v>
      </c>
      <c r="AE498" t="s">
        <v>10038</v>
      </c>
      <c r="AF498" t="s">
        <v>74</v>
      </c>
      <c r="AG498">
        <v>43</v>
      </c>
      <c r="AH498">
        <v>8</v>
      </c>
      <c r="AI498">
        <v>8</v>
      </c>
      <c r="AJ498">
        <v>0</v>
      </c>
      <c r="AK498">
        <v>3</v>
      </c>
      <c r="AL498" t="s">
        <v>576</v>
      </c>
      <c r="AM498" t="s">
        <v>577</v>
      </c>
      <c r="AN498" t="s">
        <v>578</v>
      </c>
      <c r="AO498" t="s">
        <v>74</v>
      </c>
      <c r="AP498" t="s">
        <v>10039</v>
      </c>
      <c r="AQ498" t="s">
        <v>74</v>
      </c>
      <c r="AR498" t="s">
        <v>10040</v>
      </c>
      <c r="AS498" t="s">
        <v>10041</v>
      </c>
      <c r="AT498" t="s">
        <v>1809</v>
      </c>
      <c r="AU498">
        <v>2021</v>
      </c>
      <c r="AV498">
        <v>32</v>
      </c>
      <c r="AW498" t="s">
        <v>74</v>
      </c>
      <c r="AX498" t="s">
        <v>74</v>
      </c>
      <c r="AY498" t="s">
        <v>74</v>
      </c>
      <c r="AZ498" t="s">
        <v>74</v>
      </c>
      <c r="BA498" t="s">
        <v>74</v>
      </c>
      <c r="BB498" t="s">
        <v>74</v>
      </c>
      <c r="BC498" t="s">
        <v>74</v>
      </c>
      <c r="BD498">
        <v>101954</v>
      </c>
      <c r="BE498" t="s">
        <v>10042</v>
      </c>
      <c r="BF498" t="str">
        <f>HYPERLINK("http://dx.doi.org/10.1016/j.bcab.2021.101954","http://dx.doi.org/10.1016/j.bcab.2021.101954")</f>
        <v>http://dx.doi.org/10.1016/j.bcab.2021.101954</v>
      </c>
      <c r="BG498" t="s">
        <v>74</v>
      </c>
      <c r="BH498" t="s">
        <v>6407</v>
      </c>
      <c r="BI498">
        <v>8</v>
      </c>
      <c r="BJ498" t="s">
        <v>10043</v>
      </c>
      <c r="BK498" t="s">
        <v>342</v>
      </c>
      <c r="BL498" t="s">
        <v>10043</v>
      </c>
      <c r="BM498" t="s">
        <v>10044</v>
      </c>
      <c r="BN498" t="s">
        <v>74</v>
      </c>
      <c r="BO498" t="s">
        <v>74</v>
      </c>
      <c r="BP498" t="s">
        <v>74</v>
      </c>
      <c r="BQ498" t="s">
        <v>74</v>
      </c>
      <c r="BR498" t="s">
        <v>104</v>
      </c>
      <c r="BS498" t="s">
        <v>10045</v>
      </c>
      <c r="BT498" t="str">
        <f>HYPERLINK("https%3A%2F%2Fwww.webofscience.com%2Fwos%2Fwoscc%2Ffull-record%2FWOS:000636270700004","View Full Record in Web of Science")</f>
        <v>View Full Record in Web of Science</v>
      </c>
    </row>
    <row r="499" spans="1:72" x14ac:dyDescent="0.15">
      <c r="A499" t="s">
        <v>72</v>
      </c>
      <c r="B499" t="s">
        <v>10046</v>
      </c>
      <c r="C499" t="s">
        <v>74</v>
      </c>
      <c r="D499" t="s">
        <v>74</v>
      </c>
      <c r="E499" t="s">
        <v>74</v>
      </c>
      <c r="F499" t="s">
        <v>10047</v>
      </c>
      <c r="G499" t="s">
        <v>74</v>
      </c>
      <c r="H499" t="s">
        <v>74</v>
      </c>
      <c r="I499" t="s">
        <v>10048</v>
      </c>
      <c r="J499" t="s">
        <v>3278</v>
      </c>
      <c r="K499" t="s">
        <v>74</v>
      </c>
      <c r="L499" t="s">
        <v>74</v>
      </c>
      <c r="M499" t="s">
        <v>78</v>
      </c>
      <c r="N499" t="s">
        <v>79</v>
      </c>
      <c r="O499" t="s">
        <v>74</v>
      </c>
      <c r="P499" t="s">
        <v>74</v>
      </c>
      <c r="Q499" t="s">
        <v>74</v>
      </c>
      <c r="R499" t="s">
        <v>74</v>
      </c>
      <c r="S499" t="s">
        <v>74</v>
      </c>
      <c r="T499" t="s">
        <v>10049</v>
      </c>
      <c r="U499" t="s">
        <v>10050</v>
      </c>
      <c r="V499" t="s">
        <v>10051</v>
      </c>
      <c r="W499" t="s">
        <v>10052</v>
      </c>
      <c r="X499" t="s">
        <v>10053</v>
      </c>
      <c r="Y499" t="s">
        <v>10054</v>
      </c>
      <c r="Z499" t="s">
        <v>8381</v>
      </c>
      <c r="AA499" t="s">
        <v>10055</v>
      </c>
      <c r="AB499" t="s">
        <v>10056</v>
      </c>
      <c r="AC499" t="s">
        <v>10057</v>
      </c>
      <c r="AD499" t="s">
        <v>5166</v>
      </c>
      <c r="AE499" t="s">
        <v>74</v>
      </c>
      <c r="AF499" t="s">
        <v>74</v>
      </c>
      <c r="AG499">
        <v>69</v>
      </c>
      <c r="AH499">
        <v>17</v>
      </c>
      <c r="AI499">
        <v>18</v>
      </c>
      <c r="AJ499">
        <v>1</v>
      </c>
      <c r="AK499">
        <v>12</v>
      </c>
      <c r="AL499" t="s">
        <v>3291</v>
      </c>
      <c r="AM499" t="s">
        <v>3292</v>
      </c>
      <c r="AN499" t="s">
        <v>3293</v>
      </c>
      <c r="AO499" t="s">
        <v>3294</v>
      </c>
      <c r="AP499" t="s">
        <v>3295</v>
      </c>
      <c r="AQ499" t="s">
        <v>74</v>
      </c>
      <c r="AR499" t="s">
        <v>3278</v>
      </c>
      <c r="AS499" t="s">
        <v>3296</v>
      </c>
      <c r="AT499" t="s">
        <v>1809</v>
      </c>
      <c r="AU499">
        <v>2021</v>
      </c>
      <c r="AV499">
        <v>25</v>
      </c>
      <c r="AW499">
        <v>2</v>
      </c>
      <c r="AX499" t="s">
        <v>74</v>
      </c>
      <c r="AY499" t="s">
        <v>74</v>
      </c>
      <c r="AZ499" t="s">
        <v>74</v>
      </c>
      <c r="BA499" t="s">
        <v>74</v>
      </c>
      <c r="BB499">
        <v>193</v>
      </c>
      <c r="BC499">
        <v>202</v>
      </c>
      <c r="BD499" t="s">
        <v>74</v>
      </c>
      <c r="BE499" t="s">
        <v>10058</v>
      </c>
      <c r="BF499" t="str">
        <f>HYPERLINK("http://dx.doi.org/10.1007/s00792-021-01221-4","http://dx.doi.org/10.1007/s00792-021-01221-4")</f>
        <v>http://dx.doi.org/10.1007/s00792-021-01221-4</v>
      </c>
      <c r="BG499" t="s">
        <v>74</v>
      </c>
      <c r="BH499" t="s">
        <v>6407</v>
      </c>
      <c r="BI499">
        <v>10</v>
      </c>
      <c r="BJ499" t="s">
        <v>3298</v>
      </c>
      <c r="BK499" t="s">
        <v>101</v>
      </c>
      <c r="BL499" t="s">
        <v>3298</v>
      </c>
      <c r="BM499" t="s">
        <v>10059</v>
      </c>
      <c r="BN499">
        <v>33651232</v>
      </c>
      <c r="BO499" t="s">
        <v>74</v>
      </c>
      <c r="BP499" t="s">
        <v>74</v>
      </c>
      <c r="BQ499" t="s">
        <v>74</v>
      </c>
      <c r="BR499" t="s">
        <v>104</v>
      </c>
      <c r="BS499" t="s">
        <v>10060</v>
      </c>
      <c r="BT499" t="str">
        <f>HYPERLINK("https%3A%2F%2Fwww.webofscience.com%2Fwos%2Fwoscc%2Ffull-record%2FWOS:000624379500001","View Full Record in Web of Science")</f>
        <v>View Full Record in Web of Science</v>
      </c>
    </row>
    <row r="500" spans="1:72" x14ac:dyDescent="0.15">
      <c r="A500" t="s">
        <v>72</v>
      </c>
      <c r="B500" t="s">
        <v>10061</v>
      </c>
      <c r="C500" t="s">
        <v>74</v>
      </c>
      <c r="D500" t="s">
        <v>74</v>
      </c>
      <c r="E500" t="s">
        <v>74</v>
      </c>
      <c r="F500" t="s">
        <v>10062</v>
      </c>
      <c r="G500" t="s">
        <v>74</v>
      </c>
      <c r="H500" t="s">
        <v>74</v>
      </c>
      <c r="I500" t="s">
        <v>10063</v>
      </c>
      <c r="J500" t="s">
        <v>1798</v>
      </c>
      <c r="K500" t="s">
        <v>74</v>
      </c>
      <c r="L500" t="s">
        <v>74</v>
      </c>
      <c r="M500" t="s">
        <v>78</v>
      </c>
      <c r="N500" t="s">
        <v>79</v>
      </c>
      <c r="O500" t="s">
        <v>74</v>
      </c>
      <c r="P500" t="s">
        <v>74</v>
      </c>
      <c r="Q500" t="s">
        <v>74</v>
      </c>
      <c r="R500" t="s">
        <v>74</v>
      </c>
      <c r="S500" t="s">
        <v>74</v>
      </c>
      <c r="T500" t="s">
        <v>10064</v>
      </c>
      <c r="U500" t="s">
        <v>10065</v>
      </c>
      <c r="V500" t="s">
        <v>10066</v>
      </c>
      <c r="W500" t="s">
        <v>10067</v>
      </c>
      <c r="X500" t="s">
        <v>10068</v>
      </c>
      <c r="Y500" t="s">
        <v>10069</v>
      </c>
      <c r="Z500" t="s">
        <v>10070</v>
      </c>
      <c r="AA500" t="s">
        <v>10071</v>
      </c>
      <c r="AB500" t="s">
        <v>10072</v>
      </c>
      <c r="AC500" t="s">
        <v>10073</v>
      </c>
      <c r="AD500" t="s">
        <v>10074</v>
      </c>
      <c r="AE500" t="s">
        <v>10075</v>
      </c>
      <c r="AF500" t="s">
        <v>74</v>
      </c>
      <c r="AG500">
        <v>148</v>
      </c>
      <c r="AH500">
        <v>40</v>
      </c>
      <c r="AI500">
        <v>40</v>
      </c>
      <c r="AJ500">
        <v>8</v>
      </c>
      <c r="AK500">
        <v>54</v>
      </c>
      <c r="AL500" t="s">
        <v>166</v>
      </c>
      <c r="AM500" t="s">
        <v>192</v>
      </c>
      <c r="AN500" t="s">
        <v>193</v>
      </c>
      <c r="AO500" t="s">
        <v>1805</v>
      </c>
      <c r="AP500" t="s">
        <v>1806</v>
      </c>
      <c r="AQ500" t="s">
        <v>74</v>
      </c>
      <c r="AR500" t="s">
        <v>1807</v>
      </c>
      <c r="AS500" t="s">
        <v>1808</v>
      </c>
      <c r="AT500" t="s">
        <v>1809</v>
      </c>
      <c r="AU500">
        <v>2022</v>
      </c>
      <c r="AV500">
        <v>32</v>
      </c>
      <c r="AW500">
        <v>1</v>
      </c>
      <c r="AX500" t="s">
        <v>74</v>
      </c>
      <c r="AY500" t="s">
        <v>74</v>
      </c>
      <c r="AZ500" t="s">
        <v>803</v>
      </c>
      <c r="BA500" t="s">
        <v>74</v>
      </c>
      <c r="BB500">
        <v>189</v>
      </c>
      <c r="BC500">
        <v>207</v>
      </c>
      <c r="BD500" t="s">
        <v>74</v>
      </c>
      <c r="BE500" t="s">
        <v>10076</v>
      </c>
      <c r="BF500" t="str">
        <f>HYPERLINK("http://dx.doi.org/10.1007/s11160-021-09636-0","http://dx.doi.org/10.1007/s11160-021-09636-0")</f>
        <v>http://dx.doi.org/10.1007/s11160-021-09636-0</v>
      </c>
      <c r="BG500" t="s">
        <v>74</v>
      </c>
      <c r="BH500" t="s">
        <v>6407</v>
      </c>
      <c r="BI500">
        <v>19</v>
      </c>
      <c r="BJ500" t="s">
        <v>1811</v>
      </c>
      <c r="BK500" t="s">
        <v>1038</v>
      </c>
      <c r="BL500" t="s">
        <v>1811</v>
      </c>
      <c r="BM500" t="s">
        <v>1812</v>
      </c>
      <c r="BN500">
        <v>33679009</v>
      </c>
      <c r="BO500" t="s">
        <v>10077</v>
      </c>
      <c r="BP500" t="s">
        <v>74</v>
      </c>
      <c r="BQ500" t="s">
        <v>74</v>
      </c>
      <c r="BR500" t="s">
        <v>104</v>
      </c>
      <c r="BS500" t="s">
        <v>10078</v>
      </c>
      <c r="BT500" t="str">
        <f>HYPERLINK("https%3A%2F%2Fwww.webofscience.com%2Fwos%2Fwoscc%2Ffull-record%2FWOS:000624371100001","View Full Record in Web of Science")</f>
        <v>View Full Record in Web of Science</v>
      </c>
    </row>
    <row r="501" spans="1:72" x14ac:dyDescent="0.15">
      <c r="A501" t="s">
        <v>72</v>
      </c>
      <c r="B501" t="s">
        <v>10079</v>
      </c>
      <c r="C501" t="s">
        <v>74</v>
      </c>
      <c r="D501" t="s">
        <v>74</v>
      </c>
      <c r="E501" t="s">
        <v>74</v>
      </c>
      <c r="F501" t="s">
        <v>10080</v>
      </c>
      <c r="G501" t="s">
        <v>74</v>
      </c>
      <c r="H501" t="s">
        <v>74</v>
      </c>
      <c r="I501" t="s">
        <v>10081</v>
      </c>
      <c r="J501" t="s">
        <v>10082</v>
      </c>
      <c r="K501" t="s">
        <v>74</v>
      </c>
      <c r="L501" t="s">
        <v>74</v>
      </c>
      <c r="M501" t="s">
        <v>78</v>
      </c>
      <c r="N501" t="s">
        <v>79</v>
      </c>
      <c r="O501" t="s">
        <v>74</v>
      </c>
      <c r="P501" t="s">
        <v>74</v>
      </c>
      <c r="Q501" t="s">
        <v>74</v>
      </c>
      <c r="R501" t="s">
        <v>74</v>
      </c>
      <c r="S501" t="s">
        <v>74</v>
      </c>
      <c r="T501" t="s">
        <v>10083</v>
      </c>
      <c r="U501" t="s">
        <v>10084</v>
      </c>
      <c r="V501" t="s">
        <v>10085</v>
      </c>
      <c r="W501" t="s">
        <v>10086</v>
      </c>
      <c r="X501" t="s">
        <v>10087</v>
      </c>
      <c r="Y501" t="s">
        <v>10088</v>
      </c>
      <c r="Z501" t="s">
        <v>10089</v>
      </c>
      <c r="AA501" t="s">
        <v>10090</v>
      </c>
      <c r="AB501" t="s">
        <v>10091</v>
      </c>
      <c r="AC501" t="s">
        <v>10092</v>
      </c>
      <c r="AD501" t="s">
        <v>10092</v>
      </c>
      <c r="AE501" t="s">
        <v>10093</v>
      </c>
      <c r="AF501" t="s">
        <v>74</v>
      </c>
      <c r="AG501">
        <v>93</v>
      </c>
      <c r="AH501">
        <v>4</v>
      </c>
      <c r="AI501">
        <v>4</v>
      </c>
      <c r="AJ501">
        <v>0</v>
      </c>
      <c r="AK501">
        <v>16</v>
      </c>
      <c r="AL501" t="s">
        <v>795</v>
      </c>
      <c r="AM501" t="s">
        <v>796</v>
      </c>
      <c r="AN501" t="s">
        <v>797</v>
      </c>
      <c r="AO501" t="s">
        <v>10094</v>
      </c>
      <c r="AP501" t="s">
        <v>10095</v>
      </c>
      <c r="AQ501" t="s">
        <v>74</v>
      </c>
      <c r="AR501" t="s">
        <v>10096</v>
      </c>
      <c r="AS501" t="s">
        <v>10097</v>
      </c>
      <c r="AT501" t="s">
        <v>2859</v>
      </c>
      <c r="AU501">
        <v>2021</v>
      </c>
      <c r="AV501">
        <v>30</v>
      </c>
      <c r="AW501">
        <v>7</v>
      </c>
      <c r="AX501" t="s">
        <v>74</v>
      </c>
      <c r="AY501" t="s">
        <v>74</v>
      </c>
      <c r="AZ501" t="s">
        <v>74</v>
      </c>
      <c r="BA501" t="s">
        <v>74</v>
      </c>
      <c r="BB501">
        <v>1642</v>
      </c>
      <c r="BC501">
        <v>1658</v>
      </c>
      <c r="BD501" t="s">
        <v>74</v>
      </c>
      <c r="BE501" t="s">
        <v>10098</v>
      </c>
      <c r="BF501" t="str">
        <f>HYPERLINK("http://dx.doi.org/10.1111/mec.15837","http://dx.doi.org/10.1111/mec.15837")</f>
        <v>http://dx.doi.org/10.1111/mec.15837</v>
      </c>
      <c r="BG501" t="s">
        <v>74</v>
      </c>
      <c r="BH501" t="s">
        <v>6407</v>
      </c>
      <c r="BI501">
        <v>17</v>
      </c>
      <c r="BJ501" t="s">
        <v>3985</v>
      </c>
      <c r="BK501" t="s">
        <v>101</v>
      </c>
      <c r="BL501" t="s">
        <v>3986</v>
      </c>
      <c r="BM501" t="s">
        <v>10099</v>
      </c>
      <c r="BN501">
        <v>33565631</v>
      </c>
      <c r="BO501" t="s">
        <v>1872</v>
      </c>
      <c r="BP501" t="s">
        <v>74</v>
      </c>
      <c r="BQ501" t="s">
        <v>74</v>
      </c>
      <c r="BR501" t="s">
        <v>104</v>
      </c>
      <c r="BS501" t="s">
        <v>10100</v>
      </c>
      <c r="BT501" t="str">
        <f>HYPERLINK("https%3A%2F%2Fwww.webofscience.com%2Fwos%2Fwoscc%2Ffull-record%2FWOS:000623941400001","View Full Record in Web of Science")</f>
        <v>View Full Record in Web of Science</v>
      </c>
    </row>
    <row r="502" spans="1:72" x14ac:dyDescent="0.15">
      <c r="A502" t="s">
        <v>72</v>
      </c>
      <c r="B502" t="s">
        <v>10101</v>
      </c>
      <c r="C502" t="s">
        <v>74</v>
      </c>
      <c r="D502" t="s">
        <v>74</v>
      </c>
      <c r="E502" t="s">
        <v>74</v>
      </c>
      <c r="F502" t="s">
        <v>10102</v>
      </c>
      <c r="G502" t="s">
        <v>74</v>
      </c>
      <c r="H502" t="s">
        <v>74</v>
      </c>
      <c r="I502" t="s">
        <v>10103</v>
      </c>
      <c r="J502" t="s">
        <v>2687</v>
      </c>
      <c r="K502" t="s">
        <v>74</v>
      </c>
      <c r="L502" t="s">
        <v>74</v>
      </c>
      <c r="M502" t="s">
        <v>78</v>
      </c>
      <c r="N502" t="s">
        <v>79</v>
      </c>
      <c r="O502" t="s">
        <v>74</v>
      </c>
      <c r="P502" t="s">
        <v>74</v>
      </c>
      <c r="Q502" t="s">
        <v>74</v>
      </c>
      <c r="R502" t="s">
        <v>74</v>
      </c>
      <c r="S502" t="s">
        <v>74</v>
      </c>
      <c r="T502" t="s">
        <v>10104</v>
      </c>
      <c r="U502" t="s">
        <v>10105</v>
      </c>
      <c r="V502" t="s">
        <v>10106</v>
      </c>
      <c r="W502" t="s">
        <v>10107</v>
      </c>
      <c r="X502" t="s">
        <v>10108</v>
      </c>
      <c r="Y502" t="s">
        <v>10109</v>
      </c>
      <c r="Z502" t="s">
        <v>10110</v>
      </c>
      <c r="AA502" t="s">
        <v>10111</v>
      </c>
      <c r="AB502" t="s">
        <v>10112</v>
      </c>
      <c r="AC502" t="s">
        <v>10113</v>
      </c>
      <c r="AD502" t="s">
        <v>10114</v>
      </c>
      <c r="AE502" t="s">
        <v>10115</v>
      </c>
      <c r="AF502" t="s">
        <v>74</v>
      </c>
      <c r="AG502">
        <v>70</v>
      </c>
      <c r="AH502">
        <v>15</v>
      </c>
      <c r="AI502">
        <v>17</v>
      </c>
      <c r="AJ502">
        <v>1</v>
      </c>
      <c r="AK502">
        <v>16</v>
      </c>
      <c r="AL502" t="s">
        <v>603</v>
      </c>
      <c r="AM502" t="s">
        <v>604</v>
      </c>
      <c r="AN502" t="s">
        <v>605</v>
      </c>
      <c r="AO502" t="s">
        <v>74</v>
      </c>
      <c r="AP502" t="s">
        <v>2699</v>
      </c>
      <c r="AQ502" t="s">
        <v>74</v>
      </c>
      <c r="AR502" t="s">
        <v>2700</v>
      </c>
      <c r="AS502" t="s">
        <v>2701</v>
      </c>
      <c r="AT502" t="s">
        <v>10116</v>
      </c>
      <c r="AU502">
        <v>2021</v>
      </c>
      <c r="AV502">
        <v>8</v>
      </c>
      <c r="AW502" t="s">
        <v>74</v>
      </c>
      <c r="AX502" t="s">
        <v>74</v>
      </c>
      <c r="AY502" t="s">
        <v>74</v>
      </c>
      <c r="AZ502" t="s">
        <v>74</v>
      </c>
      <c r="BA502" t="s">
        <v>74</v>
      </c>
      <c r="BB502" t="s">
        <v>74</v>
      </c>
      <c r="BC502" t="s">
        <v>74</v>
      </c>
      <c r="BD502">
        <v>581432</v>
      </c>
      <c r="BE502" t="s">
        <v>10117</v>
      </c>
      <c r="BF502" t="str">
        <f>HYPERLINK("http://dx.doi.org/10.3389/fmars.2021.581432","http://dx.doi.org/10.3389/fmars.2021.581432")</f>
        <v>http://dx.doi.org/10.3389/fmars.2021.581432</v>
      </c>
      <c r="BG502" t="s">
        <v>74</v>
      </c>
      <c r="BH502" t="s">
        <v>74</v>
      </c>
      <c r="BI502">
        <v>12</v>
      </c>
      <c r="BJ502" t="s">
        <v>1646</v>
      </c>
      <c r="BK502" t="s">
        <v>101</v>
      </c>
      <c r="BL502" t="s">
        <v>710</v>
      </c>
      <c r="BM502" t="s">
        <v>10118</v>
      </c>
      <c r="BN502" t="s">
        <v>74</v>
      </c>
      <c r="BO502" t="s">
        <v>558</v>
      </c>
      <c r="BP502" t="s">
        <v>74</v>
      </c>
      <c r="BQ502" t="s">
        <v>74</v>
      </c>
      <c r="BR502" t="s">
        <v>104</v>
      </c>
      <c r="BS502" t="s">
        <v>10119</v>
      </c>
      <c r="BT502" t="str">
        <f>HYPERLINK("https%3A%2F%2Fwww.webofscience.com%2Fwos%2Fwoscc%2Ffull-record%2FWOS:000625560200001","View Full Record in Web of Science")</f>
        <v>View Full Record in Web of Science</v>
      </c>
    </row>
    <row r="503" spans="1:72" x14ac:dyDescent="0.15">
      <c r="A503" t="s">
        <v>72</v>
      </c>
      <c r="B503" t="s">
        <v>10120</v>
      </c>
      <c r="C503" t="s">
        <v>74</v>
      </c>
      <c r="D503" t="s">
        <v>74</v>
      </c>
      <c r="E503" t="s">
        <v>74</v>
      </c>
      <c r="F503" t="s">
        <v>10121</v>
      </c>
      <c r="G503" t="s">
        <v>74</v>
      </c>
      <c r="H503" t="s">
        <v>74</v>
      </c>
      <c r="I503" t="s">
        <v>10122</v>
      </c>
      <c r="J503" t="s">
        <v>10123</v>
      </c>
      <c r="K503" t="s">
        <v>74</v>
      </c>
      <c r="L503" t="s">
        <v>74</v>
      </c>
      <c r="M503" t="s">
        <v>78</v>
      </c>
      <c r="N503" t="s">
        <v>79</v>
      </c>
      <c r="O503" t="s">
        <v>74</v>
      </c>
      <c r="P503" t="s">
        <v>74</v>
      </c>
      <c r="Q503" t="s">
        <v>74</v>
      </c>
      <c r="R503" t="s">
        <v>74</v>
      </c>
      <c r="S503" t="s">
        <v>74</v>
      </c>
      <c r="T503" t="s">
        <v>10124</v>
      </c>
      <c r="U503" t="s">
        <v>10125</v>
      </c>
      <c r="V503" t="s">
        <v>10126</v>
      </c>
      <c r="W503" t="s">
        <v>10127</v>
      </c>
      <c r="X503" t="s">
        <v>10128</v>
      </c>
      <c r="Y503" t="s">
        <v>10129</v>
      </c>
      <c r="Z503" t="s">
        <v>10130</v>
      </c>
      <c r="AA503" t="s">
        <v>10131</v>
      </c>
      <c r="AB503" t="s">
        <v>10132</v>
      </c>
      <c r="AC503" t="s">
        <v>10133</v>
      </c>
      <c r="AD503" t="s">
        <v>10134</v>
      </c>
      <c r="AE503" t="s">
        <v>10135</v>
      </c>
      <c r="AF503" t="s">
        <v>74</v>
      </c>
      <c r="AG503">
        <v>94</v>
      </c>
      <c r="AH503">
        <v>2</v>
      </c>
      <c r="AI503">
        <v>2</v>
      </c>
      <c r="AJ503">
        <v>0</v>
      </c>
      <c r="AK503">
        <v>7</v>
      </c>
      <c r="AL503" t="s">
        <v>917</v>
      </c>
      <c r="AM503" t="s">
        <v>390</v>
      </c>
      <c r="AN503" t="s">
        <v>918</v>
      </c>
      <c r="AO503" t="s">
        <v>74</v>
      </c>
      <c r="AP503" t="s">
        <v>10136</v>
      </c>
      <c r="AQ503" t="s">
        <v>74</v>
      </c>
      <c r="AR503" t="s">
        <v>10137</v>
      </c>
      <c r="AS503" t="s">
        <v>10138</v>
      </c>
      <c r="AT503" t="s">
        <v>1809</v>
      </c>
      <c r="AU503">
        <v>2021</v>
      </c>
      <c r="AV503">
        <v>25</v>
      </c>
      <c r="AW503">
        <v>1</v>
      </c>
      <c r="AX503" t="s">
        <v>74</v>
      </c>
      <c r="AY503" t="s">
        <v>74</v>
      </c>
      <c r="AZ503" t="s">
        <v>74</v>
      </c>
      <c r="BA503" t="s">
        <v>74</v>
      </c>
      <c r="BB503">
        <v>108</v>
      </c>
      <c r="BC503">
        <v>118</v>
      </c>
      <c r="BD503" t="s">
        <v>74</v>
      </c>
      <c r="BE503" t="s">
        <v>10139</v>
      </c>
      <c r="BF503" t="str">
        <f>HYPERLINK("http://dx.doi.org/10.1175/EI-D-20-0018.1","http://dx.doi.org/10.1175/EI-D-20-0018.1")</f>
        <v>http://dx.doi.org/10.1175/EI-D-20-0018.1</v>
      </c>
      <c r="BG503" t="s">
        <v>74</v>
      </c>
      <c r="BH503" t="s">
        <v>74</v>
      </c>
      <c r="BI503">
        <v>11</v>
      </c>
      <c r="BJ503" t="s">
        <v>100</v>
      </c>
      <c r="BK503" t="s">
        <v>101</v>
      </c>
      <c r="BL503" t="s">
        <v>102</v>
      </c>
      <c r="BM503" t="s">
        <v>10140</v>
      </c>
      <c r="BN503" t="s">
        <v>74</v>
      </c>
      <c r="BO503" t="s">
        <v>317</v>
      </c>
      <c r="BP503" t="s">
        <v>74</v>
      </c>
      <c r="BQ503" t="s">
        <v>74</v>
      </c>
      <c r="BR503" t="s">
        <v>104</v>
      </c>
      <c r="BS503" t="s">
        <v>10141</v>
      </c>
      <c r="BT503" t="str">
        <f>HYPERLINK("https%3A%2F%2Fwww.webofscience.com%2Fwos%2Fwoscc%2Ffull-record%2FWOS:000744477400008","View Full Record in Web of Science")</f>
        <v>View Full Record in Web of Science</v>
      </c>
    </row>
    <row r="504" spans="1:72" x14ac:dyDescent="0.15">
      <c r="A504" t="s">
        <v>72</v>
      </c>
      <c r="B504" t="s">
        <v>10142</v>
      </c>
      <c r="C504" t="s">
        <v>74</v>
      </c>
      <c r="D504" t="s">
        <v>74</v>
      </c>
      <c r="E504" t="s">
        <v>74</v>
      </c>
      <c r="F504" t="s">
        <v>10143</v>
      </c>
      <c r="G504" t="s">
        <v>74</v>
      </c>
      <c r="H504" t="s">
        <v>74</v>
      </c>
      <c r="I504" t="s">
        <v>10144</v>
      </c>
      <c r="J504" t="s">
        <v>10145</v>
      </c>
      <c r="K504" t="s">
        <v>74</v>
      </c>
      <c r="L504" t="s">
        <v>74</v>
      </c>
      <c r="M504" t="s">
        <v>78</v>
      </c>
      <c r="N504" t="s">
        <v>79</v>
      </c>
      <c r="O504" t="s">
        <v>74</v>
      </c>
      <c r="P504" t="s">
        <v>74</v>
      </c>
      <c r="Q504" t="s">
        <v>74</v>
      </c>
      <c r="R504" t="s">
        <v>74</v>
      </c>
      <c r="S504" t="s">
        <v>74</v>
      </c>
      <c r="T504" t="s">
        <v>10146</v>
      </c>
      <c r="U504" t="s">
        <v>10147</v>
      </c>
      <c r="V504" t="s">
        <v>10148</v>
      </c>
      <c r="W504" t="s">
        <v>10149</v>
      </c>
      <c r="X504" t="s">
        <v>10150</v>
      </c>
      <c r="Y504" t="s">
        <v>10151</v>
      </c>
      <c r="Z504" t="s">
        <v>74</v>
      </c>
      <c r="AA504" t="s">
        <v>74</v>
      </c>
      <c r="AB504" t="s">
        <v>74</v>
      </c>
      <c r="AC504" t="s">
        <v>74</v>
      </c>
      <c r="AD504" t="s">
        <v>74</v>
      </c>
      <c r="AE504" t="s">
        <v>74</v>
      </c>
      <c r="AF504" t="s">
        <v>74</v>
      </c>
      <c r="AG504">
        <v>66</v>
      </c>
      <c r="AH504">
        <v>0</v>
      </c>
      <c r="AI504">
        <v>0</v>
      </c>
      <c r="AJ504">
        <v>0</v>
      </c>
      <c r="AK504">
        <v>0</v>
      </c>
      <c r="AL504" t="s">
        <v>10152</v>
      </c>
      <c r="AM504" t="s">
        <v>10153</v>
      </c>
      <c r="AN504" t="s">
        <v>10154</v>
      </c>
      <c r="AO504" t="s">
        <v>10155</v>
      </c>
      <c r="AP504" t="s">
        <v>10156</v>
      </c>
      <c r="AQ504" t="s">
        <v>74</v>
      </c>
      <c r="AR504" t="s">
        <v>10157</v>
      </c>
      <c r="AS504" t="s">
        <v>10158</v>
      </c>
      <c r="AT504" t="s">
        <v>10159</v>
      </c>
      <c r="AU504">
        <v>2021</v>
      </c>
      <c r="AV504">
        <v>22</v>
      </c>
      <c r="AW504">
        <v>1</v>
      </c>
      <c r="AX504" t="s">
        <v>74</v>
      </c>
      <c r="AY504" t="s">
        <v>74</v>
      </c>
      <c r="AZ504" t="s">
        <v>74</v>
      </c>
      <c r="BA504" t="s">
        <v>74</v>
      </c>
      <c r="BB504">
        <v>167</v>
      </c>
      <c r="BC504">
        <v>187</v>
      </c>
      <c r="BD504" t="s">
        <v>74</v>
      </c>
      <c r="BE504" t="s">
        <v>10160</v>
      </c>
      <c r="BF504" t="str">
        <f>HYPERLINK("http://dx.doi.org/10.5325/edgallpoerev.22.1.0167","http://dx.doi.org/10.5325/edgallpoerev.22.1.0167")</f>
        <v>http://dx.doi.org/10.5325/edgallpoerev.22.1.0167</v>
      </c>
      <c r="BG504" t="s">
        <v>74</v>
      </c>
      <c r="BH504" t="s">
        <v>74</v>
      </c>
      <c r="BI504">
        <v>21</v>
      </c>
      <c r="BJ504" t="s">
        <v>10161</v>
      </c>
      <c r="BK504" t="s">
        <v>342</v>
      </c>
      <c r="BL504" t="s">
        <v>10162</v>
      </c>
      <c r="BM504" t="s">
        <v>10163</v>
      </c>
      <c r="BN504" t="s">
        <v>74</v>
      </c>
      <c r="BO504" t="s">
        <v>74</v>
      </c>
      <c r="BP504" t="s">
        <v>74</v>
      </c>
      <c r="BQ504" t="s">
        <v>74</v>
      </c>
      <c r="BR504" t="s">
        <v>104</v>
      </c>
      <c r="BS504" t="s">
        <v>10164</v>
      </c>
      <c r="BT504" t="str">
        <f>HYPERLINK("https%3A%2F%2Fwww.webofscience.com%2Fwos%2Fwoscc%2Ffull-record%2FWOS:000729383000009","View Full Record in Web of Science")</f>
        <v>View Full Record in Web of Science</v>
      </c>
    </row>
    <row r="505" spans="1:72" x14ac:dyDescent="0.15">
      <c r="A505" t="s">
        <v>72</v>
      </c>
      <c r="B505" t="s">
        <v>10165</v>
      </c>
      <c r="C505" t="s">
        <v>74</v>
      </c>
      <c r="D505" t="s">
        <v>74</v>
      </c>
      <c r="E505" t="s">
        <v>74</v>
      </c>
      <c r="F505" t="s">
        <v>10166</v>
      </c>
      <c r="G505" t="s">
        <v>74</v>
      </c>
      <c r="H505" t="s">
        <v>74</v>
      </c>
      <c r="I505" t="s">
        <v>10167</v>
      </c>
      <c r="J505" t="s">
        <v>10168</v>
      </c>
      <c r="K505" t="s">
        <v>74</v>
      </c>
      <c r="L505" t="s">
        <v>74</v>
      </c>
      <c r="M505" t="s">
        <v>78</v>
      </c>
      <c r="N505" t="s">
        <v>79</v>
      </c>
      <c r="O505" t="s">
        <v>74</v>
      </c>
      <c r="P505" t="s">
        <v>74</v>
      </c>
      <c r="Q505" t="s">
        <v>74</v>
      </c>
      <c r="R505" t="s">
        <v>74</v>
      </c>
      <c r="S505" t="s">
        <v>74</v>
      </c>
      <c r="T505" t="s">
        <v>10169</v>
      </c>
      <c r="U505" t="s">
        <v>10170</v>
      </c>
      <c r="V505" t="s">
        <v>10171</v>
      </c>
      <c r="W505" t="s">
        <v>10172</v>
      </c>
      <c r="X505" t="s">
        <v>10173</v>
      </c>
      <c r="Y505" t="s">
        <v>10174</v>
      </c>
      <c r="Z505" t="s">
        <v>10175</v>
      </c>
      <c r="AA505" t="s">
        <v>74</v>
      </c>
      <c r="AB505" t="s">
        <v>74</v>
      </c>
      <c r="AC505" t="s">
        <v>10176</v>
      </c>
      <c r="AD505" t="s">
        <v>4769</v>
      </c>
      <c r="AE505" t="s">
        <v>10177</v>
      </c>
      <c r="AF505" t="s">
        <v>74</v>
      </c>
      <c r="AG505">
        <v>57</v>
      </c>
      <c r="AH505">
        <v>3</v>
      </c>
      <c r="AI505">
        <v>3</v>
      </c>
      <c r="AJ505">
        <v>0</v>
      </c>
      <c r="AK505">
        <v>9</v>
      </c>
      <c r="AL505" t="s">
        <v>10178</v>
      </c>
      <c r="AM505" t="s">
        <v>390</v>
      </c>
      <c r="AN505" t="s">
        <v>10179</v>
      </c>
      <c r="AO505" t="s">
        <v>10180</v>
      </c>
      <c r="AP505" t="s">
        <v>10181</v>
      </c>
      <c r="AQ505" t="s">
        <v>74</v>
      </c>
      <c r="AR505" t="s">
        <v>10168</v>
      </c>
      <c r="AS505" t="s">
        <v>10182</v>
      </c>
      <c r="AT505" t="s">
        <v>1809</v>
      </c>
      <c r="AU505">
        <v>2021</v>
      </c>
      <c r="AV505">
        <v>44</v>
      </c>
      <c r="AW505">
        <v>1</v>
      </c>
      <c r="AX505" t="s">
        <v>74</v>
      </c>
      <c r="AY505" t="s">
        <v>74</v>
      </c>
      <c r="AZ505" t="s">
        <v>74</v>
      </c>
      <c r="BA505" t="s">
        <v>74</v>
      </c>
      <c r="BB505">
        <v>55</v>
      </c>
      <c r="BC505">
        <v>67</v>
      </c>
      <c r="BD505" t="s">
        <v>74</v>
      </c>
      <c r="BE505" t="s">
        <v>10183</v>
      </c>
      <c r="BF505" t="str">
        <f>HYPERLINK("http://dx.doi.org/10.1675/063.044.0105","http://dx.doi.org/10.1675/063.044.0105")</f>
        <v>http://dx.doi.org/10.1675/063.044.0105</v>
      </c>
      <c r="BG505" t="s">
        <v>74</v>
      </c>
      <c r="BH505" t="s">
        <v>74</v>
      </c>
      <c r="BI505">
        <v>13</v>
      </c>
      <c r="BJ505" t="s">
        <v>2930</v>
      </c>
      <c r="BK505" t="s">
        <v>101</v>
      </c>
      <c r="BL505" t="s">
        <v>1229</v>
      </c>
      <c r="BM505" t="s">
        <v>10184</v>
      </c>
      <c r="BN505" t="s">
        <v>74</v>
      </c>
      <c r="BO505" t="s">
        <v>74</v>
      </c>
      <c r="BP505" t="s">
        <v>74</v>
      </c>
      <c r="BQ505" t="s">
        <v>74</v>
      </c>
      <c r="BR505" t="s">
        <v>104</v>
      </c>
      <c r="BS505" t="s">
        <v>10185</v>
      </c>
      <c r="BT505" t="str">
        <f>HYPERLINK("https%3A%2F%2Fwww.webofscience.com%2Fwos%2Fwoscc%2Ffull-record%2FWOS:000735256200005","View Full Record in Web of Science")</f>
        <v>View Full Record in Web of Science</v>
      </c>
    </row>
    <row r="506" spans="1:72" x14ac:dyDescent="0.15">
      <c r="A506" t="s">
        <v>72</v>
      </c>
      <c r="B506" t="s">
        <v>10186</v>
      </c>
      <c r="C506" t="s">
        <v>74</v>
      </c>
      <c r="D506" t="s">
        <v>74</v>
      </c>
      <c r="E506" t="s">
        <v>74</v>
      </c>
      <c r="F506" t="s">
        <v>10187</v>
      </c>
      <c r="G506" t="s">
        <v>74</v>
      </c>
      <c r="H506" t="s">
        <v>74</v>
      </c>
      <c r="I506" t="s">
        <v>10188</v>
      </c>
      <c r="J506" t="s">
        <v>10189</v>
      </c>
      <c r="K506" t="s">
        <v>74</v>
      </c>
      <c r="L506" t="s">
        <v>74</v>
      </c>
      <c r="M506" t="s">
        <v>78</v>
      </c>
      <c r="N506" t="s">
        <v>1074</v>
      </c>
      <c r="O506" t="s">
        <v>74</v>
      </c>
      <c r="P506" t="s">
        <v>74</v>
      </c>
      <c r="Q506" t="s">
        <v>74</v>
      </c>
      <c r="R506" t="s">
        <v>74</v>
      </c>
      <c r="S506" t="s">
        <v>74</v>
      </c>
      <c r="T506" t="s">
        <v>10190</v>
      </c>
      <c r="U506" t="s">
        <v>10191</v>
      </c>
      <c r="V506" t="s">
        <v>10192</v>
      </c>
      <c r="W506" t="s">
        <v>10193</v>
      </c>
      <c r="X506" t="s">
        <v>5506</v>
      </c>
      <c r="Y506" t="s">
        <v>10194</v>
      </c>
      <c r="Z506" t="s">
        <v>10195</v>
      </c>
      <c r="AA506" t="s">
        <v>74</v>
      </c>
      <c r="AB506" t="s">
        <v>10196</v>
      </c>
      <c r="AC506" t="s">
        <v>10197</v>
      </c>
      <c r="AD506" t="s">
        <v>10198</v>
      </c>
      <c r="AE506" t="s">
        <v>10199</v>
      </c>
      <c r="AF506" t="s">
        <v>74</v>
      </c>
      <c r="AG506">
        <v>53</v>
      </c>
      <c r="AH506">
        <v>11</v>
      </c>
      <c r="AI506">
        <v>11</v>
      </c>
      <c r="AJ506">
        <v>1</v>
      </c>
      <c r="AK506">
        <v>14</v>
      </c>
      <c r="AL506" t="s">
        <v>335</v>
      </c>
      <c r="AM506" t="s">
        <v>336</v>
      </c>
      <c r="AN506" t="s">
        <v>337</v>
      </c>
      <c r="AO506" t="s">
        <v>74</v>
      </c>
      <c r="AP506" t="s">
        <v>10200</v>
      </c>
      <c r="AQ506" t="s">
        <v>74</v>
      </c>
      <c r="AR506" t="s">
        <v>10201</v>
      </c>
      <c r="AS506" t="s">
        <v>10202</v>
      </c>
      <c r="AT506" t="s">
        <v>1809</v>
      </c>
      <c r="AU506">
        <v>2021</v>
      </c>
      <c r="AV506">
        <v>6</v>
      </c>
      <c r="AW506">
        <v>1</v>
      </c>
      <c r="AX506" t="s">
        <v>74</v>
      </c>
      <c r="AY506" t="s">
        <v>74</v>
      </c>
      <c r="AZ506" t="s">
        <v>74</v>
      </c>
      <c r="BA506" t="s">
        <v>74</v>
      </c>
      <c r="BB506" t="s">
        <v>74</v>
      </c>
      <c r="BC506" t="s">
        <v>74</v>
      </c>
      <c r="BD506">
        <v>6</v>
      </c>
      <c r="BE506" t="s">
        <v>10203</v>
      </c>
      <c r="BF506" t="str">
        <f>HYPERLINK("http://dx.doi.org/10.3390/fishes6010006","http://dx.doi.org/10.3390/fishes6010006")</f>
        <v>http://dx.doi.org/10.3390/fishes6010006</v>
      </c>
      <c r="BG506" t="s">
        <v>74</v>
      </c>
      <c r="BH506" t="s">
        <v>74</v>
      </c>
      <c r="BI506">
        <v>17</v>
      </c>
      <c r="BJ506" t="s">
        <v>1811</v>
      </c>
      <c r="BK506" t="s">
        <v>342</v>
      </c>
      <c r="BL506" t="s">
        <v>1811</v>
      </c>
      <c r="BM506" t="s">
        <v>10204</v>
      </c>
      <c r="BN506" t="s">
        <v>74</v>
      </c>
      <c r="BO506" t="s">
        <v>558</v>
      </c>
      <c r="BP506" t="s">
        <v>74</v>
      </c>
      <c r="BQ506" t="s">
        <v>74</v>
      </c>
      <c r="BR506" t="s">
        <v>104</v>
      </c>
      <c r="BS506" t="s">
        <v>10205</v>
      </c>
      <c r="BT506" t="str">
        <f>HYPERLINK("https%3A%2F%2Fwww.webofscience.com%2Fwos%2Fwoscc%2Ffull-record%2FWOS:000635653000001","View Full Record in Web of Science")</f>
        <v>View Full Record in Web of Science</v>
      </c>
    </row>
    <row r="507" spans="1:72" x14ac:dyDescent="0.15">
      <c r="A507" t="s">
        <v>72</v>
      </c>
      <c r="B507" t="s">
        <v>10206</v>
      </c>
      <c r="C507" t="s">
        <v>74</v>
      </c>
      <c r="D507" t="s">
        <v>74</v>
      </c>
      <c r="E507" t="s">
        <v>74</v>
      </c>
      <c r="F507" t="s">
        <v>10207</v>
      </c>
      <c r="G507" t="s">
        <v>74</v>
      </c>
      <c r="H507" t="s">
        <v>74</v>
      </c>
      <c r="I507" t="s">
        <v>10208</v>
      </c>
      <c r="J507" t="s">
        <v>10209</v>
      </c>
      <c r="K507" t="s">
        <v>74</v>
      </c>
      <c r="L507" t="s">
        <v>74</v>
      </c>
      <c r="M507" t="s">
        <v>78</v>
      </c>
      <c r="N507" t="s">
        <v>79</v>
      </c>
      <c r="O507" t="s">
        <v>74</v>
      </c>
      <c r="P507" t="s">
        <v>74</v>
      </c>
      <c r="Q507" t="s">
        <v>74</v>
      </c>
      <c r="R507" t="s">
        <v>74</v>
      </c>
      <c r="S507" t="s">
        <v>74</v>
      </c>
      <c r="T507" t="s">
        <v>74</v>
      </c>
      <c r="U507" t="s">
        <v>10210</v>
      </c>
      <c r="V507" t="s">
        <v>10211</v>
      </c>
      <c r="W507" t="s">
        <v>10212</v>
      </c>
      <c r="X507" t="s">
        <v>10213</v>
      </c>
      <c r="Y507" t="s">
        <v>10214</v>
      </c>
      <c r="Z507" t="s">
        <v>10215</v>
      </c>
      <c r="AA507" t="s">
        <v>74</v>
      </c>
      <c r="AB507" t="s">
        <v>10216</v>
      </c>
      <c r="AC507" t="s">
        <v>10217</v>
      </c>
      <c r="AD507" t="s">
        <v>10218</v>
      </c>
      <c r="AE507" t="s">
        <v>10219</v>
      </c>
      <c r="AF507" t="s">
        <v>74</v>
      </c>
      <c r="AG507">
        <v>82</v>
      </c>
      <c r="AH507">
        <v>12</v>
      </c>
      <c r="AI507">
        <v>14</v>
      </c>
      <c r="AJ507">
        <v>0</v>
      </c>
      <c r="AK507">
        <v>1</v>
      </c>
      <c r="AL507" t="s">
        <v>10220</v>
      </c>
      <c r="AM507" t="s">
        <v>10221</v>
      </c>
      <c r="AN507" t="s">
        <v>10222</v>
      </c>
      <c r="AO507" t="s">
        <v>10223</v>
      </c>
      <c r="AP507" t="s">
        <v>10224</v>
      </c>
      <c r="AQ507" t="s">
        <v>74</v>
      </c>
      <c r="AR507" t="s">
        <v>10225</v>
      </c>
      <c r="AS507" t="s">
        <v>10226</v>
      </c>
      <c r="AT507" t="s">
        <v>1809</v>
      </c>
      <c r="AU507">
        <v>2021</v>
      </c>
      <c r="AV507">
        <v>109</v>
      </c>
      <c r="AW507">
        <v>1</v>
      </c>
      <c r="AX507" t="s">
        <v>74</v>
      </c>
      <c r="AY507" t="s">
        <v>74</v>
      </c>
      <c r="AZ507" t="s">
        <v>74</v>
      </c>
      <c r="BA507" t="s">
        <v>74</v>
      </c>
      <c r="BB507">
        <v>138</v>
      </c>
      <c r="BC507">
        <v>156</v>
      </c>
      <c r="BD507" t="s">
        <v>74</v>
      </c>
      <c r="BE507" t="s">
        <v>10227</v>
      </c>
      <c r="BF507" t="str">
        <f>HYPERLINK("http://dx.doi.org/10.1643/i2019318","http://dx.doi.org/10.1643/i2019318")</f>
        <v>http://dx.doi.org/10.1643/i2019318</v>
      </c>
      <c r="BG507" t="s">
        <v>74</v>
      </c>
      <c r="BH507" t="s">
        <v>74</v>
      </c>
      <c r="BI507">
        <v>19</v>
      </c>
      <c r="BJ507" t="s">
        <v>1229</v>
      </c>
      <c r="BK507" t="s">
        <v>101</v>
      </c>
      <c r="BL507" t="s">
        <v>1229</v>
      </c>
      <c r="BM507" t="s">
        <v>10228</v>
      </c>
      <c r="BN507" t="s">
        <v>74</v>
      </c>
      <c r="BO507" t="s">
        <v>712</v>
      </c>
      <c r="BP507" t="s">
        <v>74</v>
      </c>
      <c r="BQ507" t="s">
        <v>74</v>
      </c>
      <c r="BR507" t="s">
        <v>104</v>
      </c>
      <c r="BS507" t="s">
        <v>10229</v>
      </c>
      <c r="BT507" t="str">
        <f>HYPERLINK("https%3A%2F%2Fwww.webofscience.com%2Fwos%2Fwoscc%2Ffull-record%2FWOS:000657161700015","View Full Record in Web of Science")</f>
        <v>View Full Record in Web of Science</v>
      </c>
    </row>
    <row r="508" spans="1:72" x14ac:dyDescent="0.15">
      <c r="A508" t="s">
        <v>72</v>
      </c>
      <c r="B508" t="s">
        <v>10230</v>
      </c>
      <c r="C508" t="s">
        <v>74</v>
      </c>
      <c r="D508" t="s">
        <v>74</v>
      </c>
      <c r="E508" t="s">
        <v>74</v>
      </c>
      <c r="F508" t="s">
        <v>10231</v>
      </c>
      <c r="G508" t="s">
        <v>74</v>
      </c>
      <c r="H508" t="s">
        <v>74</v>
      </c>
      <c r="I508" t="s">
        <v>10232</v>
      </c>
      <c r="J508" t="s">
        <v>10233</v>
      </c>
      <c r="K508" t="s">
        <v>74</v>
      </c>
      <c r="L508" t="s">
        <v>74</v>
      </c>
      <c r="M508" t="s">
        <v>78</v>
      </c>
      <c r="N508" t="s">
        <v>79</v>
      </c>
      <c r="O508" t="s">
        <v>74</v>
      </c>
      <c r="P508" t="s">
        <v>74</v>
      </c>
      <c r="Q508" t="s">
        <v>74</v>
      </c>
      <c r="R508" t="s">
        <v>74</v>
      </c>
      <c r="S508" t="s">
        <v>74</v>
      </c>
      <c r="T508" t="s">
        <v>74</v>
      </c>
      <c r="U508" t="s">
        <v>10234</v>
      </c>
      <c r="V508" t="s">
        <v>10235</v>
      </c>
      <c r="W508" t="s">
        <v>10236</v>
      </c>
      <c r="X508" t="s">
        <v>10237</v>
      </c>
      <c r="Y508" t="s">
        <v>10238</v>
      </c>
      <c r="Z508" t="s">
        <v>10239</v>
      </c>
      <c r="AA508" t="s">
        <v>74</v>
      </c>
      <c r="AB508" t="s">
        <v>10240</v>
      </c>
      <c r="AC508" t="s">
        <v>10241</v>
      </c>
      <c r="AD508" t="s">
        <v>10242</v>
      </c>
      <c r="AE508" t="s">
        <v>10243</v>
      </c>
      <c r="AF508" t="s">
        <v>74</v>
      </c>
      <c r="AG508">
        <v>64</v>
      </c>
      <c r="AH508">
        <v>0</v>
      </c>
      <c r="AI508">
        <v>0</v>
      </c>
      <c r="AJ508">
        <v>0</v>
      </c>
      <c r="AK508">
        <v>2</v>
      </c>
      <c r="AL508" t="s">
        <v>10244</v>
      </c>
      <c r="AM508" t="s">
        <v>10245</v>
      </c>
      <c r="AN508" t="s">
        <v>10246</v>
      </c>
      <c r="AO508" t="s">
        <v>10247</v>
      </c>
      <c r="AP508" t="s">
        <v>10248</v>
      </c>
      <c r="AQ508" t="s">
        <v>74</v>
      </c>
      <c r="AR508" t="s">
        <v>10249</v>
      </c>
      <c r="AS508" t="s">
        <v>10250</v>
      </c>
      <c r="AT508" t="s">
        <v>10159</v>
      </c>
      <c r="AU508">
        <v>2021</v>
      </c>
      <c r="AV508">
        <v>26</v>
      </c>
      <c r="AW508">
        <v>1</v>
      </c>
      <c r="AX508" t="s">
        <v>74</v>
      </c>
      <c r="AY508" t="s">
        <v>74</v>
      </c>
      <c r="AZ508" t="s">
        <v>74</v>
      </c>
      <c r="BA508" t="s">
        <v>74</v>
      </c>
      <c r="BB508">
        <v>105</v>
      </c>
      <c r="BC508">
        <v>120</v>
      </c>
      <c r="BD508" t="s">
        <v>74</v>
      </c>
      <c r="BE508" t="s">
        <v>10251</v>
      </c>
      <c r="BF508" t="str">
        <f>HYPERLINK("http://dx.doi.org/10.2979/ethicsenviro.26.1.05","http://dx.doi.org/10.2979/ethicsenviro.26.1.05")</f>
        <v>http://dx.doi.org/10.2979/ethicsenviro.26.1.05</v>
      </c>
      <c r="BG508" t="s">
        <v>74</v>
      </c>
      <c r="BH508" t="s">
        <v>74</v>
      </c>
      <c r="BI508">
        <v>16</v>
      </c>
      <c r="BJ508" t="s">
        <v>10252</v>
      </c>
      <c r="BK508" t="s">
        <v>342</v>
      </c>
      <c r="BL508" t="s">
        <v>10252</v>
      </c>
      <c r="BM508" t="s">
        <v>10253</v>
      </c>
      <c r="BN508" t="s">
        <v>74</v>
      </c>
      <c r="BO508" t="s">
        <v>74</v>
      </c>
      <c r="BP508" t="s">
        <v>74</v>
      </c>
      <c r="BQ508" t="s">
        <v>74</v>
      </c>
      <c r="BR508" t="s">
        <v>104</v>
      </c>
      <c r="BS508" t="s">
        <v>10254</v>
      </c>
      <c r="BT508" t="str">
        <f>HYPERLINK("https%3A%2F%2Fwww.webofscience.com%2Fwos%2Fwoscc%2Ffull-record%2FWOS:000658364500005","View Full Record in Web of Science")</f>
        <v>View Full Record in Web of Science</v>
      </c>
    </row>
    <row r="509" spans="1:72" x14ac:dyDescent="0.15">
      <c r="A509" t="s">
        <v>72</v>
      </c>
      <c r="B509" t="s">
        <v>10255</v>
      </c>
      <c r="C509" t="s">
        <v>74</v>
      </c>
      <c r="D509" t="s">
        <v>74</v>
      </c>
      <c r="E509" t="s">
        <v>74</v>
      </c>
      <c r="F509" t="s">
        <v>10256</v>
      </c>
      <c r="G509" t="s">
        <v>74</v>
      </c>
      <c r="H509" t="s">
        <v>74</v>
      </c>
      <c r="I509" t="s">
        <v>10257</v>
      </c>
      <c r="J509" t="s">
        <v>4760</v>
      </c>
      <c r="K509" t="s">
        <v>74</v>
      </c>
      <c r="L509" t="s">
        <v>74</v>
      </c>
      <c r="M509" t="s">
        <v>78</v>
      </c>
      <c r="N509" t="s">
        <v>79</v>
      </c>
      <c r="O509" t="s">
        <v>74</v>
      </c>
      <c r="P509" t="s">
        <v>74</v>
      </c>
      <c r="Q509" t="s">
        <v>74</v>
      </c>
      <c r="R509" t="s">
        <v>74</v>
      </c>
      <c r="S509" t="s">
        <v>74</v>
      </c>
      <c r="T509" t="s">
        <v>10258</v>
      </c>
      <c r="U509" t="s">
        <v>74</v>
      </c>
      <c r="V509" t="s">
        <v>10259</v>
      </c>
      <c r="W509" t="s">
        <v>10260</v>
      </c>
      <c r="X509" t="s">
        <v>10261</v>
      </c>
      <c r="Y509" t="s">
        <v>10262</v>
      </c>
      <c r="Z509" t="s">
        <v>10263</v>
      </c>
      <c r="AA509" t="s">
        <v>10264</v>
      </c>
      <c r="AB509" t="s">
        <v>10265</v>
      </c>
      <c r="AC509" t="s">
        <v>10266</v>
      </c>
      <c r="AD509" t="s">
        <v>10267</v>
      </c>
      <c r="AE509" t="s">
        <v>10268</v>
      </c>
      <c r="AF509" t="s">
        <v>74</v>
      </c>
      <c r="AG509">
        <v>16</v>
      </c>
      <c r="AH509">
        <v>5</v>
      </c>
      <c r="AI509">
        <v>5</v>
      </c>
      <c r="AJ509">
        <v>1</v>
      </c>
      <c r="AK509">
        <v>9</v>
      </c>
      <c r="AL509" t="s">
        <v>120</v>
      </c>
      <c r="AM509" t="s">
        <v>121</v>
      </c>
      <c r="AN509" t="s">
        <v>122</v>
      </c>
      <c r="AO509" t="s">
        <v>4771</v>
      </c>
      <c r="AP509" t="s">
        <v>4772</v>
      </c>
      <c r="AQ509" t="s">
        <v>74</v>
      </c>
      <c r="AR509" t="s">
        <v>4773</v>
      </c>
      <c r="AS509" t="s">
        <v>4774</v>
      </c>
      <c r="AT509" t="s">
        <v>1809</v>
      </c>
      <c r="AU509">
        <v>2021</v>
      </c>
      <c r="AV509">
        <v>38</v>
      </c>
      <c r="AW509">
        <v>3</v>
      </c>
      <c r="AX509" t="s">
        <v>74</v>
      </c>
      <c r="AY509" t="s">
        <v>74</v>
      </c>
      <c r="AZ509" t="s">
        <v>74</v>
      </c>
      <c r="BA509" t="s">
        <v>74</v>
      </c>
      <c r="BB509">
        <v>525</v>
      </c>
      <c r="BC509">
        <v>536</v>
      </c>
      <c r="BD509" t="s">
        <v>74</v>
      </c>
      <c r="BE509" t="s">
        <v>10269</v>
      </c>
      <c r="BF509" t="str">
        <f>HYPERLINK("http://dx.doi.org/10.1175/JTECH-D-20-0090.1","http://dx.doi.org/10.1175/JTECH-D-20-0090.1")</f>
        <v>http://dx.doi.org/10.1175/JTECH-D-20-0090.1</v>
      </c>
      <c r="BG509" t="s">
        <v>74</v>
      </c>
      <c r="BH509" t="s">
        <v>74</v>
      </c>
      <c r="BI509">
        <v>12</v>
      </c>
      <c r="BJ509" t="s">
        <v>4776</v>
      </c>
      <c r="BK509" t="s">
        <v>101</v>
      </c>
      <c r="BL509" t="s">
        <v>4777</v>
      </c>
      <c r="BM509" t="s">
        <v>10270</v>
      </c>
      <c r="BN509" t="s">
        <v>74</v>
      </c>
      <c r="BO509" t="s">
        <v>74</v>
      </c>
      <c r="BP509" t="s">
        <v>74</v>
      </c>
      <c r="BQ509" t="s">
        <v>74</v>
      </c>
      <c r="BR509" t="s">
        <v>104</v>
      </c>
      <c r="BS509" t="s">
        <v>10271</v>
      </c>
      <c r="BT509" t="str">
        <f>HYPERLINK("https%3A%2F%2Fwww.webofscience.com%2Fwos%2Fwoscc%2Ffull-record%2FWOS:000646372600008","View Full Record in Web of Science")</f>
        <v>View Full Record in Web of Science</v>
      </c>
    </row>
    <row r="510" spans="1:72" x14ac:dyDescent="0.15">
      <c r="A510" t="s">
        <v>72</v>
      </c>
      <c r="B510" t="s">
        <v>10272</v>
      </c>
      <c r="C510" t="s">
        <v>74</v>
      </c>
      <c r="D510" t="s">
        <v>74</v>
      </c>
      <c r="E510" t="s">
        <v>74</v>
      </c>
      <c r="F510" t="s">
        <v>10273</v>
      </c>
      <c r="G510" t="s">
        <v>74</v>
      </c>
      <c r="H510" t="s">
        <v>74</v>
      </c>
      <c r="I510" t="s">
        <v>10274</v>
      </c>
      <c r="J510" t="s">
        <v>10275</v>
      </c>
      <c r="K510" t="s">
        <v>74</v>
      </c>
      <c r="L510" t="s">
        <v>74</v>
      </c>
      <c r="M510" t="s">
        <v>78</v>
      </c>
      <c r="N510" t="s">
        <v>79</v>
      </c>
      <c r="O510" t="s">
        <v>74</v>
      </c>
      <c r="P510" t="s">
        <v>74</v>
      </c>
      <c r="Q510" t="s">
        <v>74</v>
      </c>
      <c r="R510" t="s">
        <v>74</v>
      </c>
      <c r="S510" t="s">
        <v>74</v>
      </c>
      <c r="T510" t="s">
        <v>10276</v>
      </c>
      <c r="U510" t="s">
        <v>10277</v>
      </c>
      <c r="V510" t="s">
        <v>10278</v>
      </c>
      <c r="W510" t="s">
        <v>10279</v>
      </c>
      <c r="X510" t="s">
        <v>10280</v>
      </c>
      <c r="Y510" t="s">
        <v>10281</v>
      </c>
      <c r="Z510" t="s">
        <v>10282</v>
      </c>
      <c r="AA510" t="s">
        <v>10283</v>
      </c>
      <c r="AB510" t="s">
        <v>74</v>
      </c>
      <c r="AC510" t="s">
        <v>10284</v>
      </c>
      <c r="AD510" t="s">
        <v>10285</v>
      </c>
      <c r="AE510" t="s">
        <v>10286</v>
      </c>
      <c r="AF510" t="s">
        <v>74</v>
      </c>
      <c r="AG510">
        <v>33</v>
      </c>
      <c r="AH510">
        <v>1</v>
      </c>
      <c r="AI510">
        <v>1</v>
      </c>
      <c r="AJ510">
        <v>0</v>
      </c>
      <c r="AK510">
        <v>0</v>
      </c>
      <c r="AL510" t="s">
        <v>10287</v>
      </c>
      <c r="AM510" t="s">
        <v>8288</v>
      </c>
      <c r="AN510" t="s">
        <v>10288</v>
      </c>
      <c r="AO510" t="s">
        <v>10289</v>
      </c>
      <c r="AP510" t="s">
        <v>74</v>
      </c>
      <c r="AQ510" t="s">
        <v>74</v>
      </c>
      <c r="AR510" t="s">
        <v>10290</v>
      </c>
      <c r="AS510" t="s">
        <v>10291</v>
      </c>
      <c r="AT510" t="s">
        <v>1809</v>
      </c>
      <c r="AU510">
        <v>2021</v>
      </c>
      <c r="AV510">
        <v>73</v>
      </c>
      <c r="AW510">
        <v>1</v>
      </c>
      <c r="AX510" t="s">
        <v>74</v>
      </c>
      <c r="AY510" t="s">
        <v>74</v>
      </c>
      <c r="AZ510" t="s">
        <v>74</v>
      </c>
      <c r="BA510" t="s">
        <v>74</v>
      </c>
      <c r="BB510">
        <v>71</v>
      </c>
      <c r="BC510">
        <v>76</v>
      </c>
      <c r="BD510" t="s">
        <v>74</v>
      </c>
      <c r="BE510" t="s">
        <v>74</v>
      </c>
      <c r="BF510" t="s">
        <v>74</v>
      </c>
      <c r="BG510" t="s">
        <v>74</v>
      </c>
      <c r="BH510" t="s">
        <v>74</v>
      </c>
      <c r="BI510">
        <v>6</v>
      </c>
      <c r="BJ510" t="s">
        <v>1229</v>
      </c>
      <c r="BK510" t="s">
        <v>101</v>
      </c>
      <c r="BL510" t="s">
        <v>1229</v>
      </c>
      <c r="BM510" t="s">
        <v>10292</v>
      </c>
      <c r="BN510" t="s">
        <v>74</v>
      </c>
      <c r="BO510" t="s">
        <v>74</v>
      </c>
      <c r="BP510" t="s">
        <v>74</v>
      </c>
      <c r="BQ510" t="s">
        <v>74</v>
      </c>
      <c r="BR510" t="s">
        <v>104</v>
      </c>
      <c r="BS510" t="s">
        <v>10293</v>
      </c>
      <c r="BT510" t="str">
        <f>HYPERLINK("https%3A%2F%2Fwww.webofscience.com%2Fwos%2Fwoscc%2Ffull-record%2FWOS:000647286300009","View Full Record in Web of Science")</f>
        <v>View Full Record in Web of Science</v>
      </c>
    </row>
    <row r="511" spans="1:72" x14ac:dyDescent="0.15">
      <c r="A511" t="s">
        <v>72</v>
      </c>
      <c r="B511" t="s">
        <v>10294</v>
      </c>
      <c r="C511" t="s">
        <v>74</v>
      </c>
      <c r="D511" t="s">
        <v>74</v>
      </c>
      <c r="E511" t="s">
        <v>74</v>
      </c>
      <c r="F511" t="s">
        <v>10295</v>
      </c>
      <c r="G511" t="s">
        <v>74</v>
      </c>
      <c r="H511" t="s">
        <v>74</v>
      </c>
      <c r="I511" t="s">
        <v>10296</v>
      </c>
      <c r="J511" t="s">
        <v>350</v>
      </c>
      <c r="K511" t="s">
        <v>74</v>
      </c>
      <c r="L511" t="s">
        <v>74</v>
      </c>
      <c r="M511" t="s">
        <v>78</v>
      </c>
      <c r="N511" t="s">
        <v>79</v>
      </c>
      <c r="O511" t="s">
        <v>74</v>
      </c>
      <c r="P511" t="s">
        <v>74</v>
      </c>
      <c r="Q511" t="s">
        <v>74</v>
      </c>
      <c r="R511" t="s">
        <v>74</v>
      </c>
      <c r="S511" t="s">
        <v>74</v>
      </c>
      <c r="T511" t="s">
        <v>10297</v>
      </c>
      <c r="U511" t="s">
        <v>10298</v>
      </c>
      <c r="V511" t="s">
        <v>10299</v>
      </c>
      <c r="W511" t="s">
        <v>10300</v>
      </c>
      <c r="X511" t="s">
        <v>10301</v>
      </c>
      <c r="Y511" t="s">
        <v>10302</v>
      </c>
      <c r="Z511" t="s">
        <v>10303</v>
      </c>
      <c r="AA511" t="s">
        <v>74</v>
      </c>
      <c r="AB511" t="s">
        <v>10304</v>
      </c>
      <c r="AC511" t="s">
        <v>10305</v>
      </c>
      <c r="AD511" t="s">
        <v>10306</v>
      </c>
      <c r="AE511" t="s">
        <v>10307</v>
      </c>
      <c r="AF511" t="s">
        <v>74</v>
      </c>
      <c r="AG511">
        <v>59</v>
      </c>
      <c r="AH511">
        <v>8</v>
      </c>
      <c r="AI511">
        <v>8</v>
      </c>
      <c r="AJ511">
        <v>0</v>
      </c>
      <c r="AK511">
        <v>10</v>
      </c>
      <c r="AL511" t="s">
        <v>120</v>
      </c>
      <c r="AM511" t="s">
        <v>121</v>
      </c>
      <c r="AN511" t="s">
        <v>363</v>
      </c>
      <c r="AO511" t="s">
        <v>364</v>
      </c>
      <c r="AP511" t="s">
        <v>365</v>
      </c>
      <c r="AQ511" t="s">
        <v>74</v>
      </c>
      <c r="AR511" t="s">
        <v>366</v>
      </c>
      <c r="AS511" t="s">
        <v>367</v>
      </c>
      <c r="AT511" t="s">
        <v>1809</v>
      </c>
      <c r="AU511">
        <v>2021</v>
      </c>
      <c r="AV511">
        <v>51</v>
      </c>
      <c r="AW511">
        <v>3</v>
      </c>
      <c r="AX511" t="s">
        <v>74</v>
      </c>
      <c r="AY511" t="s">
        <v>74</v>
      </c>
      <c r="AZ511" t="s">
        <v>74</v>
      </c>
      <c r="BA511" t="s">
        <v>74</v>
      </c>
      <c r="BB511">
        <v>727</v>
      </c>
      <c r="BC511">
        <v>744</v>
      </c>
      <c r="BD511" t="s">
        <v>74</v>
      </c>
      <c r="BE511" t="s">
        <v>10308</v>
      </c>
      <c r="BF511" t="str">
        <f>HYPERLINK("http://dx.doi.org/10.1175/JPO-D-20-0139.1","http://dx.doi.org/10.1175/JPO-D-20-0139.1")</f>
        <v>http://dx.doi.org/10.1175/JPO-D-20-0139.1</v>
      </c>
      <c r="BG511" t="s">
        <v>74</v>
      </c>
      <c r="BH511" t="s">
        <v>74</v>
      </c>
      <c r="BI511">
        <v>18</v>
      </c>
      <c r="BJ511" t="s">
        <v>369</v>
      </c>
      <c r="BK511" t="s">
        <v>101</v>
      </c>
      <c r="BL511" t="s">
        <v>369</v>
      </c>
      <c r="BM511" t="s">
        <v>10309</v>
      </c>
      <c r="BN511" t="s">
        <v>74</v>
      </c>
      <c r="BO511" t="s">
        <v>5118</v>
      </c>
      <c r="BP511" t="s">
        <v>74</v>
      </c>
      <c r="BQ511" t="s">
        <v>74</v>
      </c>
      <c r="BR511" t="s">
        <v>104</v>
      </c>
      <c r="BS511" t="s">
        <v>10310</v>
      </c>
      <c r="BT511" t="str">
        <f>HYPERLINK("https%3A%2F%2Fwww.webofscience.com%2Fwos%2Fwoscc%2Ffull-record%2FWOS:000646380100005","View Full Record in Web of Science")</f>
        <v>View Full Record in Web of Science</v>
      </c>
    </row>
    <row r="512" spans="1:72" x14ac:dyDescent="0.15">
      <c r="A512" t="s">
        <v>72</v>
      </c>
      <c r="B512" t="s">
        <v>10311</v>
      </c>
      <c r="C512" t="s">
        <v>74</v>
      </c>
      <c r="D512" t="s">
        <v>74</v>
      </c>
      <c r="E512" t="s">
        <v>74</v>
      </c>
      <c r="F512" t="s">
        <v>10312</v>
      </c>
      <c r="G512" t="s">
        <v>74</v>
      </c>
      <c r="H512" t="s">
        <v>74</v>
      </c>
      <c r="I512" t="s">
        <v>10313</v>
      </c>
      <c r="J512" t="s">
        <v>350</v>
      </c>
      <c r="K512" t="s">
        <v>74</v>
      </c>
      <c r="L512" t="s">
        <v>74</v>
      </c>
      <c r="M512" t="s">
        <v>78</v>
      </c>
      <c r="N512" t="s">
        <v>79</v>
      </c>
      <c r="O512" t="s">
        <v>74</v>
      </c>
      <c r="P512" t="s">
        <v>74</v>
      </c>
      <c r="Q512" t="s">
        <v>74</v>
      </c>
      <c r="R512" t="s">
        <v>74</v>
      </c>
      <c r="S512" t="s">
        <v>74</v>
      </c>
      <c r="T512" t="s">
        <v>10314</v>
      </c>
      <c r="U512" t="s">
        <v>10315</v>
      </c>
      <c r="V512" t="s">
        <v>10316</v>
      </c>
      <c r="W512" t="s">
        <v>10317</v>
      </c>
      <c r="X512" t="s">
        <v>10318</v>
      </c>
      <c r="Y512" t="s">
        <v>10319</v>
      </c>
      <c r="Z512" t="s">
        <v>10320</v>
      </c>
      <c r="AA512" t="s">
        <v>74</v>
      </c>
      <c r="AB512" t="s">
        <v>10321</v>
      </c>
      <c r="AC512" t="s">
        <v>10322</v>
      </c>
      <c r="AD512" t="s">
        <v>4449</v>
      </c>
      <c r="AE512" t="s">
        <v>10323</v>
      </c>
      <c r="AF512" t="s">
        <v>74</v>
      </c>
      <c r="AG512">
        <v>33</v>
      </c>
      <c r="AH512">
        <v>4</v>
      </c>
      <c r="AI512">
        <v>4</v>
      </c>
      <c r="AJ512">
        <v>0</v>
      </c>
      <c r="AK512">
        <v>2</v>
      </c>
      <c r="AL512" t="s">
        <v>120</v>
      </c>
      <c r="AM512" t="s">
        <v>121</v>
      </c>
      <c r="AN512" t="s">
        <v>122</v>
      </c>
      <c r="AO512" t="s">
        <v>364</v>
      </c>
      <c r="AP512" t="s">
        <v>365</v>
      </c>
      <c r="AQ512" t="s">
        <v>74</v>
      </c>
      <c r="AR512" t="s">
        <v>366</v>
      </c>
      <c r="AS512" t="s">
        <v>367</v>
      </c>
      <c r="AT512" t="s">
        <v>1809</v>
      </c>
      <c r="AU512">
        <v>2021</v>
      </c>
      <c r="AV512">
        <v>51</v>
      </c>
      <c r="AW512">
        <v>3</v>
      </c>
      <c r="AX512" t="s">
        <v>74</v>
      </c>
      <c r="AY512" t="s">
        <v>74</v>
      </c>
      <c r="AZ512" t="s">
        <v>74</v>
      </c>
      <c r="BA512" t="s">
        <v>74</v>
      </c>
      <c r="BB512">
        <v>757</v>
      </c>
      <c r="BC512">
        <v>767</v>
      </c>
      <c r="BD512" t="s">
        <v>74</v>
      </c>
      <c r="BE512" t="s">
        <v>10324</v>
      </c>
      <c r="BF512" t="str">
        <f>HYPERLINK("http://dx.doi.org/10.1175/JPO-D-20-0194.1","http://dx.doi.org/10.1175/JPO-D-20-0194.1")</f>
        <v>http://dx.doi.org/10.1175/JPO-D-20-0194.1</v>
      </c>
      <c r="BG512" t="s">
        <v>74</v>
      </c>
      <c r="BH512" t="s">
        <v>74</v>
      </c>
      <c r="BI512">
        <v>11</v>
      </c>
      <c r="BJ512" t="s">
        <v>369</v>
      </c>
      <c r="BK512" t="s">
        <v>101</v>
      </c>
      <c r="BL512" t="s">
        <v>369</v>
      </c>
      <c r="BM512" t="s">
        <v>10309</v>
      </c>
      <c r="BN512" t="s">
        <v>74</v>
      </c>
      <c r="BO512" t="s">
        <v>496</v>
      </c>
      <c r="BP512" t="s">
        <v>74</v>
      </c>
      <c r="BQ512" t="s">
        <v>74</v>
      </c>
      <c r="BR512" t="s">
        <v>104</v>
      </c>
      <c r="BS512" t="s">
        <v>10325</v>
      </c>
      <c r="BT512" t="str">
        <f>HYPERLINK("https%3A%2F%2Fwww.webofscience.com%2Fwos%2Fwoscc%2Ffull-record%2FWOS:000646380100007","View Full Record in Web of Science")</f>
        <v>View Full Record in Web of Science</v>
      </c>
    </row>
    <row r="513" spans="1:72" x14ac:dyDescent="0.15">
      <c r="A513" t="s">
        <v>72</v>
      </c>
      <c r="B513" t="s">
        <v>10326</v>
      </c>
      <c r="C513" t="s">
        <v>74</v>
      </c>
      <c r="D513" t="s">
        <v>74</v>
      </c>
      <c r="E513" t="s">
        <v>74</v>
      </c>
      <c r="F513" t="s">
        <v>10327</v>
      </c>
      <c r="G513" t="s">
        <v>74</v>
      </c>
      <c r="H513" t="s">
        <v>74</v>
      </c>
      <c r="I513" t="s">
        <v>10328</v>
      </c>
      <c r="J513" t="s">
        <v>350</v>
      </c>
      <c r="K513" t="s">
        <v>74</v>
      </c>
      <c r="L513" t="s">
        <v>74</v>
      </c>
      <c r="M513" t="s">
        <v>78</v>
      </c>
      <c r="N513" t="s">
        <v>79</v>
      </c>
      <c r="O513" t="s">
        <v>74</v>
      </c>
      <c r="P513" t="s">
        <v>74</v>
      </c>
      <c r="Q513" t="s">
        <v>74</v>
      </c>
      <c r="R513" t="s">
        <v>74</v>
      </c>
      <c r="S513" t="s">
        <v>74</v>
      </c>
      <c r="T513" t="s">
        <v>10329</v>
      </c>
      <c r="U513" t="s">
        <v>10330</v>
      </c>
      <c r="V513" t="s">
        <v>10331</v>
      </c>
      <c r="W513" t="s">
        <v>10332</v>
      </c>
      <c r="X513" t="s">
        <v>10333</v>
      </c>
      <c r="Y513" t="s">
        <v>10334</v>
      </c>
      <c r="Z513" t="s">
        <v>10335</v>
      </c>
      <c r="AA513" t="s">
        <v>10336</v>
      </c>
      <c r="AB513" t="s">
        <v>10337</v>
      </c>
      <c r="AC513" t="s">
        <v>10338</v>
      </c>
      <c r="AD513" t="s">
        <v>10339</v>
      </c>
      <c r="AE513" t="s">
        <v>10340</v>
      </c>
      <c r="AF513" t="s">
        <v>74</v>
      </c>
      <c r="AG513">
        <v>79</v>
      </c>
      <c r="AH513">
        <v>2</v>
      </c>
      <c r="AI513">
        <v>3</v>
      </c>
      <c r="AJ513">
        <v>2</v>
      </c>
      <c r="AK513">
        <v>21</v>
      </c>
      <c r="AL513" t="s">
        <v>120</v>
      </c>
      <c r="AM513" t="s">
        <v>121</v>
      </c>
      <c r="AN513" t="s">
        <v>122</v>
      </c>
      <c r="AO513" t="s">
        <v>364</v>
      </c>
      <c r="AP513" t="s">
        <v>365</v>
      </c>
      <c r="AQ513" t="s">
        <v>74</v>
      </c>
      <c r="AR513" t="s">
        <v>366</v>
      </c>
      <c r="AS513" t="s">
        <v>367</v>
      </c>
      <c r="AT513" t="s">
        <v>1809</v>
      </c>
      <c r="AU513">
        <v>2021</v>
      </c>
      <c r="AV513">
        <v>51</v>
      </c>
      <c r="AW513">
        <v>3</v>
      </c>
      <c r="AX513" t="s">
        <v>74</v>
      </c>
      <c r="AY513" t="s">
        <v>74</v>
      </c>
      <c r="AZ513" t="s">
        <v>74</v>
      </c>
      <c r="BA513" t="s">
        <v>74</v>
      </c>
      <c r="BB513">
        <v>809</v>
      </c>
      <c r="BC513">
        <v>824</v>
      </c>
      <c r="BD513" t="s">
        <v>74</v>
      </c>
      <c r="BE513" t="s">
        <v>10341</v>
      </c>
      <c r="BF513" t="str">
        <f>HYPERLINK("http://dx.doi.org/10.1175/JPO-D-20-0053.1","http://dx.doi.org/10.1175/JPO-D-20-0053.1")</f>
        <v>http://dx.doi.org/10.1175/JPO-D-20-0053.1</v>
      </c>
      <c r="BG513" t="s">
        <v>74</v>
      </c>
      <c r="BH513" t="s">
        <v>74</v>
      </c>
      <c r="BI513">
        <v>16</v>
      </c>
      <c r="BJ513" t="s">
        <v>369</v>
      </c>
      <c r="BK513" t="s">
        <v>101</v>
      </c>
      <c r="BL513" t="s">
        <v>369</v>
      </c>
      <c r="BM513" t="s">
        <v>10309</v>
      </c>
      <c r="BN513" t="s">
        <v>74</v>
      </c>
      <c r="BO513" t="s">
        <v>74</v>
      </c>
      <c r="BP513" t="s">
        <v>74</v>
      </c>
      <c r="BQ513" t="s">
        <v>74</v>
      </c>
      <c r="BR513" t="s">
        <v>104</v>
      </c>
      <c r="BS513" t="s">
        <v>10342</v>
      </c>
      <c r="BT513" t="str">
        <f>HYPERLINK("https%3A%2F%2Fwww.webofscience.com%2Fwos%2Fwoscc%2Ffull-record%2FWOS:000646380100010","View Full Record in Web of Science")</f>
        <v>View Full Record in Web of Science</v>
      </c>
    </row>
    <row r="514" spans="1:72" x14ac:dyDescent="0.15">
      <c r="A514" t="s">
        <v>72</v>
      </c>
      <c r="B514" t="s">
        <v>10343</v>
      </c>
      <c r="C514" t="s">
        <v>74</v>
      </c>
      <c r="D514" t="s">
        <v>74</v>
      </c>
      <c r="E514" t="s">
        <v>74</v>
      </c>
      <c r="F514" t="s">
        <v>10344</v>
      </c>
      <c r="G514" t="s">
        <v>74</v>
      </c>
      <c r="H514" t="s">
        <v>74</v>
      </c>
      <c r="I514" t="s">
        <v>10345</v>
      </c>
      <c r="J514" t="s">
        <v>350</v>
      </c>
      <c r="K514" t="s">
        <v>74</v>
      </c>
      <c r="L514" t="s">
        <v>74</v>
      </c>
      <c r="M514" t="s">
        <v>78</v>
      </c>
      <c r="N514" t="s">
        <v>79</v>
      </c>
      <c r="O514" t="s">
        <v>74</v>
      </c>
      <c r="P514" t="s">
        <v>74</v>
      </c>
      <c r="Q514" t="s">
        <v>74</v>
      </c>
      <c r="R514" t="s">
        <v>74</v>
      </c>
      <c r="S514" t="s">
        <v>74</v>
      </c>
      <c r="T514" t="s">
        <v>10346</v>
      </c>
      <c r="U514" t="s">
        <v>10347</v>
      </c>
      <c r="V514" t="s">
        <v>10348</v>
      </c>
      <c r="W514" t="s">
        <v>10349</v>
      </c>
      <c r="X514" t="s">
        <v>10350</v>
      </c>
      <c r="Y514" t="s">
        <v>10351</v>
      </c>
      <c r="Z514" t="s">
        <v>10352</v>
      </c>
      <c r="AA514" t="s">
        <v>10353</v>
      </c>
      <c r="AB514" t="s">
        <v>10354</v>
      </c>
      <c r="AC514" t="s">
        <v>10355</v>
      </c>
      <c r="AD514" t="s">
        <v>10356</v>
      </c>
      <c r="AE514" t="s">
        <v>10357</v>
      </c>
      <c r="AF514" t="s">
        <v>74</v>
      </c>
      <c r="AG514">
        <v>48</v>
      </c>
      <c r="AH514">
        <v>10</v>
      </c>
      <c r="AI514">
        <v>10</v>
      </c>
      <c r="AJ514">
        <v>1</v>
      </c>
      <c r="AK514">
        <v>4</v>
      </c>
      <c r="AL514" t="s">
        <v>120</v>
      </c>
      <c r="AM514" t="s">
        <v>121</v>
      </c>
      <c r="AN514" t="s">
        <v>122</v>
      </c>
      <c r="AO514" t="s">
        <v>364</v>
      </c>
      <c r="AP514" t="s">
        <v>365</v>
      </c>
      <c r="AQ514" t="s">
        <v>74</v>
      </c>
      <c r="AR514" t="s">
        <v>366</v>
      </c>
      <c r="AS514" t="s">
        <v>367</v>
      </c>
      <c r="AT514" t="s">
        <v>1809</v>
      </c>
      <c r="AU514">
        <v>2021</v>
      </c>
      <c r="AV514">
        <v>51</v>
      </c>
      <c r="AW514">
        <v>3</v>
      </c>
      <c r="AX514" t="s">
        <v>74</v>
      </c>
      <c r="AY514" t="s">
        <v>74</v>
      </c>
      <c r="AZ514" t="s">
        <v>74</v>
      </c>
      <c r="BA514" t="s">
        <v>74</v>
      </c>
      <c r="BB514">
        <v>825</v>
      </c>
      <c r="BC514">
        <v>843</v>
      </c>
      <c r="BD514" t="s">
        <v>74</v>
      </c>
      <c r="BE514" t="s">
        <v>10358</v>
      </c>
      <c r="BF514" t="str">
        <f>HYPERLINK("http://dx.doi.org/10.1175/JPO-D-20-0142.1","http://dx.doi.org/10.1175/JPO-D-20-0142.1")</f>
        <v>http://dx.doi.org/10.1175/JPO-D-20-0142.1</v>
      </c>
      <c r="BG514" t="s">
        <v>74</v>
      </c>
      <c r="BH514" t="s">
        <v>74</v>
      </c>
      <c r="BI514">
        <v>19</v>
      </c>
      <c r="BJ514" t="s">
        <v>369</v>
      </c>
      <c r="BK514" t="s">
        <v>101</v>
      </c>
      <c r="BL514" t="s">
        <v>369</v>
      </c>
      <c r="BM514" t="s">
        <v>10309</v>
      </c>
      <c r="BN514" t="s">
        <v>74</v>
      </c>
      <c r="BO514" t="s">
        <v>148</v>
      </c>
      <c r="BP514" t="s">
        <v>74</v>
      </c>
      <c r="BQ514" t="s">
        <v>74</v>
      </c>
      <c r="BR514" t="s">
        <v>104</v>
      </c>
      <c r="BS514" t="s">
        <v>10359</v>
      </c>
      <c r="BT514" t="str">
        <f>HYPERLINK("https%3A%2F%2Fwww.webofscience.com%2Fwos%2Fwoscc%2Ffull-record%2FWOS:000646380100011","View Full Record in Web of Science")</f>
        <v>View Full Record in Web of Science</v>
      </c>
    </row>
    <row r="515" spans="1:72" x14ac:dyDescent="0.15">
      <c r="A515" t="s">
        <v>72</v>
      </c>
      <c r="B515" t="s">
        <v>10360</v>
      </c>
      <c r="C515" t="s">
        <v>74</v>
      </c>
      <c r="D515" t="s">
        <v>74</v>
      </c>
      <c r="E515" t="s">
        <v>74</v>
      </c>
      <c r="F515" t="s">
        <v>10361</v>
      </c>
      <c r="G515" t="s">
        <v>74</v>
      </c>
      <c r="H515" t="s">
        <v>74</v>
      </c>
      <c r="I515" t="s">
        <v>10362</v>
      </c>
      <c r="J515" t="s">
        <v>10363</v>
      </c>
      <c r="K515" t="s">
        <v>74</v>
      </c>
      <c r="L515" t="s">
        <v>74</v>
      </c>
      <c r="M515" t="s">
        <v>78</v>
      </c>
      <c r="N515" t="s">
        <v>79</v>
      </c>
      <c r="O515" t="s">
        <v>74</v>
      </c>
      <c r="P515" t="s">
        <v>74</v>
      </c>
      <c r="Q515" t="s">
        <v>74</v>
      </c>
      <c r="R515" t="s">
        <v>74</v>
      </c>
      <c r="S515" t="s">
        <v>74</v>
      </c>
      <c r="T515" t="s">
        <v>10364</v>
      </c>
      <c r="U515" t="s">
        <v>74</v>
      </c>
      <c r="V515" t="s">
        <v>10365</v>
      </c>
      <c r="W515" t="s">
        <v>10366</v>
      </c>
      <c r="X515" t="s">
        <v>10367</v>
      </c>
      <c r="Y515" t="s">
        <v>10368</v>
      </c>
      <c r="Z515" t="s">
        <v>10369</v>
      </c>
      <c r="AA515" t="s">
        <v>74</v>
      </c>
      <c r="AB515" t="s">
        <v>74</v>
      </c>
      <c r="AC515" t="s">
        <v>74</v>
      </c>
      <c r="AD515" t="s">
        <v>74</v>
      </c>
      <c r="AE515" t="s">
        <v>74</v>
      </c>
      <c r="AF515" t="s">
        <v>74</v>
      </c>
      <c r="AG515">
        <v>28</v>
      </c>
      <c r="AH515">
        <v>0</v>
      </c>
      <c r="AI515">
        <v>0</v>
      </c>
      <c r="AJ515">
        <v>2</v>
      </c>
      <c r="AK515">
        <v>4</v>
      </c>
      <c r="AL515" t="s">
        <v>10370</v>
      </c>
      <c r="AM515" t="s">
        <v>167</v>
      </c>
      <c r="AN515" t="s">
        <v>10371</v>
      </c>
      <c r="AO515" t="s">
        <v>10372</v>
      </c>
      <c r="AP515" t="s">
        <v>10373</v>
      </c>
      <c r="AQ515" t="s">
        <v>74</v>
      </c>
      <c r="AR515" t="s">
        <v>10374</v>
      </c>
      <c r="AS515" t="s">
        <v>10375</v>
      </c>
      <c r="AT515" t="s">
        <v>1809</v>
      </c>
      <c r="AU515">
        <v>2021</v>
      </c>
      <c r="AV515">
        <v>47</v>
      </c>
      <c r="AW515">
        <v>2</v>
      </c>
      <c r="AX515" t="s">
        <v>74</v>
      </c>
      <c r="AY515" t="s">
        <v>74</v>
      </c>
      <c r="AZ515" t="s">
        <v>74</v>
      </c>
      <c r="BA515" t="s">
        <v>74</v>
      </c>
      <c r="BB515">
        <v>93</v>
      </c>
      <c r="BC515">
        <v>104</v>
      </c>
      <c r="BD515" t="s">
        <v>74</v>
      </c>
      <c r="BE515" t="s">
        <v>10376</v>
      </c>
      <c r="BF515" t="str">
        <f>HYPERLINK("http://dx.doi.org/10.1134/S1063074021020036","http://dx.doi.org/10.1134/S1063074021020036")</f>
        <v>http://dx.doi.org/10.1134/S1063074021020036</v>
      </c>
      <c r="BG515" t="s">
        <v>74</v>
      </c>
      <c r="BH515" t="s">
        <v>74</v>
      </c>
      <c r="BI515">
        <v>12</v>
      </c>
      <c r="BJ515" t="s">
        <v>494</v>
      </c>
      <c r="BK515" t="s">
        <v>101</v>
      </c>
      <c r="BL515" t="s">
        <v>494</v>
      </c>
      <c r="BM515" t="s">
        <v>10377</v>
      </c>
      <c r="BN515" t="s">
        <v>74</v>
      </c>
      <c r="BO515" t="s">
        <v>74</v>
      </c>
      <c r="BP515" t="s">
        <v>74</v>
      </c>
      <c r="BQ515" t="s">
        <v>74</v>
      </c>
      <c r="BR515" t="s">
        <v>104</v>
      </c>
      <c r="BS515" t="s">
        <v>10378</v>
      </c>
      <c r="BT515" t="str">
        <f>HYPERLINK("https%3A%2F%2Fwww.webofscience.com%2Fwos%2Fwoscc%2Ffull-record%2FWOS:000650625100003","View Full Record in Web of Science")</f>
        <v>View Full Record in Web of Science</v>
      </c>
    </row>
    <row r="516" spans="1:72" x14ac:dyDescent="0.15">
      <c r="A516" t="s">
        <v>72</v>
      </c>
      <c r="B516" t="s">
        <v>10379</v>
      </c>
      <c r="C516" t="s">
        <v>74</v>
      </c>
      <c r="D516" t="s">
        <v>74</v>
      </c>
      <c r="E516" t="s">
        <v>74</v>
      </c>
      <c r="F516" t="s">
        <v>10380</v>
      </c>
      <c r="G516" t="s">
        <v>74</v>
      </c>
      <c r="H516" t="s">
        <v>74</v>
      </c>
      <c r="I516" t="s">
        <v>10381</v>
      </c>
      <c r="J516" t="s">
        <v>1209</v>
      </c>
      <c r="K516" t="s">
        <v>74</v>
      </c>
      <c r="L516" t="s">
        <v>74</v>
      </c>
      <c r="M516" t="s">
        <v>78</v>
      </c>
      <c r="N516" t="s">
        <v>52</v>
      </c>
      <c r="O516" t="s">
        <v>10382</v>
      </c>
      <c r="P516" t="s">
        <v>10383</v>
      </c>
      <c r="Q516" t="s">
        <v>2940</v>
      </c>
      <c r="R516" t="s">
        <v>74</v>
      </c>
      <c r="S516" t="s">
        <v>74</v>
      </c>
      <c r="T516" t="s">
        <v>74</v>
      </c>
      <c r="U516" t="s">
        <v>74</v>
      </c>
      <c r="V516" t="s">
        <v>74</v>
      </c>
      <c r="W516" t="s">
        <v>10384</v>
      </c>
      <c r="X516" t="s">
        <v>10385</v>
      </c>
      <c r="Y516" t="s">
        <v>74</v>
      </c>
      <c r="Z516" t="s">
        <v>10386</v>
      </c>
      <c r="AA516" t="s">
        <v>74</v>
      </c>
      <c r="AB516" t="s">
        <v>74</v>
      </c>
      <c r="AC516" t="s">
        <v>74</v>
      </c>
      <c r="AD516" t="s">
        <v>74</v>
      </c>
      <c r="AE516" t="s">
        <v>74</v>
      </c>
      <c r="AF516" t="s">
        <v>74</v>
      </c>
      <c r="AG516">
        <v>0</v>
      </c>
      <c r="AH516">
        <v>0</v>
      </c>
      <c r="AI516">
        <v>0</v>
      </c>
      <c r="AJ516">
        <v>0</v>
      </c>
      <c r="AK516">
        <v>1</v>
      </c>
      <c r="AL516" t="s">
        <v>1221</v>
      </c>
      <c r="AM516" t="s">
        <v>1222</v>
      </c>
      <c r="AN516" t="s">
        <v>1223</v>
      </c>
      <c r="AO516" t="s">
        <v>1224</v>
      </c>
      <c r="AP516" t="s">
        <v>1225</v>
      </c>
      <c r="AQ516" t="s">
        <v>74</v>
      </c>
      <c r="AR516" t="s">
        <v>1226</v>
      </c>
      <c r="AS516" t="s">
        <v>1227</v>
      </c>
      <c r="AT516" t="s">
        <v>1809</v>
      </c>
      <c r="AU516">
        <v>2021</v>
      </c>
      <c r="AV516">
        <v>61</v>
      </c>
      <c r="AW516" t="s">
        <v>74</v>
      </c>
      <c r="AX516" t="s">
        <v>74</v>
      </c>
      <c r="AY516">
        <v>1</v>
      </c>
      <c r="AZ516" t="s">
        <v>74</v>
      </c>
      <c r="BA516" t="s">
        <v>10387</v>
      </c>
      <c r="BB516" t="s">
        <v>10388</v>
      </c>
      <c r="BC516" t="s">
        <v>10389</v>
      </c>
      <c r="BD516" t="s">
        <v>74</v>
      </c>
      <c r="BE516" t="s">
        <v>74</v>
      </c>
      <c r="BF516" t="s">
        <v>74</v>
      </c>
      <c r="BG516" t="s">
        <v>74</v>
      </c>
      <c r="BH516" t="s">
        <v>74</v>
      </c>
      <c r="BI516">
        <v>2</v>
      </c>
      <c r="BJ516" t="s">
        <v>1229</v>
      </c>
      <c r="BK516" t="s">
        <v>2959</v>
      </c>
      <c r="BL516" t="s">
        <v>1229</v>
      </c>
      <c r="BM516" t="s">
        <v>10390</v>
      </c>
      <c r="BN516" t="s">
        <v>74</v>
      </c>
      <c r="BO516" t="s">
        <v>74</v>
      </c>
      <c r="BP516" t="s">
        <v>74</v>
      </c>
      <c r="BQ516" t="s">
        <v>74</v>
      </c>
      <c r="BR516" t="s">
        <v>104</v>
      </c>
      <c r="BS516" t="s">
        <v>10391</v>
      </c>
      <c r="BT516" t="str">
        <f>HYPERLINK("https%3A%2F%2Fwww.webofscience.com%2Fwos%2Fwoscc%2Ffull-record%2FWOS:000651814700027","View Full Record in Web of Science")</f>
        <v>View Full Record in Web of Science</v>
      </c>
    </row>
    <row r="517" spans="1:72" x14ac:dyDescent="0.15">
      <c r="A517" t="s">
        <v>72</v>
      </c>
      <c r="B517" t="s">
        <v>10392</v>
      </c>
      <c r="C517" t="s">
        <v>74</v>
      </c>
      <c r="D517" t="s">
        <v>74</v>
      </c>
      <c r="E517" t="s">
        <v>74</v>
      </c>
      <c r="F517" t="s">
        <v>10393</v>
      </c>
      <c r="G517" t="s">
        <v>74</v>
      </c>
      <c r="H517" t="s">
        <v>74</v>
      </c>
      <c r="I517" t="s">
        <v>10394</v>
      </c>
      <c r="J517" t="s">
        <v>1209</v>
      </c>
      <c r="K517" t="s">
        <v>74</v>
      </c>
      <c r="L517" t="s">
        <v>74</v>
      </c>
      <c r="M517" t="s">
        <v>78</v>
      </c>
      <c r="N517" t="s">
        <v>52</v>
      </c>
      <c r="O517" t="s">
        <v>10382</v>
      </c>
      <c r="P517" t="s">
        <v>10383</v>
      </c>
      <c r="Q517" t="s">
        <v>2940</v>
      </c>
      <c r="R517" t="s">
        <v>74</v>
      </c>
      <c r="S517" t="s">
        <v>74</v>
      </c>
      <c r="T517" t="s">
        <v>74</v>
      </c>
      <c r="U517" t="s">
        <v>74</v>
      </c>
      <c r="V517" t="s">
        <v>74</v>
      </c>
      <c r="W517" t="s">
        <v>10395</v>
      </c>
      <c r="X517" t="s">
        <v>10396</v>
      </c>
      <c r="Y517" t="s">
        <v>74</v>
      </c>
      <c r="Z517" t="s">
        <v>10397</v>
      </c>
      <c r="AA517" t="s">
        <v>74</v>
      </c>
      <c r="AB517" t="s">
        <v>74</v>
      </c>
      <c r="AC517" t="s">
        <v>74</v>
      </c>
      <c r="AD517" t="s">
        <v>74</v>
      </c>
      <c r="AE517" t="s">
        <v>74</v>
      </c>
      <c r="AF517" t="s">
        <v>74</v>
      </c>
      <c r="AG517">
        <v>0</v>
      </c>
      <c r="AH517">
        <v>0</v>
      </c>
      <c r="AI517">
        <v>0</v>
      </c>
      <c r="AJ517">
        <v>0</v>
      </c>
      <c r="AK517">
        <v>1</v>
      </c>
      <c r="AL517" t="s">
        <v>1221</v>
      </c>
      <c r="AM517" t="s">
        <v>1222</v>
      </c>
      <c r="AN517" t="s">
        <v>1223</v>
      </c>
      <c r="AO517" t="s">
        <v>1224</v>
      </c>
      <c r="AP517" t="s">
        <v>1225</v>
      </c>
      <c r="AQ517" t="s">
        <v>74</v>
      </c>
      <c r="AR517" t="s">
        <v>1226</v>
      </c>
      <c r="AS517" t="s">
        <v>1227</v>
      </c>
      <c r="AT517" t="s">
        <v>1809</v>
      </c>
      <c r="AU517">
        <v>2021</v>
      </c>
      <c r="AV517">
        <v>61</v>
      </c>
      <c r="AW517" t="s">
        <v>74</v>
      </c>
      <c r="AX517" t="s">
        <v>74</v>
      </c>
      <c r="AY517">
        <v>1</v>
      </c>
      <c r="AZ517" t="s">
        <v>74</v>
      </c>
      <c r="BA517" t="s">
        <v>10398</v>
      </c>
      <c r="BB517" t="s">
        <v>10399</v>
      </c>
      <c r="BC517" t="s">
        <v>10400</v>
      </c>
      <c r="BD517" t="s">
        <v>74</v>
      </c>
      <c r="BE517" t="s">
        <v>74</v>
      </c>
      <c r="BF517" t="s">
        <v>74</v>
      </c>
      <c r="BG517" t="s">
        <v>74</v>
      </c>
      <c r="BH517" t="s">
        <v>74</v>
      </c>
      <c r="BI517">
        <v>2</v>
      </c>
      <c r="BJ517" t="s">
        <v>1229</v>
      </c>
      <c r="BK517" t="s">
        <v>2959</v>
      </c>
      <c r="BL517" t="s">
        <v>1229</v>
      </c>
      <c r="BM517" t="s">
        <v>10390</v>
      </c>
      <c r="BN517" t="s">
        <v>74</v>
      </c>
      <c r="BO517" t="s">
        <v>74</v>
      </c>
      <c r="BP517" t="s">
        <v>74</v>
      </c>
      <c r="BQ517" t="s">
        <v>74</v>
      </c>
      <c r="BR517" t="s">
        <v>104</v>
      </c>
      <c r="BS517" t="s">
        <v>10401</v>
      </c>
      <c r="BT517" t="str">
        <f>HYPERLINK("https%3A%2F%2Fwww.webofscience.com%2Fwos%2Fwoscc%2Ffull-record%2FWOS:000651814700437","View Full Record in Web of Science")</f>
        <v>View Full Record in Web of Science</v>
      </c>
    </row>
    <row r="518" spans="1:72" x14ac:dyDescent="0.15">
      <c r="A518" t="s">
        <v>72</v>
      </c>
      <c r="B518" t="s">
        <v>10402</v>
      </c>
      <c r="C518" t="s">
        <v>74</v>
      </c>
      <c r="D518" t="s">
        <v>74</v>
      </c>
      <c r="E518" t="s">
        <v>74</v>
      </c>
      <c r="F518" t="s">
        <v>10403</v>
      </c>
      <c r="G518" t="s">
        <v>74</v>
      </c>
      <c r="H518" t="s">
        <v>74</v>
      </c>
      <c r="I518" t="s">
        <v>10404</v>
      </c>
      <c r="J518" t="s">
        <v>1209</v>
      </c>
      <c r="K518" t="s">
        <v>74</v>
      </c>
      <c r="L518" t="s">
        <v>74</v>
      </c>
      <c r="M518" t="s">
        <v>78</v>
      </c>
      <c r="N518" t="s">
        <v>52</v>
      </c>
      <c r="O518" t="s">
        <v>10382</v>
      </c>
      <c r="P518" t="s">
        <v>10383</v>
      </c>
      <c r="Q518" t="s">
        <v>2940</v>
      </c>
      <c r="R518" t="s">
        <v>74</v>
      </c>
      <c r="S518" t="s">
        <v>74</v>
      </c>
      <c r="T518" t="s">
        <v>74</v>
      </c>
      <c r="U518" t="s">
        <v>74</v>
      </c>
      <c r="V518" t="s">
        <v>74</v>
      </c>
      <c r="W518" t="s">
        <v>10405</v>
      </c>
      <c r="X518" t="s">
        <v>4998</v>
      </c>
      <c r="Y518" t="s">
        <v>74</v>
      </c>
      <c r="Z518" t="s">
        <v>10406</v>
      </c>
      <c r="AA518" t="s">
        <v>74</v>
      </c>
      <c r="AB518" t="s">
        <v>74</v>
      </c>
      <c r="AC518" t="s">
        <v>74</v>
      </c>
      <c r="AD518" t="s">
        <v>74</v>
      </c>
      <c r="AE518" t="s">
        <v>74</v>
      </c>
      <c r="AF518" t="s">
        <v>74</v>
      </c>
      <c r="AG518">
        <v>0</v>
      </c>
      <c r="AH518">
        <v>0</v>
      </c>
      <c r="AI518">
        <v>0</v>
      </c>
      <c r="AJ518">
        <v>0</v>
      </c>
      <c r="AK518">
        <v>2</v>
      </c>
      <c r="AL518" t="s">
        <v>1221</v>
      </c>
      <c r="AM518" t="s">
        <v>1222</v>
      </c>
      <c r="AN518" t="s">
        <v>1223</v>
      </c>
      <c r="AO518" t="s">
        <v>1224</v>
      </c>
      <c r="AP518" t="s">
        <v>1225</v>
      </c>
      <c r="AQ518" t="s">
        <v>74</v>
      </c>
      <c r="AR518" t="s">
        <v>1226</v>
      </c>
      <c r="AS518" t="s">
        <v>1227</v>
      </c>
      <c r="AT518" t="s">
        <v>1809</v>
      </c>
      <c r="AU518">
        <v>2021</v>
      </c>
      <c r="AV518">
        <v>61</v>
      </c>
      <c r="AW518" t="s">
        <v>74</v>
      </c>
      <c r="AX518" t="s">
        <v>74</v>
      </c>
      <c r="AY518">
        <v>1</v>
      </c>
      <c r="AZ518" t="s">
        <v>74</v>
      </c>
      <c r="BA518" t="s">
        <v>10407</v>
      </c>
      <c r="BB518" t="s">
        <v>10408</v>
      </c>
      <c r="BC518" t="s">
        <v>10408</v>
      </c>
      <c r="BD518" t="s">
        <v>74</v>
      </c>
      <c r="BE518" t="s">
        <v>74</v>
      </c>
      <c r="BF518" t="s">
        <v>74</v>
      </c>
      <c r="BG518" t="s">
        <v>74</v>
      </c>
      <c r="BH518" t="s">
        <v>74</v>
      </c>
      <c r="BI518">
        <v>1</v>
      </c>
      <c r="BJ518" t="s">
        <v>1229</v>
      </c>
      <c r="BK518" t="s">
        <v>2959</v>
      </c>
      <c r="BL518" t="s">
        <v>1229</v>
      </c>
      <c r="BM518" t="s">
        <v>10390</v>
      </c>
      <c r="BN518" t="s">
        <v>74</v>
      </c>
      <c r="BO518" t="s">
        <v>74</v>
      </c>
      <c r="BP518" t="s">
        <v>74</v>
      </c>
      <c r="BQ518" t="s">
        <v>74</v>
      </c>
      <c r="BR518" t="s">
        <v>104</v>
      </c>
      <c r="BS518" t="s">
        <v>10409</v>
      </c>
      <c r="BT518" t="str">
        <f>HYPERLINK("https%3A%2F%2Fwww.webofscience.com%2Fwos%2Fwoscc%2Ffull-record%2FWOS:000651814701179","View Full Record in Web of Science")</f>
        <v>View Full Record in Web of Science</v>
      </c>
    </row>
    <row r="519" spans="1:72" x14ac:dyDescent="0.15">
      <c r="A519" t="s">
        <v>72</v>
      </c>
      <c r="B519" t="s">
        <v>10410</v>
      </c>
      <c r="C519" t="s">
        <v>74</v>
      </c>
      <c r="D519" t="s">
        <v>74</v>
      </c>
      <c r="E519" t="s">
        <v>74</v>
      </c>
      <c r="F519" t="s">
        <v>10411</v>
      </c>
      <c r="G519" t="s">
        <v>74</v>
      </c>
      <c r="H519" t="s">
        <v>74</v>
      </c>
      <c r="I519" t="s">
        <v>10412</v>
      </c>
      <c r="J519" t="s">
        <v>1209</v>
      </c>
      <c r="K519" t="s">
        <v>74</v>
      </c>
      <c r="L519" t="s">
        <v>74</v>
      </c>
      <c r="M519" t="s">
        <v>78</v>
      </c>
      <c r="N519" t="s">
        <v>52</v>
      </c>
      <c r="O519" t="s">
        <v>10382</v>
      </c>
      <c r="P519" t="s">
        <v>10383</v>
      </c>
      <c r="Q519" t="s">
        <v>2940</v>
      </c>
      <c r="R519" t="s">
        <v>74</v>
      </c>
      <c r="S519" t="s">
        <v>74</v>
      </c>
      <c r="T519" t="s">
        <v>74</v>
      </c>
      <c r="U519" t="s">
        <v>74</v>
      </c>
      <c r="V519" t="s">
        <v>74</v>
      </c>
      <c r="W519" t="s">
        <v>10413</v>
      </c>
      <c r="X519" t="s">
        <v>10414</v>
      </c>
      <c r="Y519" t="s">
        <v>74</v>
      </c>
      <c r="Z519" t="s">
        <v>10415</v>
      </c>
      <c r="AA519" t="s">
        <v>74</v>
      </c>
      <c r="AB519" t="s">
        <v>74</v>
      </c>
      <c r="AC519" t="s">
        <v>74</v>
      </c>
      <c r="AD519" t="s">
        <v>74</v>
      </c>
      <c r="AE519" t="s">
        <v>74</v>
      </c>
      <c r="AF519" t="s">
        <v>74</v>
      </c>
      <c r="AG519">
        <v>0</v>
      </c>
      <c r="AH519">
        <v>0</v>
      </c>
      <c r="AI519">
        <v>0</v>
      </c>
      <c r="AJ519">
        <v>0</v>
      </c>
      <c r="AK519">
        <v>1</v>
      </c>
      <c r="AL519" t="s">
        <v>1221</v>
      </c>
      <c r="AM519" t="s">
        <v>1222</v>
      </c>
      <c r="AN519" t="s">
        <v>1223</v>
      </c>
      <c r="AO519" t="s">
        <v>1224</v>
      </c>
      <c r="AP519" t="s">
        <v>1225</v>
      </c>
      <c r="AQ519" t="s">
        <v>74</v>
      </c>
      <c r="AR519" t="s">
        <v>1226</v>
      </c>
      <c r="AS519" t="s">
        <v>1227</v>
      </c>
      <c r="AT519" t="s">
        <v>1809</v>
      </c>
      <c r="AU519">
        <v>2021</v>
      </c>
      <c r="AV519">
        <v>61</v>
      </c>
      <c r="AW519" t="s">
        <v>74</v>
      </c>
      <c r="AX519" t="s">
        <v>74</v>
      </c>
      <c r="AY519">
        <v>1</v>
      </c>
      <c r="AZ519" t="s">
        <v>74</v>
      </c>
      <c r="BA519" t="s">
        <v>10416</v>
      </c>
      <c r="BB519" t="s">
        <v>10417</v>
      </c>
      <c r="BC519" t="s">
        <v>10418</v>
      </c>
      <c r="BD519" t="s">
        <v>74</v>
      </c>
      <c r="BE519" t="s">
        <v>74</v>
      </c>
      <c r="BF519" t="s">
        <v>74</v>
      </c>
      <c r="BG519" t="s">
        <v>74</v>
      </c>
      <c r="BH519" t="s">
        <v>74</v>
      </c>
      <c r="BI519">
        <v>2</v>
      </c>
      <c r="BJ519" t="s">
        <v>1229</v>
      </c>
      <c r="BK519" t="s">
        <v>2959</v>
      </c>
      <c r="BL519" t="s">
        <v>1229</v>
      </c>
      <c r="BM519" t="s">
        <v>10390</v>
      </c>
      <c r="BN519" t="s">
        <v>74</v>
      </c>
      <c r="BO519" t="s">
        <v>74</v>
      </c>
      <c r="BP519" t="s">
        <v>74</v>
      </c>
      <c r="BQ519" t="s">
        <v>74</v>
      </c>
      <c r="BR519" t="s">
        <v>104</v>
      </c>
      <c r="BS519" t="s">
        <v>10419</v>
      </c>
      <c r="BT519" t="str">
        <f>HYPERLINK("https%3A%2F%2Fwww.webofscience.com%2Fwos%2Fwoscc%2Ffull-record%2FWOS:000651814702068","View Full Record in Web of Science")</f>
        <v>View Full Record in Web of Science</v>
      </c>
    </row>
    <row r="520" spans="1:72" x14ac:dyDescent="0.15">
      <c r="A520" t="s">
        <v>72</v>
      </c>
      <c r="B520" t="s">
        <v>10420</v>
      </c>
      <c r="C520" t="s">
        <v>74</v>
      </c>
      <c r="D520" t="s">
        <v>74</v>
      </c>
      <c r="E520" t="s">
        <v>74</v>
      </c>
      <c r="F520" t="s">
        <v>10421</v>
      </c>
      <c r="G520" t="s">
        <v>74</v>
      </c>
      <c r="H520" t="s">
        <v>74</v>
      </c>
      <c r="I520" t="s">
        <v>10422</v>
      </c>
      <c r="J520" t="s">
        <v>1209</v>
      </c>
      <c r="K520" t="s">
        <v>74</v>
      </c>
      <c r="L520" t="s">
        <v>74</v>
      </c>
      <c r="M520" t="s">
        <v>78</v>
      </c>
      <c r="N520" t="s">
        <v>52</v>
      </c>
      <c r="O520" t="s">
        <v>10382</v>
      </c>
      <c r="P520" t="s">
        <v>10383</v>
      </c>
      <c r="Q520" t="s">
        <v>2940</v>
      </c>
      <c r="R520" t="s">
        <v>74</v>
      </c>
      <c r="S520" t="s">
        <v>74</v>
      </c>
      <c r="T520" t="s">
        <v>74</v>
      </c>
      <c r="U520" t="s">
        <v>74</v>
      </c>
      <c r="V520" t="s">
        <v>74</v>
      </c>
      <c r="W520" t="s">
        <v>10423</v>
      </c>
      <c r="X520" t="s">
        <v>10424</v>
      </c>
      <c r="Y520" t="s">
        <v>74</v>
      </c>
      <c r="Z520" t="s">
        <v>10425</v>
      </c>
      <c r="AA520" t="s">
        <v>10426</v>
      </c>
      <c r="AB520" t="s">
        <v>74</v>
      </c>
      <c r="AC520" t="s">
        <v>74</v>
      </c>
      <c r="AD520" t="s">
        <v>74</v>
      </c>
      <c r="AE520" t="s">
        <v>74</v>
      </c>
      <c r="AF520" t="s">
        <v>74</v>
      </c>
      <c r="AG520">
        <v>0</v>
      </c>
      <c r="AH520">
        <v>0</v>
      </c>
      <c r="AI520">
        <v>0</v>
      </c>
      <c r="AJ520">
        <v>0</v>
      </c>
      <c r="AK520">
        <v>0</v>
      </c>
      <c r="AL520" t="s">
        <v>1221</v>
      </c>
      <c r="AM520" t="s">
        <v>1222</v>
      </c>
      <c r="AN520" t="s">
        <v>1223</v>
      </c>
      <c r="AO520" t="s">
        <v>1224</v>
      </c>
      <c r="AP520" t="s">
        <v>1225</v>
      </c>
      <c r="AQ520" t="s">
        <v>74</v>
      </c>
      <c r="AR520" t="s">
        <v>1226</v>
      </c>
      <c r="AS520" t="s">
        <v>1227</v>
      </c>
      <c r="AT520" t="s">
        <v>1809</v>
      </c>
      <c r="AU520">
        <v>2021</v>
      </c>
      <c r="AV520">
        <v>61</v>
      </c>
      <c r="AW520" t="s">
        <v>74</v>
      </c>
      <c r="AX520" t="s">
        <v>74</v>
      </c>
      <c r="AY520">
        <v>1</v>
      </c>
      <c r="AZ520" t="s">
        <v>74</v>
      </c>
      <c r="BA520" t="s">
        <v>10427</v>
      </c>
      <c r="BB520" t="s">
        <v>10428</v>
      </c>
      <c r="BC520" t="s">
        <v>10429</v>
      </c>
      <c r="BD520" t="s">
        <v>74</v>
      </c>
      <c r="BE520" t="s">
        <v>74</v>
      </c>
      <c r="BF520" t="s">
        <v>74</v>
      </c>
      <c r="BG520" t="s">
        <v>74</v>
      </c>
      <c r="BH520" t="s">
        <v>74</v>
      </c>
      <c r="BI520">
        <v>2</v>
      </c>
      <c r="BJ520" t="s">
        <v>1229</v>
      </c>
      <c r="BK520" t="s">
        <v>2959</v>
      </c>
      <c r="BL520" t="s">
        <v>1229</v>
      </c>
      <c r="BM520" t="s">
        <v>10390</v>
      </c>
      <c r="BN520" t="s">
        <v>74</v>
      </c>
      <c r="BO520" t="s">
        <v>74</v>
      </c>
      <c r="BP520" t="s">
        <v>74</v>
      </c>
      <c r="BQ520" t="s">
        <v>74</v>
      </c>
      <c r="BR520" t="s">
        <v>104</v>
      </c>
      <c r="BS520" t="s">
        <v>10430</v>
      </c>
      <c r="BT520" t="str">
        <f>HYPERLINK("https%3A%2F%2Fwww.webofscience.com%2Fwos%2Fwoscc%2Ffull-record%2FWOS:000651814704150","View Full Record in Web of Science")</f>
        <v>View Full Record in Web of Science</v>
      </c>
    </row>
    <row r="521" spans="1:72" x14ac:dyDescent="0.15">
      <c r="A521" t="s">
        <v>72</v>
      </c>
      <c r="B521" t="s">
        <v>10431</v>
      </c>
      <c r="C521" t="s">
        <v>74</v>
      </c>
      <c r="D521" t="s">
        <v>74</v>
      </c>
      <c r="E521" t="s">
        <v>74</v>
      </c>
      <c r="F521" t="s">
        <v>10432</v>
      </c>
      <c r="G521" t="s">
        <v>74</v>
      </c>
      <c r="H521" t="s">
        <v>74</v>
      </c>
      <c r="I521" t="s">
        <v>10433</v>
      </c>
      <c r="J521" t="s">
        <v>1209</v>
      </c>
      <c r="K521" t="s">
        <v>74</v>
      </c>
      <c r="L521" t="s">
        <v>74</v>
      </c>
      <c r="M521" t="s">
        <v>78</v>
      </c>
      <c r="N521" t="s">
        <v>52</v>
      </c>
      <c r="O521" t="s">
        <v>10382</v>
      </c>
      <c r="P521" t="s">
        <v>10383</v>
      </c>
      <c r="Q521" t="s">
        <v>2940</v>
      </c>
      <c r="R521" t="s">
        <v>74</v>
      </c>
      <c r="S521" t="s">
        <v>74</v>
      </c>
      <c r="T521" t="s">
        <v>74</v>
      </c>
      <c r="U521" t="s">
        <v>74</v>
      </c>
      <c r="V521" t="s">
        <v>74</v>
      </c>
      <c r="W521" t="s">
        <v>10434</v>
      </c>
      <c r="X521" t="s">
        <v>10435</v>
      </c>
      <c r="Y521" t="s">
        <v>74</v>
      </c>
      <c r="Z521" t="s">
        <v>10436</v>
      </c>
      <c r="AA521" t="s">
        <v>74</v>
      </c>
      <c r="AB521" t="s">
        <v>74</v>
      </c>
      <c r="AC521" t="s">
        <v>74</v>
      </c>
      <c r="AD521" t="s">
        <v>74</v>
      </c>
      <c r="AE521" t="s">
        <v>74</v>
      </c>
      <c r="AF521" t="s">
        <v>74</v>
      </c>
      <c r="AG521">
        <v>0</v>
      </c>
      <c r="AH521">
        <v>0</v>
      </c>
      <c r="AI521">
        <v>0</v>
      </c>
      <c r="AJ521">
        <v>0</v>
      </c>
      <c r="AK521">
        <v>1</v>
      </c>
      <c r="AL521" t="s">
        <v>1221</v>
      </c>
      <c r="AM521" t="s">
        <v>1222</v>
      </c>
      <c r="AN521" t="s">
        <v>1223</v>
      </c>
      <c r="AO521" t="s">
        <v>1224</v>
      </c>
      <c r="AP521" t="s">
        <v>1225</v>
      </c>
      <c r="AQ521" t="s">
        <v>74</v>
      </c>
      <c r="AR521" t="s">
        <v>1226</v>
      </c>
      <c r="AS521" t="s">
        <v>1227</v>
      </c>
      <c r="AT521" t="s">
        <v>1809</v>
      </c>
      <c r="AU521">
        <v>2021</v>
      </c>
      <c r="AV521">
        <v>61</v>
      </c>
      <c r="AW521" t="s">
        <v>74</v>
      </c>
      <c r="AX521" t="s">
        <v>74</v>
      </c>
      <c r="AY521">
        <v>1</v>
      </c>
      <c r="AZ521" t="s">
        <v>74</v>
      </c>
      <c r="BA521" t="s">
        <v>10427</v>
      </c>
      <c r="BB521" t="s">
        <v>10429</v>
      </c>
      <c r="BC521" t="s">
        <v>10437</v>
      </c>
      <c r="BD521" t="s">
        <v>74</v>
      </c>
      <c r="BE521" t="s">
        <v>74</v>
      </c>
      <c r="BF521" t="s">
        <v>74</v>
      </c>
      <c r="BG521" t="s">
        <v>74</v>
      </c>
      <c r="BH521" t="s">
        <v>74</v>
      </c>
      <c r="BI521">
        <v>2</v>
      </c>
      <c r="BJ521" t="s">
        <v>1229</v>
      </c>
      <c r="BK521" t="s">
        <v>2959</v>
      </c>
      <c r="BL521" t="s">
        <v>1229</v>
      </c>
      <c r="BM521" t="s">
        <v>10390</v>
      </c>
      <c r="BN521" t="s">
        <v>74</v>
      </c>
      <c r="BO521" t="s">
        <v>74</v>
      </c>
      <c r="BP521" t="s">
        <v>74</v>
      </c>
      <c r="BQ521" t="s">
        <v>74</v>
      </c>
      <c r="BR521" t="s">
        <v>104</v>
      </c>
      <c r="BS521" t="s">
        <v>10438</v>
      </c>
      <c r="BT521" t="str">
        <f>HYPERLINK("https%3A%2F%2Fwww.webofscience.com%2Fwos%2Fwoscc%2Ffull-record%2FWOS:000651814704151","View Full Record in Web of Science")</f>
        <v>View Full Record in Web of Science</v>
      </c>
    </row>
    <row r="522" spans="1:72" x14ac:dyDescent="0.15">
      <c r="A522" t="s">
        <v>72</v>
      </c>
      <c r="B522" t="s">
        <v>10439</v>
      </c>
      <c r="C522" t="s">
        <v>74</v>
      </c>
      <c r="D522" t="s">
        <v>74</v>
      </c>
      <c r="E522" t="s">
        <v>74</v>
      </c>
      <c r="F522" t="s">
        <v>10440</v>
      </c>
      <c r="G522" t="s">
        <v>74</v>
      </c>
      <c r="H522" t="s">
        <v>74</v>
      </c>
      <c r="I522" t="s">
        <v>10441</v>
      </c>
      <c r="J522" t="s">
        <v>1209</v>
      </c>
      <c r="K522" t="s">
        <v>74</v>
      </c>
      <c r="L522" t="s">
        <v>74</v>
      </c>
      <c r="M522" t="s">
        <v>78</v>
      </c>
      <c r="N522" t="s">
        <v>52</v>
      </c>
      <c r="O522" t="s">
        <v>10382</v>
      </c>
      <c r="P522" t="s">
        <v>10383</v>
      </c>
      <c r="Q522" t="s">
        <v>2940</v>
      </c>
      <c r="R522" t="s">
        <v>74</v>
      </c>
      <c r="S522" t="s">
        <v>74</v>
      </c>
      <c r="T522" t="s">
        <v>74</v>
      </c>
      <c r="U522" t="s">
        <v>74</v>
      </c>
      <c r="V522" t="s">
        <v>74</v>
      </c>
      <c r="W522" t="s">
        <v>10442</v>
      </c>
      <c r="X522" t="s">
        <v>10443</v>
      </c>
      <c r="Y522" t="s">
        <v>74</v>
      </c>
      <c r="Z522" t="s">
        <v>10444</v>
      </c>
      <c r="AA522" t="s">
        <v>10445</v>
      </c>
      <c r="AB522" t="s">
        <v>74</v>
      </c>
      <c r="AC522" t="s">
        <v>74</v>
      </c>
      <c r="AD522" t="s">
        <v>74</v>
      </c>
      <c r="AE522" t="s">
        <v>74</v>
      </c>
      <c r="AF522" t="s">
        <v>74</v>
      </c>
      <c r="AG522">
        <v>0</v>
      </c>
      <c r="AH522">
        <v>0</v>
      </c>
      <c r="AI522">
        <v>0</v>
      </c>
      <c r="AJ522">
        <v>0</v>
      </c>
      <c r="AK522">
        <v>2</v>
      </c>
      <c r="AL522" t="s">
        <v>1221</v>
      </c>
      <c r="AM522" t="s">
        <v>1222</v>
      </c>
      <c r="AN522" t="s">
        <v>1223</v>
      </c>
      <c r="AO522" t="s">
        <v>1224</v>
      </c>
      <c r="AP522" t="s">
        <v>1225</v>
      </c>
      <c r="AQ522" t="s">
        <v>74</v>
      </c>
      <c r="AR522" t="s">
        <v>1226</v>
      </c>
      <c r="AS522" t="s">
        <v>1227</v>
      </c>
      <c r="AT522" t="s">
        <v>1809</v>
      </c>
      <c r="AU522">
        <v>2021</v>
      </c>
      <c r="AV522">
        <v>61</v>
      </c>
      <c r="AW522" t="s">
        <v>74</v>
      </c>
      <c r="AX522" t="s">
        <v>74</v>
      </c>
      <c r="AY522">
        <v>1</v>
      </c>
      <c r="AZ522" t="s">
        <v>74</v>
      </c>
      <c r="BA522" t="s">
        <v>10446</v>
      </c>
      <c r="BB522" t="s">
        <v>10447</v>
      </c>
      <c r="BC522" t="s">
        <v>10448</v>
      </c>
      <c r="BD522" t="s">
        <v>74</v>
      </c>
      <c r="BE522" t="s">
        <v>74</v>
      </c>
      <c r="BF522" t="s">
        <v>74</v>
      </c>
      <c r="BG522" t="s">
        <v>74</v>
      </c>
      <c r="BH522" t="s">
        <v>74</v>
      </c>
      <c r="BI522">
        <v>2</v>
      </c>
      <c r="BJ522" t="s">
        <v>1229</v>
      </c>
      <c r="BK522" t="s">
        <v>2959</v>
      </c>
      <c r="BL522" t="s">
        <v>1229</v>
      </c>
      <c r="BM522" t="s">
        <v>10390</v>
      </c>
      <c r="BN522" t="s">
        <v>74</v>
      </c>
      <c r="BO522" t="s">
        <v>74</v>
      </c>
      <c r="BP522" t="s">
        <v>74</v>
      </c>
      <c r="BQ522" t="s">
        <v>74</v>
      </c>
      <c r="BR522" t="s">
        <v>104</v>
      </c>
      <c r="BS522" t="s">
        <v>10449</v>
      </c>
      <c r="BT522" t="str">
        <f>HYPERLINK("https%3A%2F%2Fwww.webofscience.com%2Fwos%2Fwoscc%2Ffull-record%2FWOS:000651814703111","View Full Record in Web of Science")</f>
        <v>View Full Record in Web of Science</v>
      </c>
    </row>
    <row r="523" spans="1:72" x14ac:dyDescent="0.15">
      <c r="A523" t="s">
        <v>72</v>
      </c>
      <c r="B523" t="s">
        <v>10450</v>
      </c>
      <c r="C523" t="s">
        <v>74</v>
      </c>
      <c r="D523" t="s">
        <v>74</v>
      </c>
      <c r="E523" t="s">
        <v>74</v>
      </c>
      <c r="F523" t="s">
        <v>10451</v>
      </c>
      <c r="G523" t="s">
        <v>74</v>
      </c>
      <c r="H523" t="s">
        <v>74</v>
      </c>
      <c r="I523" t="s">
        <v>10452</v>
      </c>
      <c r="J523" t="s">
        <v>1209</v>
      </c>
      <c r="K523" t="s">
        <v>74</v>
      </c>
      <c r="L523" t="s">
        <v>74</v>
      </c>
      <c r="M523" t="s">
        <v>78</v>
      </c>
      <c r="N523" t="s">
        <v>52</v>
      </c>
      <c r="O523" t="s">
        <v>10382</v>
      </c>
      <c r="P523" t="s">
        <v>10383</v>
      </c>
      <c r="Q523" t="s">
        <v>2940</v>
      </c>
      <c r="R523" t="s">
        <v>74</v>
      </c>
      <c r="S523" t="s">
        <v>74</v>
      </c>
      <c r="T523" t="s">
        <v>74</v>
      </c>
      <c r="U523" t="s">
        <v>74</v>
      </c>
      <c r="V523" t="s">
        <v>74</v>
      </c>
      <c r="W523" t="s">
        <v>10453</v>
      </c>
      <c r="X523" t="s">
        <v>4998</v>
      </c>
      <c r="Y523" t="s">
        <v>74</v>
      </c>
      <c r="Z523" t="s">
        <v>10454</v>
      </c>
      <c r="AA523" t="s">
        <v>74</v>
      </c>
      <c r="AB523" t="s">
        <v>74</v>
      </c>
      <c r="AC523" t="s">
        <v>10455</v>
      </c>
      <c r="AD523" t="s">
        <v>74</v>
      </c>
      <c r="AE523" t="s">
        <v>10456</v>
      </c>
      <c r="AF523" t="s">
        <v>74</v>
      </c>
      <c r="AG523">
        <v>0</v>
      </c>
      <c r="AH523">
        <v>0</v>
      </c>
      <c r="AI523">
        <v>0</v>
      </c>
      <c r="AJ523">
        <v>0</v>
      </c>
      <c r="AK523">
        <v>0</v>
      </c>
      <c r="AL523" t="s">
        <v>1221</v>
      </c>
      <c r="AM523" t="s">
        <v>1222</v>
      </c>
      <c r="AN523" t="s">
        <v>1223</v>
      </c>
      <c r="AO523" t="s">
        <v>1224</v>
      </c>
      <c r="AP523" t="s">
        <v>1225</v>
      </c>
      <c r="AQ523" t="s">
        <v>74</v>
      </c>
      <c r="AR523" t="s">
        <v>1226</v>
      </c>
      <c r="AS523" t="s">
        <v>1227</v>
      </c>
      <c r="AT523" t="s">
        <v>1809</v>
      </c>
      <c r="AU523">
        <v>2021</v>
      </c>
      <c r="AV523">
        <v>61</v>
      </c>
      <c r="AW523" t="s">
        <v>74</v>
      </c>
      <c r="AX523" t="s">
        <v>74</v>
      </c>
      <c r="AY523">
        <v>1</v>
      </c>
      <c r="AZ523" t="s">
        <v>74</v>
      </c>
      <c r="BA523" t="s">
        <v>10457</v>
      </c>
      <c r="BB523" t="s">
        <v>10458</v>
      </c>
      <c r="BC523" t="s">
        <v>10459</v>
      </c>
      <c r="BD523" t="s">
        <v>74</v>
      </c>
      <c r="BE523" t="s">
        <v>74</v>
      </c>
      <c r="BF523" t="s">
        <v>74</v>
      </c>
      <c r="BG523" t="s">
        <v>74</v>
      </c>
      <c r="BH523" t="s">
        <v>74</v>
      </c>
      <c r="BI523">
        <v>2</v>
      </c>
      <c r="BJ523" t="s">
        <v>1229</v>
      </c>
      <c r="BK523" t="s">
        <v>2959</v>
      </c>
      <c r="BL523" t="s">
        <v>1229</v>
      </c>
      <c r="BM523" t="s">
        <v>10390</v>
      </c>
      <c r="BN523" t="s">
        <v>74</v>
      </c>
      <c r="BO523" t="s">
        <v>74</v>
      </c>
      <c r="BP523" t="s">
        <v>74</v>
      </c>
      <c r="BQ523" t="s">
        <v>74</v>
      </c>
      <c r="BR523" t="s">
        <v>104</v>
      </c>
      <c r="BS523" t="s">
        <v>10460</v>
      </c>
      <c r="BT523" t="str">
        <f>HYPERLINK("https%3A%2F%2Fwww.webofscience.com%2Fwos%2Fwoscc%2Ffull-record%2FWOS:000651814704191","View Full Record in Web of Science")</f>
        <v>View Full Record in Web of Science</v>
      </c>
    </row>
    <row r="524" spans="1:72" x14ac:dyDescent="0.15">
      <c r="A524" t="s">
        <v>72</v>
      </c>
      <c r="B524" t="s">
        <v>10461</v>
      </c>
      <c r="C524" t="s">
        <v>74</v>
      </c>
      <c r="D524" t="s">
        <v>74</v>
      </c>
      <c r="E524" t="s">
        <v>74</v>
      </c>
      <c r="F524" t="s">
        <v>10462</v>
      </c>
      <c r="G524" t="s">
        <v>74</v>
      </c>
      <c r="H524" t="s">
        <v>74</v>
      </c>
      <c r="I524" t="s">
        <v>10463</v>
      </c>
      <c r="J524" t="s">
        <v>1209</v>
      </c>
      <c r="K524" t="s">
        <v>74</v>
      </c>
      <c r="L524" t="s">
        <v>74</v>
      </c>
      <c r="M524" t="s">
        <v>78</v>
      </c>
      <c r="N524" t="s">
        <v>52</v>
      </c>
      <c r="O524" t="s">
        <v>10382</v>
      </c>
      <c r="P524" t="s">
        <v>10383</v>
      </c>
      <c r="Q524" t="s">
        <v>2940</v>
      </c>
      <c r="R524" t="s">
        <v>74</v>
      </c>
      <c r="S524" t="s">
        <v>74</v>
      </c>
      <c r="T524" t="s">
        <v>74</v>
      </c>
      <c r="U524" t="s">
        <v>74</v>
      </c>
      <c r="V524" t="s">
        <v>74</v>
      </c>
      <c r="W524" t="s">
        <v>10464</v>
      </c>
      <c r="X524" t="s">
        <v>10465</v>
      </c>
      <c r="Y524" t="s">
        <v>74</v>
      </c>
      <c r="Z524" t="s">
        <v>10466</v>
      </c>
      <c r="AA524" t="s">
        <v>10467</v>
      </c>
      <c r="AB524" t="s">
        <v>10468</v>
      </c>
      <c r="AC524" t="s">
        <v>74</v>
      </c>
      <c r="AD524" t="s">
        <v>74</v>
      </c>
      <c r="AE524" t="s">
        <v>74</v>
      </c>
      <c r="AF524" t="s">
        <v>74</v>
      </c>
      <c r="AG524">
        <v>0</v>
      </c>
      <c r="AH524">
        <v>0</v>
      </c>
      <c r="AI524">
        <v>0</v>
      </c>
      <c r="AJ524">
        <v>0</v>
      </c>
      <c r="AK524">
        <v>0</v>
      </c>
      <c r="AL524" t="s">
        <v>1221</v>
      </c>
      <c r="AM524" t="s">
        <v>1222</v>
      </c>
      <c r="AN524" t="s">
        <v>1223</v>
      </c>
      <c r="AO524" t="s">
        <v>1224</v>
      </c>
      <c r="AP524" t="s">
        <v>1225</v>
      </c>
      <c r="AQ524" t="s">
        <v>74</v>
      </c>
      <c r="AR524" t="s">
        <v>1226</v>
      </c>
      <c r="AS524" t="s">
        <v>1227</v>
      </c>
      <c r="AT524" t="s">
        <v>1809</v>
      </c>
      <c r="AU524">
        <v>2021</v>
      </c>
      <c r="AV524">
        <v>61</v>
      </c>
      <c r="AW524" t="s">
        <v>74</v>
      </c>
      <c r="AX524" t="s">
        <v>74</v>
      </c>
      <c r="AY524">
        <v>1</v>
      </c>
      <c r="AZ524" t="s">
        <v>74</v>
      </c>
      <c r="BA524" t="s">
        <v>10469</v>
      </c>
      <c r="BB524" t="s">
        <v>10470</v>
      </c>
      <c r="BC524" t="s">
        <v>10471</v>
      </c>
      <c r="BD524" t="s">
        <v>74</v>
      </c>
      <c r="BE524" t="s">
        <v>74</v>
      </c>
      <c r="BF524" t="s">
        <v>74</v>
      </c>
      <c r="BG524" t="s">
        <v>74</v>
      </c>
      <c r="BH524" t="s">
        <v>74</v>
      </c>
      <c r="BI524">
        <v>2</v>
      </c>
      <c r="BJ524" t="s">
        <v>1229</v>
      </c>
      <c r="BK524" t="s">
        <v>2959</v>
      </c>
      <c r="BL524" t="s">
        <v>1229</v>
      </c>
      <c r="BM524" t="s">
        <v>10390</v>
      </c>
      <c r="BN524" t="s">
        <v>74</v>
      </c>
      <c r="BO524" t="s">
        <v>74</v>
      </c>
      <c r="BP524" t="s">
        <v>74</v>
      </c>
      <c r="BQ524" t="s">
        <v>74</v>
      </c>
      <c r="BR524" t="s">
        <v>104</v>
      </c>
      <c r="BS524" t="s">
        <v>10472</v>
      </c>
      <c r="BT524" t="str">
        <f>HYPERLINK("https%3A%2F%2Fwww.webofscience.com%2Fwos%2Fwoscc%2Ffull-record%2FWOS:000651814704203","View Full Record in Web of Science")</f>
        <v>View Full Record in Web of Science</v>
      </c>
    </row>
    <row r="525" spans="1:72" x14ac:dyDescent="0.15">
      <c r="A525" t="s">
        <v>72</v>
      </c>
      <c r="B525" t="s">
        <v>10473</v>
      </c>
      <c r="C525" t="s">
        <v>74</v>
      </c>
      <c r="D525" t="s">
        <v>74</v>
      </c>
      <c r="E525" t="s">
        <v>74</v>
      </c>
      <c r="F525" t="s">
        <v>10474</v>
      </c>
      <c r="G525" t="s">
        <v>74</v>
      </c>
      <c r="H525" t="s">
        <v>74</v>
      </c>
      <c r="I525" t="s">
        <v>10475</v>
      </c>
      <c r="J525" t="s">
        <v>10476</v>
      </c>
      <c r="K525" t="s">
        <v>74</v>
      </c>
      <c r="L525" t="s">
        <v>74</v>
      </c>
      <c r="M525" t="s">
        <v>78</v>
      </c>
      <c r="N525" t="s">
        <v>79</v>
      </c>
      <c r="O525" t="s">
        <v>74</v>
      </c>
      <c r="P525" t="s">
        <v>74</v>
      </c>
      <c r="Q525" t="s">
        <v>74</v>
      </c>
      <c r="R525" t="s">
        <v>74</v>
      </c>
      <c r="S525" t="s">
        <v>74</v>
      </c>
      <c r="T525" t="s">
        <v>10477</v>
      </c>
      <c r="U525" t="s">
        <v>10478</v>
      </c>
      <c r="V525" t="s">
        <v>10479</v>
      </c>
      <c r="W525" t="s">
        <v>10480</v>
      </c>
      <c r="X525" t="s">
        <v>10481</v>
      </c>
      <c r="Y525" t="s">
        <v>10482</v>
      </c>
      <c r="Z525" t="s">
        <v>10483</v>
      </c>
      <c r="AA525" t="s">
        <v>10484</v>
      </c>
      <c r="AB525" t="s">
        <v>10485</v>
      </c>
      <c r="AC525" t="s">
        <v>10486</v>
      </c>
      <c r="AD525" t="s">
        <v>10487</v>
      </c>
      <c r="AE525" t="s">
        <v>10488</v>
      </c>
      <c r="AF525" t="s">
        <v>74</v>
      </c>
      <c r="AG525">
        <v>37</v>
      </c>
      <c r="AH525">
        <v>0</v>
      </c>
      <c r="AI525">
        <v>0</v>
      </c>
      <c r="AJ525">
        <v>1</v>
      </c>
      <c r="AK525">
        <v>12</v>
      </c>
      <c r="AL525" t="s">
        <v>1160</v>
      </c>
      <c r="AM525" t="s">
        <v>891</v>
      </c>
      <c r="AN525" t="s">
        <v>1161</v>
      </c>
      <c r="AO525" t="s">
        <v>10489</v>
      </c>
      <c r="AP525" t="s">
        <v>10490</v>
      </c>
      <c r="AQ525" t="s">
        <v>74</v>
      </c>
      <c r="AR525" t="s">
        <v>10491</v>
      </c>
      <c r="AS525" t="s">
        <v>10492</v>
      </c>
      <c r="AT525" t="s">
        <v>1809</v>
      </c>
      <c r="AU525">
        <v>2021</v>
      </c>
      <c r="AV525">
        <v>41</v>
      </c>
      <c r="AW525">
        <v>1</v>
      </c>
      <c r="AX525" t="s">
        <v>74</v>
      </c>
      <c r="AY525" t="s">
        <v>74</v>
      </c>
      <c r="AZ525" t="s">
        <v>74</v>
      </c>
      <c r="BA525" t="s">
        <v>74</v>
      </c>
      <c r="BB525" t="s">
        <v>74</v>
      </c>
      <c r="BC525" t="s">
        <v>74</v>
      </c>
      <c r="BD525" t="s">
        <v>10493</v>
      </c>
      <c r="BE525" t="s">
        <v>10494</v>
      </c>
      <c r="BF525" t="str">
        <f>HYPERLINK("http://dx.doi.org/10.1093/jcbiol/ruab006","http://dx.doi.org/10.1093/jcbiol/ruab006")</f>
        <v>http://dx.doi.org/10.1093/jcbiol/ruab006</v>
      </c>
      <c r="BG525" t="s">
        <v>74</v>
      </c>
      <c r="BH525" t="s">
        <v>74</v>
      </c>
      <c r="BI525">
        <v>8</v>
      </c>
      <c r="BJ525" t="s">
        <v>3849</v>
      </c>
      <c r="BK525" t="s">
        <v>101</v>
      </c>
      <c r="BL525" t="s">
        <v>3849</v>
      </c>
      <c r="BM525" t="s">
        <v>10495</v>
      </c>
      <c r="BN525" t="s">
        <v>74</v>
      </c>
      <c r="BO525" t="s">
        <v>10496</v>
      </c>
      <c r="BP525" t="s">
        <v>74</v>
      </c>
      <c r="BQ525" t="s">
        <v>74</v>
      </c>
      <c r="BR525" t="s">
        <v>104</v>
      </c>
      <c r="BS525" t="s">
        <v>10497</v>
      </c>
      <c r="BT525" t="str">
        <f>HYPERLINK("https%3A%2F%2Fwww.webofscience.com%2Fwos%2Fwoscc%2Ffull-record%2FWOS:000649390100022","View Full Record in Web of Science")</f>
        <v>View Full Record in Web of Science</v>
      </c>
    </row>
    <row r="526" spans="1:72" x14ac:dyDescent="0.15">
      <c r="A526" t="s">
        <v>72</v>
      </c>
      <c r="B526" t="s">
        <v>10498</v>
      </c>
      <c r="C526" t="s">
        <v>74</v>
      </c>
      <c r="D526" t="s">
        <v>74</v>
      </c>
      <c r="E526" t="s">
        <v>74</v>
      </c>
      <c r="F526" t="s">
        <v>10499</v>
      </c>
      <c r="G526" t="s">
        <v>74</v>
      </c>
      <c r="H526" t="s">
        <v>74</v>
      </c>
      <c r="I526" t="s">
        <v>10500</v>
      </c>
      <c r="J526" t="s">
        <v>425</v>
      </c>
      <c r="K526" t="s">
        <v>74</v>
      </c>
      <c r="L526" t="s">
        <v>74</v>
      </c>
      <c r="M526" t="s">
        <v>78</v>
      </c>
      <c r="N526" t="s">
        <v>79</v>
      </c>
      <c r="O526" t="s">
        <v>74</v>
      </c>
      <c r="P526" t="s">
        <v>74</v>
      </c>
      <c r="Q526" t="s">
        <v>74</v>
      </c>
      <c r="R526" t="s">
        <v>74</v>
      </c>
      <c r="S526" t="s">
        <v>74</v>
      </c>
      <c r="T526" t="s">
        <v>10501</v>
      </c>
      <c r="U526" t="s">
        <v>10502</v>
      </c>
      <c r="V526" t="s">
        <v>10503</v>
      </c>
      <c r="W526" t="s">
        <v>10504</v>
      </c>
      <c r="X526" t="s">
        <v>10505</v>
      </c>
      <c r="Y526" t="s">
        <v>10506</v>
      </c>
      <c r="Z526" t="s">
        <v>10507</v>
      </c>
      <c r="AA526" t="s">
        <v>10508</v>
      </c>
      <c r="AB526" t="s">
        <v>10509</v>
      </c>
      <c r="AC526" t="s">
        <v>10510</v>
      </c>
      <c r="AD526" t="s">
        <v>10511</v>
      </c>
      <c r="AE526" t="s">
        <v>10512</v>
      </c>
      <c r="AF526" t="s">
        <v>74</v>
      </c>
      <c r="AG526">
        <v>33</v>
      </c>
      <c r="AH526">
        <v>16</v>
      </c>
      <c r="AI526">
        <v>18</v>
      </c>
      <c r="AJ526">
        <v>5</v>
      </c>
      <c r="AK526">
        <v>18</v>
      </c>
      <c r="AL526" t="s">
        <v>335</v>
      </c>
      <c r="AM526" t="s">
        <v>336</v>
      </c>
      <c r="AN526" t="s">
        <v>337</v>
      </c>
      <c r="AO526" t="s">
        <v>74</v>
      </c>
      <c r="AP526" t="s">
        <v>438</v>
      </c>
      <c r="AQ526" t="s">
        <v>74</v>
      </c>
      <c r="AR526" t="s">
        <v>439</v>
      </c>
      <c r="AS526" t="s">
        <v>440</v>
      </c>
      <c r="AT526" t="s">
        <v>1809</v>
      </c>
      <c r="AU526">
        <v>2021</v>
      </c>
      <c r="AV526">
        <v>13</v>
      </c>
      <c r="AW526">
        <v>6</v>
      </c>
      <c r="AX526" t="s">
        <v>74</v>
      </c>
      <c r="AY526" t="s">
        <v>74</v>
      </c>
      <c r="AZ526" t="s">
        <v>74</v>
      </c>
      <c r="BA526" t="s">
        <v>74</v>
      </c>
      <c r="BB526" t="s">
        <v>74</v>
      </c>
      <c r="BC526" t="s">
        <v>74</v>
      </c>
      <c r="BD526">
        <v>1139</v>
      </c>
      <c r="BE526" t="s">
        <v>10513</v>
      </c>
      <c r="BF526" t="str">
        <f>HYPERLINK("http://dx.doi.org/10.3390/rs13061139","http://dx.doi.org/10.3390/rs13061139")</f>
        <v>http://dx.doi.org/10.3390/rs13061139</v>
      </c>
      <c r="BG526" t="s">
        <v>74</v>
      </c>
      <c r="BH526" t="s">
        <v>74</v>
      </c>
      <c r="BI526">
        <v>19</v>
      </c>
      <c r="BJ526" t="s">
        <v>442</v>
      </c>
      <c r="BK526" t="s">
        <v>101</v>
      </c>
      <c r="BL526" t="s">
        <v>443</v>
      </c>
      <c r="BM526" t="s">
        <v>10514</v>
      </c>
      <c r="BN526" t="s">
        <v>74</v>
      </c>
      <c r="BO526" t="s">
        <v>558</v>
      </c>
      <c r="BP526" t="s">
        <v>74</v>
      </c>
      <c r="BQ526" t="s">
        <v>74</v>
      </c>
      <c r="BR526" t="s">
        <v>104</v>
      </c>
      <c r="BS526" t="s">
        <v>10515</v>
      </c>
      <c r="BT526" t="str">
        <f>HYPERLINK("https%3A%2F%2Fwww.webofscience.com%2Fwos%2Fwoscc%2Ffull-record%2FWOS:000651944600001","View Full Record in Web of Science")</f>
        <v>View Full Record in Web of Science</v>
      </c>
    </row>
    <row r="527" spans="1:72" x14ac:dyDescent="0.15">
      <c r="A527" t="s">
        <v>72</v>
      </c>
      <c r="B527" t="s">
        <v>10516</v>
      </c>
      <c r="C527" t="s">
        <v>74</v>
      </c>
      <c r="D527" t="s">
        <v>74</v>
      </c>
      <c r="E527" t="s">
        <v>74</v>
      </c>
      <c r="F527" t="s">
        <v>10517</v>
      </c>
      <c r="G527" t="s">
        <v>74</v>
      </c>
      <c r="H527" t="s">
        <v>74</v>
      </c>
      <c r="I527" t="s">
        <v>10518</v>
      </c>
      <c r="J527" t="s">
        <v>425</v>
      </c>
      <c r="K527" t="s">
        <v>74</v>
      </c>
      <c r="L527" t="s">
        <v>74</v>
      </c>
      <c r="M527" t="s">
        <v>78</v>
      </c>
      <c r="N527" t="s">
        <v>79</v>
      </c>
      <c r="O527" t="s">
        <v>74</v>
      </c>
      <c r="P527" t="s">
        <v>74</v>
      </c>
      <c r="Q527" t="s">
        <v>74</v>
      </c>
      <c r="R527" t="s">
        <v>74</v>
      </c>
      <c r="S527" t="s">
        <v>74</v>
      </c>
      <c r="T527" t="s">
        <v>10519</v>
      </c>
      <c r="U527" t="s">
        <v>10520</v>
      </c>
      <c r="V527" t="s">
        <v>10521</v>
      </c>
      <c r="W527" t="s">
        <v>10522</v>
      </c>
      <c r="X527" t="s">
        <v>10523</v>
      </c>
      <c r="Y527" t="s">
        <v>10524</v>
      </c>
      <c r="Z527" t="s">
        <v>10525</v>
      </c>
      <c r="AA527" t="s">
        <v>10526</v>
      </c>
      <c r="AB527" t="s">
        <v>10527</v>
      </c>
      <c r="AC527" t="s">
        <v>10528</v>
      </c>
      <c r="AD527" t="s">
        <v>10529</v>
      </c>
      <c r="AE527" t="s">
        <v>10530</v>
      </c>
      <c r="AF527" t="s">
        <v>74</v>
      </c>
      <c r="AG527">
        <v>102</v>
      </c>
      <c r="AH527">
        <v>4</v>
      </c>
      <c r="AI527">
        <v>4</v>
      </c>
      <c r="AJ527">
        <v>0</v>
      </c>
      <c r="AK527">
        <v>12</v>
      </c>
      <c r="AL527" t="s">
        <v>335</v>
      </c>
      <c r="AM527" t="s">
        <v>336</v>
      </c>
      <c r="AN527" t="s">
        <v>337</v>
      </c>
      <c r="AO527" t="s">
        <v>74</v>
      </c>
      <c r="AP527" t="s">
        <v>438</v>
      </c>
      <c r="AQ527" t="s">
        <v>74</v>
      </c>
      <c r="AR527" t="s">
        <v>439</v>
      </c>
      <c r="AS527" t="s">
        <v>440</v>
      </c>
      <c r="AT527" t="s">
        <v>1809</v>
      </c>
      <c r="AU527">
        <v>2021</v>
      </c>
      <c r="AV527">
        <v>13</v>
      </c>
      <c r="AW527">
        <v>6</v>
      </c>
      <c r="AX527" t="s">
        <v>74</v>
      </c>
      <c r="AY527" t="s">
        <v>74</v>
      </c>
      <c r="AZ527" t="s">
        <v>74</v>
      </c>
      <c r="BA527" t="s">
        <v>74</v>
      </c>
      <c r="BB527" t="s">
        <v>74</v>
      </c>
      <c r="BC527" t="s">
        <v>74</v>
      </c>
      <c r="BD527">
        <v>1122</v>
      </c>
      <c r="BE527" t="s">
        <v>10531</v>
      </c>
      <c r="BF527" t="str">
        <f>HYPERLINK("http://dx.doi.org/10.3390/rs13061122","http://dx.doi.org/10.3390/rs13061122")</f>
        <v>http://dx.doi.org/10.3390/rs13061122</v>
      </c>
      <c r="BG527" t="s">
        <v>74</v>
      </c>
      <c r="BH527" t="s">
        <v>74</v>
      </c>
      <c r="BI527">
        <v>24</v>
      </c>
      <c r="BJ527" t="s">
        <v>442</v>
      </c>
      <c r="BK527" t="s">
        <v>101</v>
      </c>
      <c r="BL527" t="s">
        <v>443</v>
      </c>
      <c r="BM527" t="s">
        <v>10532</v>
      </c>
      <c r="BN527" t="s">
        <v>74</v>
      </c>
      <c r="BO527" t="s">
        <v>317</v>
      </c>
      <c r="BP527" t="s">
        <v>74</v>
      </c>
      <c r="BQ527" t="s">
        <v>74</v>
      </c>
      <c r="BR527" t="s">
        <v>104</v>
      </c>
      <c r="BS527" t="s">
        <v>10533</v>
      </c>
      <c r="BT527" t="str">
        <f>HYPERLINK("https%3A%2F%2Fwww.webofscience.com%2Fwos%2Fwoscc%2Ffull-record%2FWOS:000651940500001","View Full Record in Web of Science")</f>
        <v>View Full Record in Web of Science</v>
      </c>
    </row>
    <row r="528" spans="1:72" x14ac:dyDescent="0.15">
      <c r="A528" t="s">
        <v>72</v>
      </c>
      <c r="B528" t="s">
        <v>10534</v>
      </c>
      <c r="C528" t="s">
        <v>74</v>
      </c>
      <c r="D528" t="s">
        <v>74</v>
      </c>
      <c r="E528" t="s">
        <v>74</v>
      </c>
      <c r="F528" t="s">
        <v>10535</v>
      </c>
      <c r="G528" t="s">
        <v>74</v>
      </c>
      <c r="H528" t="s">
        <v>74</v>
      </c>
      <c r="I528" t="s">
        <v>10536</v>
      </c>
      <c r="J528" t="s">
        <v>425</v>
      </c>
      <c r="K528" t="s">
        <v>74</v>
      </c>
      <c r="L528" t="s">
        <v>74</v>
      </c>
      <c r="M528" t="s">
        <v>78</v>
      </c>
      <c r="N528" t="s">
        <v>79</v>
      </c>
      <c r="O528" t="s">
        <v>74</v>
      </c>
      <c r="P528" t="s">
        <v>74</v>
      </c>
      <c r="Q528" t="s">
        <v>74</v>
      </c>
      <c r="R528" t="s">
        <v>74</v>
      </c>
      <c r="S528" t="s">
        <v>74</v>
      </c>
      <c r="T528" t="s">
        <v>10537</v>
      </c>
      <c r="U528" t="s">
        <v>10538</v>
      </c>
      <c r="V528" t="s">
        <v>10539</v>
      </c>
      <c r="W528" t="s">
        <v>10540</v>
      </c>
      <c r="X528" t="s">
        <v>5519</v>
      </c>
      <c r="Y528" t="s">
        <v>10541</v>
      </c>
      <c r="Z528" t="s">
        <v>10542</v>
      </c>
      <c r="AA528" t="s">
        <v>10543</v>
      </c>
      <c r="AB528" t="s">
        <v>10544</v>
      </c>
      <c r="AC528" t="s">
        <v>10545</v>
      </c>
      <c r="AD528" t="s">
        <v>10546</v>
      </c>
      <c r="AE528" t="s">
        <v>10547</v>
      </c>
      <c r="AF528" t="s">
        <v>74</v>
      </c>
      <c r="AG528">
        <v>47</v>
      </c>
      <c r="AH528">
        <v>23</v>
      </c>
      <c r="AI528">
        <v>26</v>
      </c>
      <c r="AJ528">
        <v>27</v>
      </c>
      <c r="AK528">
        <v>128</v>
      </c>
      <c r="AL528" t="s">
        <v>335</v>
      </c>
      <c r="AM528" t="s">
        <v>336</v>
      </c>
      <c r="AN528" t="s">
        <v>337</v>
      </c>
      <c r="AO528" t="s">
        <v>74</v>
      </c>
      <c r="AP528" t="s">
        <v>438</v>
      </c>
      <c r="AQ528" t="s">
        <v>74</v>
      </c>
      <c r="AR528" t="s">
        <v>439</v>
      </c>
      <c r="AS528" t="s">
        <v>440</v>
      </c>
      <c r="AT528" t="s">
        <v>1809</v>
      </c>
      <c r="AU528">
        <v>2021</v>
      </c>
      <c r="AV528">
        <v>13</v>
      </c>
      <c r="AW528">
        <v>6</v>
      </c>
      <c r="AX528" t="s">
        <v>74</v>
      </c>
      <c r="AY528" t="s">
        <v>74</v>
      </c>
      <c r="AZ528" t="s">
        <v>74</v>
      </c>
      <c r="BA528" t="s">
        <v>74</v>
      </c>
      <c r="BB528" t="s">
        <v>74</v>
      </c>
      <c r="BC528" t="s">
        <v>74</v>
      </c>
      <c r="BD528">
        <v>1055</v>
      </c>
      <c r="BE528" t="s">
        <v>10548</v>
      </c>
      <c r="BF528" t="str">
        <f>HYPERLINK("http://dx.doi.org/10.3390/rs13061055","http://dx.doi.org/10.3390/rs13061055")</f>
        <v>http://dx.doi.org/10.3390/rs13061055</v>
      </c>
      <c r="BG528" t="s">
        <v>74</v>
      </c>
      <c r="BH528" t="s">
        <v>74</v>
      </c>
      <c r="BI528">
        <v>16</v>
      </c>
      <c r="BJ528" t="s">
        <v>442</v>
      </c>
      <c r="BK528" t="s">
        <v>101</v>
      </c>
      <c r="BL528" t="s">
        <v>443</v>
      </c>
      <c r="BM528" t="s">
        <v>10549</v>
      </c>
      <c r="BN528" t="s">
        <v>74</v>
      </c>
      <c r="BO528" t="s">
        <v>398</v>
      </c>
      <c r="BP528" t="s">
        <v>74</v>
      </c>
      <c r="BQ528" t="s">
        <v>74</v>
      </c>
      <c r="BR528" t="s">
        <v>104</v>
      </c>
      <c r="BS528" t="s">
        <v>10550</v>
      </c>
      <c r="BT528" t="str">
        <f>HYPERLINK("https%3A%2F%2Fwww.webofscience.com%2Fwos%2Fwoscc%2Ffull-record%2FWOS:000651999700001","View Full Record in Web of Science")</f>
        <v>View Full Record in Web of Science</v>
      </c>
    </row>
    <row r="529" spans="1:72" x14ac:dyDescent="0.15">
      <c r="A529" t="s">
        <v>72</v>
      </c>
      <c r="B529" t="s">
        <v>10551</v>
      </c>
      <c r="C529" t="s">
        <v>74</v>
      </c>
      <c r="D529" t="s">
        <v>74</v>
      </c>
      <c r="E529" t="s">
        <v>74</v>
      </c>
      <c r="F529" t="s">
        <v>10552</v>
      </c>
      <c r="G529" t="s">
        <v>74</v>
      </c>
      <c r="H529" t="s">
        <v>74</v>
      </c>
      <c r="I529" t="s">
        <v>10553</v>
      </c>
      <c r="J529" t="s">
        <v>403</v>
      </c>
      <c r="K529" t="s">
        <v>74</v>
      </c>
      <c r="L529" t="s">
        <v>74</v>
      </c>
      <c r="M529" t="s">
        <v>78</v>
      </c>
      <c r="N529" t="s">
        <v>79</v>
      </c>
      <c r="O529" t="s">
        <v>74</v>
      </c>
      <c r="P529" t="s">
        <v>74</v>
      </c>
      <c r="Q529" t="s">
        <v>74</v>
      </c>
      <c r="R529" t="s">
        <v>74</v>
      </c>
      <c r="S529" t="s">
        <v>74</v>
      </c>
      <c r="T529" t="s">
        <v>10554</v>
      </c>
      <c r="U529" t="s">
        <v>10555</v>
      </c>
      <c r="V529" t="s">
        <v>10556</v>
      </c>
      <c r="W529" t="s">
        <v>10557</v>
      </c>
      <c r="X529" t="s">
        <v>10558</v>
      </c>
      <c r="Y529" t="s">
        <v>10559</v>
      </c>
      <c r="Z529" t="s">
        <v>10560</v>
      </c>
      <c r="AA529" t="s">
        <v>10561</v>
      </c>
      <c r="AB529" t="s">
        <v>10562</v>
      </c>
      <c r="AC529" t="s">
        <v>10563</v>
      </c>
      <c r="AD529" t="s">
        <v>10564</v>
      </c>
      <c r="AE529" t="s">
        <v>10565</v>
      </c>
      <c r="AF529" t="s">
        <v>74</v>
      </c>
      <c r="AG529">
        <v>28</v>
      </c>
      <c r="AH529">
        <v>2</v>
      </c>
      <c r="AI529">
        <v>2</v>
      </c>
      <c r="AJ529">
        <v>2</v>
      </c>
      <c r="AK529">
        <v>3</v>
      </c>
      <c r="AL529" t="s">
        <v>413</v>
      </c>
      <c r="AM529" t="s">
        <v>167</v>
      </c>
      <c r="AN529" t="s">
        <v>414</v>
      </c>
      <c r="AO529" t="s">
        <v>415</v>
      </c>
      <c r="AP529" t="s">
        <v>416</v>
      </c>
      <c r="AQ529" t="s">
        <v>74</v>
      </c>
      <c r="AR529" t="s">
        <v>417</v>
      </c>
      <c r="AS529" t="s">
        <v>418</v>
      </c>
      <c r="AT529" t="s">
        <v>1809</v>
      </c>
      <c r="AU529">
        <v>2021</v>
      </c>
      <c r="AV529">
        <v>61</v>
      </c>
      <c r="AW529">
        <v>2</v>
      </c>
      <c r="AX529" t="s">
        <v>74</v>
      </c>
      <c r="AY529" t="s">
        <v>74</v>
      </c>
      <c r="AZ529" t="s">
        <v>74</v>
      </c>
      <c r="BA529" t="s">
        <v>74</v>
      </c>
      <c r="BB529">
        <v>151</v>
      </c>
      <c r="BC529">
        <v>158</v>
      </c>
      <c r="BD529" t="s">
        <v>74</v>
      </c>
      <c r="BE529" t="s">
        <v>10566</v>
      </c>
      <c r="BF529" t="str">
        <f>HYPERLINK("http://dx.doi.org/10.1134/S0001437021020090","http://dx.doi.org/10.1134/S0001437021020090")</f>
        <v>http://dx.doi.org/10.1134/S0001437021020090</v>
      </c>
      <c r="BG529" t="s">
        <v>74</v>
      </c>
      <c r="BH529" t="s">
        <v>74</v>
      </c>
      <c r="BI529">
        <v>8</v>
      </c>
      <c r="BJ529" t="s">
        <v>369</v>
      </c>
      <c r="BK529" t="s">
        <v>101</v>
      </c>
      <c r="BL529" t="s">
        <v>369</v>
      </c>
      <c r="BM529" t="s">
        <v>10567</v>
      </c>
      <c r="BN529" t="s">
        <v>74</v>
      </c>
      <c r="BO529" t="s">
        <v>74</v>
      </c>
      <c r="BP529" t="s">
        <v>74</v>
      </c>
      <c r="BQ529" t="s">
        <v>74</v>
      </c>
      <c r="BR529" t="s">
        <v>104</v>
      </c>
      <c r="BS529" t="s">
        <v>10568</v>
      </c>
      <c r="BT529" t="str">
        <f>HYPERLINK("https%3A%2F%2Fwww.webofscience.com%2Fwos%2Fwoscc%2Ffull-record%2FWOS:000646943500001","View Full Record in Web of Science")</f>
        <v>View Full Record in Web of Science</v>
      </c>
    </row>
    <row r="530" spans="1:72" x14ac:dyDescent="0.15">
      <c r="A530" t="s">
        <v>72</v>
      </c>
      <c r="B530" t="s">
        <v>10569</v>
      </c>
      <c r="C530" t="s">
        <v>74</v>
      </c>
      <c r="D530" t="s">
        <v>74</v>
      </c>
      <c r="E530" t="s">
        <v>74</v>
      </c>
      <c r="F530" t="s">
        <v>10570</v>
      </c>
      <c r="G530" t="s">
        <v>74</v>
      </c>
      <c r="H530" t="s">
        <v>74</v>
      </c>
      <c r="I530" t="s">
        <v>10571</v>
      </c>
      <c r="J530" t="s">
        <v>425</v>
      </c>
      <c r="K530" t="s">
        <v>74</v>
      </c>
      <c r="L530" t="s">
        <v>74</v>
      </c>
      <c r="M530" t="s">
        <v>78</v>
      </c>
      <c r="N530" t="s">
        <v>79</v>
      </c>
      <c r="O530" t="s">
        <v>74</v>
      </c>
      <c r="P530" t="s">
        <v>74</v>
      </c>
      <c r="Q530" t="s">
        <v>74</v>
      </c>
      <c r="R530" t="s">
        <v>74</v>
      </c>
      <c r="S530" t="s">
        <v>74</v>
      </c>
      <c r="T530" t="s">
        <v>10572</v>
      </c>
      <c r="U530" t="s">
        <v>10573</v>
      </c>
      <c r="V530" t="s">
        <v>10574</v>
      </c>
      <c r="W530" t="s">
        <v>10575</v>
      </c>
      <c r="X530" t="s">
        <v>74</v>
      </c>
      <c r="Y530" t="s">
        <v>10576</v>
      </c>
      <c r="Z530" t="s">
        <v>10577</v>
      </c>
      <c r="AA530" t="s">
        <v>10578</v>
      </c>
      <c r="AB530" t="s">
        <v>10579</v>
      </c>
      <c r="AC530" t="s">
        <v>10580</v>
      </c>
      <c r="AD530" t="s">
        <v>10581</v>
      </c>
      <c r="AE530" t="s">
        <v>10582</v>
      </c>
      <c r="AF530" t="s">
        <v>74</v>
      </c>
      <c r="AG530">
        <v>31</v>
      </c>
      <c r="AH530">
        <v>1</v>
      </c>
      <c r="AI530">
        <v>1</v>
      </c>
      <c r="AJ530">
        <v>0</v>
      </c>
      <c r="AK530">
        <v>14</v>
      </c>
      <c r="AL530" t="s">
        <v>335</v>
      </c>
      <c r="AM530" t="s">
        <v>336</v>
      </c>
      <c r="AN530" t="s">
        <v>337</v>
      </c>
      <c r="AO530" t="s">
        <v>74</v>
      </c>
      <c r="AP530" t="s">
        <v>438</v>
      </c>
      <c r="AQ530" t="s">
        <v>74</v>
      </c>
      <c r="AR530" t="s">
        <v>439</v>
      </c>
      <c r="AS530" t="s">
        <v>440</v>
      </c>
      <c r="AT530" t="s">
        <v>1809</v>
      </c>
      <c r="AU530">
        <v>2021</v>
      </c>
      <c r="AV530">
        <v>13</v>
      </c>
      <c r="AW530">
        <v>6</v>
      </c>
      <c r="AX530" t="s">
        <v>74</v>
      </c>
      <c r="AY530" t="s">
        <v>74</v>
      </c>
      <c r="AZ530" t="s">
        <v>74</v>
      </c>
      <c r="BA530" t="s">
        <v>74</v>
      </c>
      <c r="BB530" t="s">
        <v>74</v>
      </c>
      <c r="BC530" t="s">
        <v>74</v>
      </c>
      <c r="BD530">
        <v>1164</v>
      </c>
      <c r="BE530" t="s">
        <v>10583</v>
      </c>
      <c r="BF530" t="str">
        <f>HYPERLINK("http://dx.doi.org/10.3390/rs13061164","http://dx.doi.org/10.3390/rs13061164")</f>
        <v>http://dx.doi.org/10.3390/rs13061164</v>
      </c>
      <c r="BG530" t="s">
        <v>74</v>
      </c>
      <c r="BH530" t="s">
        <v>74</v>
      </c>
      <c r="BI530">
        <v>16</v>
      </c>
      <c r="BJ530" t="s">
        <v>442</v>
      </c>
      <c r="BK530" t="s">
        <v>101</v>
      </c>
      <c r="BL530" t="s">
        <v>443</v>
      </c>
      <c r="BM530" t="s">
        <v>10584</v>
      </c>
      <c r="BN530" t="s">
        <v>74</v>
      </c>
      <c r="BO530" t="s">
        <v>317</v>
      </c>
      <c r="BP530" t="s">
        <v>74</v>
      </c>
      <c r="BQ530" t="s">
        <v>74</v>
      </c>
      <c r="BR530" t="s">
        <v>104</v>
      </c>
      <c r="BS530" t="s">
        <v>10585</v>
      </c>
      <c r="BT530" t="str">
        <f>HYPERLINK("https%3A%2F%2Fwww.webofscience.com%2Fwos%2Fwoscc%2Ffull-record%2FWOS:000651930000001","View Full Record in Web of Science")</f>
        <v>View Full Record in Web of Science</v>
      </c>
    </row>
    <row r="531" spans="1:72" x14ac:dyDescent="0.15">
      <c r="A531" t="s">
        <v>72</v>
      </c>
      <c r="B531" t="s">
        <v>10586</v>
      </c>
      <c r="C531" t="s">
        <v>74</v>
      </c>
      <c r="D531" t="s">
        <v>74</v>
      </c>
      <c r="E531" t="s">
        <v>74</v>
      </c>
      <c r="F531" t="s">
        <v>10587</v>
      </c>
      <c r="G531" t="s">
        <v>74</v>
      </c>
      <c r="H531" t="s">
        <v>74</v>
      </c>
      <c r="I531" t="s">
        <v>10588</v>
      </c>
      <c r="J531" t="s">
        <v>10589</v>
      </c>
      <c r="K531" t="s">
        <v>74</v>
      </c>
      <c r="L531" t="s">
        <v>74</v>
      </c>
      <c r="M531" t="s">
        <v>78</v>
      </c>
      <c r="N531" t="s">
        <v>79</v>
      </c>
      <c r="O531" t="s">
        <v>74</v>
      </c>
      <c r="P531" t="s">
        <v>74</v>
      </c>
      <c r="Q531" t="s">
        <v>74</v>
      </c>
      <c r="R531" t="s">
        <v>74</v>
      </c>
      <c r="S531" t="s">
        <v>74</v>
      </c>
      <c r="T531" t="s">
        <v>10590</v>
      </c>
      <c r="U531" t="s">
        <v>10591</v>
      </c>
      <c r="V531" t="s">
        <v>10592</v>
      </c>
      <c r="W531" t="s">
        <v>10593</v>
      </c>
      <c r="X531" t="s">
        <v>10594</v>
      </c>
      <c r="Y531" t="s">
        <v>10595</v>
      </c>
      <c r="Z531" t="s">
        <v>10596</v>
      </c>
      <c r="AA531" t="s">
        <v>74</v>
      </c>
      <c r="AB531" t="s">
        <v>10597</v>
      </c>
      <c r="AC531" t="s">
        <v>10598</v>
      </c>
      <c r="AD531" t="s">
        <v>10599</v>
      </c>
      <c r="AE531" t="s">
        <v>10600</v>
      </c>
      <c r="AF531" t="s">
        <v>74</v>
      </c>
      <c r="AG531">
        <v>44</v>
      </c>
      <c r="AH531">
        <v>5</v>
      </c>
      <c r="AI531">
        <v>5</v>
      </c>
      <c r="AJ531">
        <v>2</v>
      </c>
      <c r="AK531">
        <v>14</v>
      </c>
      <c r="AL531" t="s">
        <v>166</v>
      </c>
      <c r="AM531" t="s">
        <v>167</v>
      </c>
      <c r="AN531" t="s">
        <v>168</v>
      </c>
      <c r="AO531" t="s">
        <v>10601</v>
      </c>
      <c r="AP531" t="s">
        <v>10602</v>
      </c>
      <c r="AQ531" t="s">
        <v>74</v>
      </c>
      <c r="AR531" t="s">
        <v>10603</v>
      </c>
      <c r="AS531" t="s">
        <v>10604</v>
      </c>
      <c r="AT531" t="s">
        <v>1809</v>
      </c>
      <c r="AU531">
        <v>2021</v>
      </c>
      <c r="AV531">
        <v>40</v>
      </c>
      <c r="AW531">
        <v>3</v>
      </c>
      <c r="AX531" t="s">
        <v>74</v>
      </c>
      <c r="AY531" t="s">
        <v>74</v>
      </c>
      <c r="AZ531" t="s">
        <v>74</v>
      </c>
      <c r="BA531" t="s">
        <v>74</v>
      </c>
      <c r="BB531">
        <v>46</v>
      </c>
      <c r="BC531">
        <v>57</v>
      </c>
      <c r="BD531" t="s">
        <v>74</v>
      </c>
      <c r="BE531" t="s">
        <v>10605</v>
      </c>
      <c r="BF531" t="str">
        <f>HYPERLINK("http://dx.doi.org/10.1007/s13131-021-1706-5","http://dx.doi.org/10.1007/s13131-021-1706-5")</f>
        <v>http://dx.doi.org/10.1007/s13131-021-1706-5</v>
      </c>
      <c r="BG531" t="s">
        <v>74</v>
      </c>
      <c r="BH531" t="s">
        <v>74</v>
      </c>
      <c r="BI531">
        <v>12</v>
      </c>
      <c r="BJ531" t="s">
        <v>369</v>
      </c>
      <c r="BK531" t="s">
        <v>101</v>
      </c>
      <c r="BL531" t="s">
        <v>369</v>
      </c>
      <c r="BM531" t="s">
        <v>10606</v>
      </c>
      <c r="BN531" t="s">
        <v>74</v>
      </c>
      <c r="BO531" t="s">
        <v>74</v>
      </c>
      <c r="BP531" t="s">
        <v>74</v>
      </c>
      <c r="BQ531" t="s">
        <v>74</v>
      </c>
      <c r="BR531" t="s">
        <v>104</v>
      </c>
      <c r="BS531" t="s">
        <v>10607</v>
      </c>
      <c r="BT531" t="str">
        <f>HYPERLINK("https%3A%2F%2Fwww.webofscience.com%2Fwos%2Fwoscc%2Ffull-record%2FWOS:000648291300005","View Full Record in Web of Science")</f>
        <v>View Full Record in Web of Science</v>
      </c>
    </row>
    <row r="532" spans="1:72" x14ac:dyDescent="0.15">
      <c r="A532" t="s">
        <v>72</v>
      </c>
      <c r="B532" t="s">
        <v>10608</v>
      </c>
      <c r="C532" t="s">
        <v>74</v>
      </c>
      <c r="D532" t="s">
        <v>74</v>
      </c>
      <c r="E532" t="s">
        <v>74</v>
      </c>
      <c r="F532" t="s">
        <v>10609</v>
      </c>
      <c r="G532" t="s">
        <v>74</v>
      </c>
      <c r="H532" t="s">
        <v>74</v>
      </c>
      <c r="I532" t="s">
        <v>10610</v>
      </c>
      <c r="J532" t="s">
        <v>10589</v>
      </c>
      <c r="K532" t="s">
        <v>74</v>
      </c>
      <c r="L532" t="s">
        <v>74</v>
      </c>
      <c r="M532" t="s">
        <v>78</v>
      </c>
      <c r="N532" t="s">
        <v>79</v>
      </c>
      <c r="O532" t="s">
        <v>74</v>
      </c>
      <c r="P532" t="s">
        <v>74</v>
      </c>
      <c r="Q532" t="s">
        <v>74</v>
      </c>
      <c r="R532" t="s">
        <v>74</v>
      </c>
      <c r="S532" t="s">
        <v>74</v>
      </c>
      <c r="T532" t="s">
        <v>10611</v>
      </c>
      <c r="U532" t="s">
        <v>10612</v>
      </c>
      <c r="V532" t="s">
        <v>10613</v>
      </c>
      <c r="W532" t="s">
        <v>10614</v>
      </c>
      <c r="X532" t="s">
        <v>10615</v>
      </c>
      <c r="Y532" t="s">
        <v>10616</v>
      </c>
      <c r="Z532" t="s">
        <v>10617</v>
      </c>
      <c r="AA532" t="s">
        <v>10618</v>
      </c>
      <c r="AB532" t="s">
        <v>74</v>
      </c>
      <c r="AC532" t="s">
        <v>10619</v>
      </c>
      <c r="AD532" t="s">
        <v>10620</v>
      </c>
      <c r="AE532" t="s">
        <v>10621</v>
      </c>
      <c r="AF532" t="s">
        <v>74</v>
      </c>
      <c r="AG532">
        <v>28</v>
      </c>
      <c r="AH532">
        <v>0</v>
      </c>
      <c r="AI532">
        <v>0</v>
      </c>
      <c r="AJ532">
        <v>3</v>
      </c>
      <c r="AK532">
        <v>12</v>
      </c>
      <c r="AL532" t="s">
        <v>166</v>
      </c>
      <c r="AM532" t="s">
        <v>167</v>
      </c>
      <c r="AN532" t="s">
        <v>168</v>
      </c>
      <c r="AO532" t="s">
        <v>10601</v>
      </c>
      <c r="AP532" t="s">
        <v>10602</v>
      </c>
      <c r="AQ532" t="s">
        <v>74</v>
      </c>
      <c r="AR532" t="s">
        <v>10603</v>
      </c>
      <c r="AS532" t="s">
        <v>10604</v>
      </c>
      <c r="AT532" t="s">
        <v>1809</v>
      </c>
      <c r="AU532">
        <v>2021</v>
      </c>
      <c r="AV532">
        <v>40</v>
      </c>
      <c r="AW532">
        <v>3</v>
      </c>
      <c r="AX532" t="s">
        <v>74</v>
      </c>
      <c r="AY532" t="s">
        <v>74</v>
      </c>
      <c r="AZ532" t="s">
        <v>74</v>
      </c>
      <c r="BA532" t="s">
        <v>74</v>
      </c>
      <c r="BB532">
        <v>142</v>
      </c>
      <c r="BC532">
        <v>152</v>
      </c>
      <c r="BD532" t="s">
        <v>74</v>
      </c>
      <c r="BE532" t="s">
        <v>10622</v>
      </c>
      <c r="BF532" t="str">
        <f>HYPERLINK("http://dx.doi.org/10.1007/s13131-021-1707-4","http://dx.doi.org/10.1007/s13131-021-1707-4")</f>
        <v>http://dx.doi.org/10.1007/s13131-021-1707-4</v>
      </c>
      <c r="BG532" t="s">
        <v>74</v>
      </c>
      <c r="BH532" t="s">
        <v>74</v>
      </c>
      <c r="BI532">
        <v>11</v>
      </c>
      <c r="BJ532" t="s">
        <v>369</v>
      </c>
      <c r="BK532" t="s">
        <v>101</v>
      </c>
      <c r="BL532" t="s">
        <v>369</v>
      </c>
      <c r="BM532" t="s">
        <v>10606</v>
      </c>
      <c r="BN532" t="s">
        <v>74</v>
      </c>
      <c r="BO532" t="s">
        <v>74</v>
      </c>
      <c r="BP532" t="s">
        <v>74</v>
      </c>
      <c r="BQ532" t="s">
        <v>74</v>
      </c>
      <c r="BR532" t="s">
        <v>104</v>
      </c>
      <c r="BS532" t="s">
        <v>10623</v>
      </c>
      <c r="BT532" t="str">
        <f>HYPERLINK("https%3A%2F%2Fwww.webofscience.com%2Fwos%2Fwoscc%2Ffull-record%2FWOS:000648291300013","View Full Record in Web of Science")</f>
        <v>View Full Record in Web of Science</v>
      </c>
    </row>
    <row r="533" spans="1:72" x14ac:dyDescent="0.15">
      <c r="A533" t="s">
        <v>72</v>
      </c>
      <c r="B533" t="s">
        <v>10624</v>
      </c>
      <c r="C533" t="s">
        <v>74</v>
      </c>
      <c r="D533" t="s">
        <v>74</v>
      </c>
      <c r="E533" t="s">
        <v>74</v>
      </c>
      <c r="F533" t="s">
        <v>10625</v>
      </c>
      <c r="G533" t="s">
        <v>74</v>
      </c>
      <c r="H533" t="s">
        <v>74</v>
      </c>
      <c r="I533" t="s">
        <v>10626</v>
      </c>
      <c r="J533" t="s">
        <v>425</v>
      </c>
      <c r="K533" t="s">
        <v>74</v>
      </c>
      <c r="L533" t="s">
        <v>74</v>
      </c>
      <c r="M533" t="s">
        <v>78</v>
      </c>
      <c r="N533" t="s">
        <v>79</v>
      </c>
      <c r="O533" t="s">
        <v>74</v>
      </c>
      <c r="P533" t="s">
        <v>74</v>
      </c>
      <c r="Q533" t="s">
        <v>74</v>
      </c>
      <c r="R533" t="s">
        <v>74</v>
      </c>
      <c r="S533" t="s">
        <v>74</v>
      </c>
      <c r="T533" t="s">
        <v>10627</v>
      </c>
      <c r="U533" t="s">
        <v>10628</v>
      </c>
      <c r="V533" t="s">
        <v>10629</v>
      </c>
      <c r="W533" t="s">
        <v>10630</v>
      </c>
      <c r="X533" t="s">
        <v>10631</v>
      </c>
      <c r="Y533" t="s">
        <v>10632</v>
      </c>
      <c r="Z533" t="s">
        <v>10633</v>
      </c>
      <c r="AA533" t="s">
        <v>10634</v>
      </c>
      <c r="AB533" t="s">
        <v>10635</v>
      </c>
      <c r="AC533" t="s">
        <v>10636</v>
      </c>
      <c r="AD533" t="s">
        <v>10637</v>
      </c>
      <c r="AE533" t="s">
        <v>10638</v>
      </c>
      <c r="AF533" t="s">
        <v>74</v>
      </c>
      <c r="AG533">
        <v>80</v>
      </c>
      <c r="AH533">
        <v>4</v>
      </c>
      <c r="AI533">
        <v>5</v>
      </c>
      <c r="AJ533">
        <v>2</v>
      </c>
      <c r="AK533">
        <v>29</v>
      </c>
      <c r="AL533" t="s">
        <v>335</v>
      </c>
      <c r="AM533" t="s">
        <v>336</v>
      </c>
      <c r="AN533" t="s">
        <v>337</v>
      </c>
      <c r="AO533" t="s">
        <v>74</v>
      </c>
      <c r="AP533" t="s">
        <v>438</v>
      </c>
      <c r="AQ533" t="s">
        <v>74</v>
      </c>
      <c r="AR533" t="s">
        <v>439</v>
      </c>
      <c r="AS533" t="s">
        <v>440</v>
      </c>
      <c r="AT533" t="s">
        <v>1809</v>
      </c>
      <c r="AU533">
        <v>2021</v>
      </c>
      <c r="AV533">
        <v>13</v>
      </c>
      <c r="AW533">
        <v>6</v>
      </c>
      <c r="AX533" t="s">
        <v>74</v>
      </c>
      <c r="AY533" t="s">
        <v>74</v>
      </c>
      <c r="AZ533" t="s">
        <v>74</v>
      </c>
      <c r="BA533" t="s">
        <v>74</v>
      </c>
      <c r="BB533" t="s">
        <v>74</v>
      </c>
      <c r="BC533" t="s">
        <v>74</v>
      </c>
      <c r="BD533">
        <v>1220</v>
      </c>
      <c r="BE533" t="s">
        <v>10639</v>
      </c>
      <c r="BF533" t="str">
        <f>HYPERLINK("http://dx.doi.org/10.3390/rs13061220","http://dx.doi.org/10.3390/rs13061220")</f>
        <v>http://dx.doi.org/10.3390/rs13061220</v>
      </c>
      <c r="BG533" t="s">
        <v>74</v>
      </c>
      <c r="BH533" t="s">
        <v>74</v>
      </c>
      <c r="BI533">
        <v>24</v>
      </c>
      <c r="BJ533" t="s">
        <v>442</v>
      </c>
      <c r="BK533" t="s">
        <v>101</v>
      </c>
      <c r="BL533" t="s">
        <v>443</v>
      </c>
      <c r="BM533" t="s">
        <v>10640</v>
      </c>
      <c r="BN533" t="s">
        <v>74</v>
      </c>
      <c r="BO533" t="s">
        <v>317</v>
      </c>
      <c r="BP533" t="s">
        <v>74</v>
      </c>
      <c r="BQ533" t="s">
        <v>74</v>
      </c>
      <c r="BR533" t="s">
        <v>104</v>
      </c>
      <c r="BS533" t="s">
        <v>10641</v>
      </c>
      <c r="BT533" t="str">
        <f>HYPERLINK("https%3A%2F%2Fwww.webofscience.com%2Fwos%2Fwoscc%2Ffull-record%2FWOS:000651985200001","View Full Record in Web of Science")</f>
        <v>View Full Record in Web of Science</v>
      </c>
    </row>
    <row r="534" spans="1:72" x14ac:dyDescent="0.15">
      <c r="A534" t="s">
        <v>72</v>
      </c>
      <c r="B534" t="s">
        <v>10642</v>
      </c>
      <c r="C534" t="s">
        <v>74</v>
      </c>
      <c r="D534" t="s">
        <v>74</v>
      </c>
      <c r="E534" t="s">
        <v>74</v>
      </c>
      <c r="F534" t="s">
        <v>10643</v>
      </c>
      <c r="G534" t="s">
        <v>74</v>
      </c>
      <c r="H534" t="s">
        <v>74</v>
      </c>
      <c r="I534" t="s">
        <v>10644</v>
      </c>
      <c r="J534" t="s">
        <v>425</v>
      </c>
      <c r="K534" t="s">
        <v>74</v>
      </c>
      <c r="L534" t="s">
        <v>74</v>
      </c>
      <c r="M534" t="s">
        <v>78</v>
      </c>
      <c r="N534" t="s">
        <v>79</v>
      </c>
      <c r="O534" t="s">
        <v>74</v>
      </c>
      <c r="P534" t="s">
        <v>74</v>
      </c>
      <c r="Q534" t="s">
        <v>74</v>
      </c>
      <c r="R534" t="s">
        <v>74</v>
      </c>
      <c r="S534" t="s">
        <v>74</v>
      </c>
      <c r="T534" t="s">
        <v>10645</v>
      </c>
      <c r="U534" t="s">
        <v>10646</v>
      </c>
      <c r="V534" t="s">
        <v>10647</v>
      </c>
      <c r="W534" t="s">
        <v>10648</v>
      </c>
      <c r="X534" t="s">
        <v>10649</v>
      </c>
      <c r="Y534" t="s">
        <v>10650</v>
      </c>
      <c r="Z534" t="s">
        <v>10651</v>
      </c>
      <c r="AA534" t="s">
        <v>10652</v>
      </c>
      <c r="AB534" t="s">
        <v>10653</v>
      </c>
      <c r="AC534" t="s">
        <v>10654</v>
      </c>
      <c r="AD534" t="s">
        <v>10655</v>
      </c>
      <c r="AE534" t="s">
        <v>10656</v>
      </c>
      <c r="AF534" t="s">
        <v>74</v>
      </c>
      <c r="AG534">
        <v>38</v>
      </c>
      <c r="AH534">
        <v>4</v>
      </c>
      <c r="AI534">
        <v>4</v>
      </c>
      <c r="AJ534">
        <v>3</v>
      </c>
      <c r="AK534">
        <v>27</v>
      </c>
      <c r="AL534" t="s">
        <v>335</v>
      </c>
      <c r="AM534" t="s">
        <v>336</v>
      </c>
      <c r="AN534" t="s">
        <v>337</v>
      </c>
      <c r="AO534" t="s">
        <v>74</v>
      </c>
      <c r="AP534" t="s">
        <v>438</v>
      </c>
      <c r="AQ534" t="s">
        <v>74</v>
      </c>
      <c r="AR534" t="s">
        <v>439</v>
      </c>
      <c r="AS534" t="s">
        <v>440</v>
      </c>
      <c r="AT534" t="s">
        <v>1809</v>
      </c>
      <c r="AU534">
        <v>2021</v>
      </c>
      <c r="AV534">
        <v>13</v>
      </c>
      <c r="AW534">
        <v>6</v>
      </c>
      <c r="AX534" t="s">
        <v>74</v>
      </c>
      <c r="AY534" t="s">
        <v>74</v>
      </c>
      <c r="AZ534" t="s">
        <v>74</v>
      </c>
      <c r="BA534" t="s">
        <v>74</v>
      </c>
      <c r="BB534" t="s">
        <v>74</v>
      </c>
      <c r="BC534" t="s">
        <v>74</v>
      </c>
      <c r="BD534">
        <v>1190</v>
      </c>
      <c r="BE534" t="s">
        <v>10657</v>
      </c>
      <c r="BF534" t="str">
        <f>HYPERLINK("http://dx.doi.org/10.3390/rs13061190","http://dx.doi.org/10.3390/rs13061190")</f>
        <v>http://dx.doi.org/10.3390/rs13061190</v>
      </c>
      <c r="BG534" t="s">
        <v>74</v>
      </c>
      <c r="BH534" t="s">
        <v>74</v>
      </c>
      <c r="BI534">
        <v>12</v>
      </c>
      <c r="BJ534" t="s">
        <v>442</v>
      </c>
      <c r="BK534" t="s">
        <v>101</v>
      </c>
      <c r="BL534" t="s">
        <v>443</v>
      </c>
      <c r="BM534" t="s">
        <v>10658</v>
      </c>
      <c r="BN534" t="s">
        <v>74</v>
      </c>
      <c r="BO534" t="s">
        <v>1280</v>
      </c>
      <c r="BP534" t="s">
        <v>74</v>
      </c>
      <c r="BQ534" t="s">
        <v>74</v>
      </c>
      <c r="BR534" t="s">
        <v>104</v>
      </c>
      <c r="BS534" t="s">
        <v>10659</v>
      </c>
      <c r="BT534" t="str">
        <f>HYPERLINK("https%3A%2F%2Fwww.webofscience.com%2Fwos%2Fwoscc%2Ffull-record%2FWOS:000651984900001","View Full Record in Web of Science")</f>
        <v>View Full Record in Web of Science</v>
      </c>
    </row>
    <row r="535" spans="1:72" x14ac:dyDescent="0.15">
      <c r="A535" t="s">
        <v>72</v>
      </c>
      <c r="B535" t="s">
        <v>10660</v>
      </c>
      <c r="C535" t="s">
        <v>74</v>
      </c>
      <c r="D535" t="s">
        <v>74</v>
      </c>
      <c r="E535" t="s">
        <v>74</v>
      </c>
      <c r="F535" t="s">
        <v>10661</v>
      </c>
      <c r="G535" t="s">
        <v>74</v>
      </c>
      <c r="H535" t="s">
        <v>74</v>
      </c>
      <c r="I535" t="s">
        <v>10662</v>
      </c>
      <c r="J535" t="s">
        <v>10663</v>
      </c>
      <c r="K535" t="s">
        <v>74</v>
      </c>
      <c r="L535" t="s">
        <v>74</v>
      </c>
      <c r="M535" t="s">
        <v>78</v>
      </c>
      <c r="N535" t="s">
        <v>79</v>
      </c>
      <c r="O535" t="s">
        <v>74</v>
      </c>
      <c r="P535" t="s">
        <v>74</v>
      </c>
      <c r="Q535" t="s">
        <v>74</v>
      </c>
      <c r="R535" t="s">
        <v>74</v>
      </c>
      <c r="S535" t="s">
        <v>74</v>
      </c>
      <c r="T535" t="s">
        <v>10664</v>
      </c>
      <c r="U535" t="s">
        <v>10665</v>
      </c>
      <c r="V535" t="s">
        <v>10666</v>
      </c>
      <c r="W535" t="s">
        <v>10667</v>
      </c>
      <c r="X535" t="s">
        <v>10668</v>
      </c>
      <c r="Y535" t="s">
        <v>10669</v>
      </c>
      <c r="Z535" t="s">
        <v>10670</v>
      </c>
      <c r="AA535" t="s">
        <v>10671</v>
      </c>
      <c r="AB535" t="s">
        <v>10672</v>
      </c>
      <c r="AC535" t="s">
        <v>10673</v>
      </c>
      <c r="AD535" t="s">
        <v>10674</v>
      </c>
      <c r="AE535" t="s">
        <v>10675</v>
      </c>
      <c r="AF535" t="s">
        <v>74</v>
      </c>
      <c r="AG535">
        <v>44</v>
      </c>
      <c r="AH535">
        <v>3</v>
      </c>
      <c r="AI535">
        <v>4</v>
      </c>
      <c r="AJ535">
        <v>1</v>
      </c>
      <c r="AK535">
        <v>17</v>
      </c>
      <c r="AL535" t="s">
        <v>10676</v>
      </c>
      <c r="AM535" t="s">
        <v>10677</v>
      </c>
      <c r="AN535" t="s">
        <v>10678</v>
      </c>
      <c r="AO535" t="s">
        <v>10679</v>
      </c>
      <c r="AP535" t="s">
        <v>10680</v>
      </c>
      <c r="AQ535" t="s">
        <v>74</v>
      </c>
      <c r="AR535" t="s">
        <v>10681</v>
      </c>
      <c r="AS535" t="s">
        <v>10682</v>
      </c>
      <c r="AT535" t="s">
        <v>1809</v>
      </c>
      <c r="AU535">
        <v>2021</v>
      </c>
      <c r="AV535">
        <v>29</v>
      </c>
      <c r="AW535">
        <v>2</v>
      </c>
      <c r="AX535" t="s">
        <v>74</v>
      </c>
      <c r="AY535" t="s">
        <v>74</v>
      </c>
      <c r="AZ535" t="s">
        <v>74</v>
      </c>
      <c r="BA535" t="s">
        <v>74</v>
      </c>
      <c r="BB535" t="s">
        <v>74</v>
      </c>
      <c r="BC535" t="s">
        <v>74</v>
      </c>
      <c r="BD535">
        <v>2150035</v>
      </c>
      <c r="BE535" t="s">
        <v>10683</v>
      </c>
      <c r="BF535" t="str">
        <f>HYPERLINK("http://dx.doi.org/10.1142/S0218348X21500353","http://dx.doi.org/10.1142/S0218348X21500353")</f>
        <v>http://dx.doi.org/10.1142/S0218348X21500353</v>
      </c>
      <c r="BG535" t="s">
        <v>74</v>
      </c>
      <c r="BH535" t="s">
        <v>74</v>
      </c>
      <c r="BI535">
        <v>17</v>
      </c>
      <c r="BJ535" t="s">
        <v>10684</v>
      </c>
      <c r="BK535" t="s">
        <v>101</v>
      </c>
      <c r="BL535" t="s">
        <v>10685</v>
      </c>
      <c r="BM535" t="s">
        <v>10686</v>
      </c>
      <c r="BN535" t="s">
        <v>74</v>
      </c>
      <c r="BO535" t="s">
        <v>496</v>
      </c>
      <c r="BP535" t="s">
        <v>74</v>
      </c>
      <c r="BQ535" t="s">
        <v>74</v>
      </c>
      <c r="BR535" t="s">
        <v>104</v>
      </c>
      <c r="BS535" t="s">
        <v>10687</v>
      </c>
      <c r="BT535" t="str">
        <f>HYPERLINK("https%3A%2F%2Fwww.webofscience.com%2Fwos%2Fwoscc%2Ffull-record%2FWOS:000641993400007","View Full Record in Web of Science")</f>
        <v>View Full Record in Web of Science</v>
      </c>
    </row>
    <row r="536" spans="1:72" x14ac:dyDescent="0.15">
      <c r="A536" t="s">
        <v>72</v>
      </c>
      <c r="B536" t="s">
        <v>10688</v>
      </c>
      <c r="C536" t="s">
        <v>74</v>
      </c>
      <c r="D536" t="s">
        <v>74</v>
      </c>
      <c r="E536" t="s">
        <v>74</v>
      </c>
      <c r="F536" t="s">
        <v>10689</v>
      </c>
      <c r="G536" t="s">
        <v>74</v>
      </c>
      <c r="H536" t="s">
        <v>74</v>
      </c>
      <c r="I536" t="s">
        <v>10690</v>
      </c>
      <c r="J536" t="s">
        <v>5376</v>
      </c>
      <c r="K536" t="s">
        <v>74</v>
      </c>
      <c r="L536" t="s">
        <v>74</v>
      </c>
      <c r="M536" t="s">
        <v>78</v>
      </c>
      <c r="N536" t="s">
        <v>79</v>
      </c>
      <c r="O536" t="s">
        <v>74</v>
      </c>
      <c r="P536" t="s">
        <v>74</v>
      </c>
      <c r="Q536" t="s">
        <v>74</v>
      </c>
      <c r="R536" t="s">
        <v>74</v>
      </c>
      <c r="S536" t="s">
        <v>74</v>
      </c>
      <c r="T536" t="s">
        <v>10691</v>
      </c>
      <c r="U536" t="s">
        <v>10692</v>
      </c>
      <c r="V536" t="s">
        <v>10693</v>
      </c>
      <c r="W536" t="s">
        <v>10694</v>
      </c>
      <c r="X536" t="s">
        <v>10695</v>
      </c>
      <c r="Y536" t="s">
        <v>10696</v>
      </c>
      <c r="Z536" t="s">
        <v>10697</v>
      </c>
      <c r="AA536" t="s">
        <v>10698</v>
      </c>
      <c r="AB536" t="s">
        <v>10699</v>
      </c>
      <c r="AC536" t="s">
        <v>10700</v>
      </c>
      <c r="AD536" t="s">
        <v>10701</v>
      </c>
      <c r="AE536" t="s">
        <v>10702</v>
      </c>
      <c r="AF536" t="s">
        <v>74</v>
      </c>
      <c r="AG536">
        <v>35</v>
      </c>
      <c r="AH536">
        <v>3</v>
      </c>
      <c r="AI536">
        <v>3</v>
      </c>
      <c r="AJ536">
        <v>1</v>
      </c>
      <c r="AK536">
        <v>3</v>
      </c>
      <c r="AL536" t="s">
        <v>413</v>
      </c>
      <c r="AM536" t="s">
        <v>167</v>
      </c>
      <c r="AN536" t="s">
        <v>414</v>
      </c>
      <c r="AO536" t="s">
        <v>5386</v>
      </c>
      <c r="AP536" t="s">
        <v>5387</v>
      </c>
      <c r="AQ536" t="s">
        <v>74</v>
      </c>
      <c r="AR536" t="s">
        <v>5388</v>
      </c>
      <c r="AS536" t="s">
        <v>5389</v>
      </c>
      <c r="AT536" t="s">
        <v>1809</v>
      </c>
      <c r="AU536">
        <v>2021</v>
      </c>
      <c r="AV536">
        <v>54</v>
      </c>
      <c r="AW536">
        <v>3</v>
      </c>
      <c r="AX536" t="s">
        <v>74</v>
      </c>
      <c r="AY536" t="s">
        <v>74</v>
      </c>
      <c r="AZ536" t="s">
        <v>74</v>
      </c>
      <c r="BA536" t="s">
        <v>74</v>
      </c>
      <c r="BB536">
        <v>417</v>
      </c>
      <c r="BC536">
        <v>423</v>
      </c>
      <c r="BD536" t="s">
        <v>74</v>
      </c>
      <c r="BE536" t="s">
        <v>10703</v>
      </c>
      <c r="BF536" t="str">
        <f>HYPERLINK("http://dx.doi.org/10.1134/S1064229321030030","http://dx.doi.org/10.1134/S1064229321030030")</f>
        <v>http://dx.doi.org/10.1134/S1064229321030030</v>
      </c>
      <c r="BG536" t="s">
        <v>74</v>
      </c>
      <c r="BH536" t="s">
        <v>74</v>
      </c>
      <c r="BI536">
        <v>7</v>
      </c>
      <c r="BJ536" t="s">
        <v>5391</v>
      </c>
      <c r="BK536" t="s">
        <v>101</v>
      </c>
      <c r="BL536" t="s">
        <v>5392</v>
      </c>
      <c r="BM536" t="s">
        <v>10704</v>
      </c>
      <c r="BN536" t="s">
        <v>74</v>
      </c>
      <c r="BO536" t="s">
        <v>74</v>
      </c>
      <c r="BP536" t="s">
        <v>74</v>
      </c>
      <c r="BQ536" t="s">
        <v>74</v>
      </c>
      <c r="BR536" t="s">
        <v>104</v>
      </c>
      <c r="BS536" t="s">
        <v>10705</v>
      </c>
      <c r="BT536" t="str">
        <f>HYPERLINK("https%3A%2F%2Fwww.webofscience.com%2Fwos%2Fwoscc%2Ffull-record%2FWOS:000641818500010","View Full Record in Web of Science")</f>
        <v>View Full Record in Web of Science</v>
      </c>
    </row>
    <row r="537" spans="1:72" x14ac:dyDescent="0.15">
      <c r="A537" t="s">
        <v>72</v>
      </c>
      <c r="B537" t="s">
        <v>10706</v>
      </c>
      <c r="C537" t="s">
        <v>74</v>
      </c>
      <c r="D537" t="s">
        <v>74</v>
      </c>
      <c r="E537" t="s">
        <v>74</v>
      </c>
      <c r="F537" t="s">
        <v>10707</v>
      </c>
      <c r="G537" t="s">
        <v>74</v>
      </c>
      <c r="H537" t="s">
        <v>74</v>
      </c>
      <c r="I537" t="s">
        <v>10708</v>
      </c>
      <c r="J537" t="s">
        <v>10709</v>
      </c>
      <c r="K537" t="s">
        <v>74</v>
      </c>
      <c r="L537" t="s">
        <v>74</v>
      </c>
      <c r="M537" t="s">
        <v>78</v>
      </c>
      <c r="N537" t="s">
        <v>79</v>
      </c>
      <c r="O537" t="s">
        <v>74</v>
      </c>
      <c r="P537" t="s">
        <v>74</v>
      </c>
      <c r="Q537" t="s">
        <v>74</v>
      </c>
      <c r="R537" t="s">
        <v>74</v>
      </c>
      <c r="S537" t="s">
        <v>74</v>
      </c>
      <c r="T537" t="s">
        <v>10710</v>
      </c>
      <c r="U537" t="s">
        <v>10711</v>
      </c>
      <c r="V537" t="s">
        <v>10712</v>
      </c>
      <c r="W537" t="s">
        <v>10713</v>
      </c>
      <c r="X537" t="s">
        <v>10714</v>
      </c>
      <c r="Y537" t="s">
        <v>10715</v>
      </c>
      <c r="Z537" t="s">
        <v>10716</v>
      </c>
      <c r="AA537" t="s">
        <v>10717</v>
      </c>
      <c r="AB537" t="s">
        <v>10718</v>
      </c>
      <c r="AC537" t="s">
        <v>10719</v>
      </c>
      <c r="AD537" t="s">
        <v>10720</v>
      </c>
      <c r="AE537" t="s">
        <v>10721</v>
      </c>
      <c r="AF537" t="s">
        <v>74</v>
      </c>
      <c r="AG537">
        <v>57</v>
      </c>
      <c r="AH537">
        <v>4</v>
      </c>
      <c r="AI537">
        <v>4</v>
      </c>
      <c r="AJ537">
        <v>0</v>
      </c>
      <c r="AK537">
        <v>12</v>
      </c>
      <c r="AL537" t="s">
        <v>10722</v>
      </c>
      <c r="AM537" t="s">
        <v>10723</v>
      </c>
      <c r="AN537" t="s">
        <v>10724</v>
      </c>
      <c r="AO537" t="s">
        <v>10725</v>
      </c>
      <c r="AP537" t="s">
        <v>74</v>
      </c>
      <c r="AQ537" t="s">
        <v>74</v>
      </c>
      <c r="AR537" t="s">
        <v>10726</v>
      </c>
      <c r="AS537" t="s">
        <v>10727</v>
      </c>
      <c r="AT537" t="s">
        <v>1809</v>
      </c>
      <c r="AU537">
        <v>2021</v>
      </c>
      <c r="AV537">
        <v>70</v>
      </c>
      <c r="AW537">
        <v>2</v>
      </c>
      <c r="AX537" t="s">
        <v>74</v>
      </c>
      <c r="AY537" t="s">
        <v>74</v>
      </c>
      <c r="AZ537" t="s">
        <v>74</v>
      </c>
      <c r="BA537" t="s">
        <v>74</v>
      </c>
      <c r="BB537" t="s">
        <v>74</v>
      </c>
      <c r="BC537" t="s">
        <v>74</v>
      </c>
      <c r="BD537">
        <v>20114</v>
      </c>
      <c r="BE537" t="s">
        <v>10728</v>
      </c>
      <c r="BF537" t="str">
        <f>HYPERLINK("http://dx.doi.org/10.25225/jvb.20114","http://dx.doi.org/10.25225/jvb.20114")</f>
        <v>http://dx.doi.org/10.25225/jvb.20114</v>
      </c>
      <c r="BG537" t="s">
        <v>74</v>
      </c>
      <c r="BH537" t="s">
        <v>74</v>
      </c>
      <c r="BI537">
        <v>11</v>
      </c>
      <c r="BJ537" t="s">
        <v>1229</v>
      </c>
      <c r="BK537" t="s">
        <v>101</v>
      </c>
      <c r="BL537" t="s">
        <v>1229</v>
      </c>
      <c r="BM537" t="s">
        <v>10729</v>
      </c>
      <c r="BN537" t="s">
        <v>74</v>
      </c>
      <c r="BO537" t="s">
        <v>10730</v>
      </c>
      <c r="BP537" t="s">
        <v>74</v>
      </c>
      <c r="BQ537" t="s">
        <v>74</v>
      </c>
      <c r="BR537" t="s">
        <v>104</v>
      </c>
      <c r="BS537" t="s">
        <v>10731</v>
      </c>
      <c r="BT537" t="str">
        <f>HYPERLINK("https%3A%2F%2Fwww.webofscience.com%2Fwos%2Fwoscc%2Ffull-record%2FWOS:000640645200001","View Full Record in Web of Science")</f>
        <v>View Full Record in Web of Science</v>
      </c>
    </row>
    <row r="538" spans="1:72" x14ac:dyDescent="0.15">
      <c r="A538" t="s">
        <v>72</v>
      </c>
      <c r="B538" t="s">
        <v>10732</v>
      </c>
      <c r="C538" t="s">
        <v>74</v>
      </c>
      <c r="D538" t="s">
        <v>74</v>
      </c>
      <c r="E538" t="s">
        <v>74</v>
      </c>
      <c r="F538" t="s">
        <v>10733</v>
      </c>
      <c r="G538" t="s">
        <v>74</v>
      </c>
      <c r="H538" t="s">
        <v>74</v>
      </c>
      <c r="I538" t="s">
        <v>10734</v>
      </c>
      <c r="J538" t="s">
        <v>4825</v>
      </c>
      <c r="K538" t="s">
        <v>74</v>
      </c>
      <c r="L538" t="s">
        <v>74</v>
      </c>
      <c r="M538" t="s">
        <v>78</v>
      </c>
      <c r="N538" t="s">
        <v>79</v>
      </c>
      <c r="O538" t="s">
        <v>74</v>
      </c>
      <c r="P538" t="s">
        <v>74</v>
      </c>
      <c r="Q538" t="s">
        <v>74</v>
      </c>
      <c r="R538" t="s">
        <v>74</v>
      </c>
      <c r="S538" t="s">
        <v>74</v>
      </c>
      <c r="T538" t="s">
        <v>10735</v>
      </c>
      <c r="U538" t="s">
        <v>10736</v>
      </c>
      <c r="V538" t="s">
        <v>10737</v>
      </c>
      <c r="W538" t="s">
        <v>10738</v>
      </c>
      <c r="X538" t="s">
        <v>10739</v>
      </c>
      <c r="Y538" t="s">
        <v>10740</v>
      </c>
      <c r="Z538" t="s">
        <v>10741</v>
      </c>
      <c r="AA538" t="s">
        <v>10742</v>
      </c>
      <c r="AB538" t="s">
        <v>10743</v>
      </c>
      <c r="AC538" t="s">
        <v>10744</v>
      </c>
      <c r="AD538" t="s">
        <v>10745</v>
      </c>
      <c r="AE538" t="s">
        <v>10746</v>
      </c>
      <c r="AF538" t="s">
        <v>74</v>
      </c>
      <c r="AG538">
        <v>51</v>
      </c>
      <c r="AH538">
        <v>6</v>
      </c>
      <c r="AI538">
        <v>6</v>
      </c>
      <c r="AJ538">
        <v>3</v>
      </c>
      <c r="AK538">
        <v>30</v>
      </c>
      <c r="AL538" t="s">
        <v>917</v>
      </c>
      <c r="AM538" t="s">
        <v>390</v>
      </c>
      <c r="AN538" t="s">
        <v>918</v>
      </c>
      <c r="AO538" t="s">
        <v>4838</v>
      </c>
      <c r="AP538" t="s">
        <v>4839</v>
      </c>
      <c r="AQ538" t="s">
        <v>74</v>
      </c>
      <c r="AR538" t="s">
        <v>4840</v>
      </c>
      <c r="AS538" t="s">
        <v>4841</v>
      </c>
      <c r="AT538" t="s">
        <v>1809</v>
      </c>
      <c r="AU538">
        <v>2021</v>
      </c>
      <c r="AV538">
        <v>126</v>
      </c>
      <c r="AW538">
        <v>3</v>
      </c>
      <c r="AX538" t="s">
        <v>74</v>
      </c>
      <c r="AY538" t="s">
        <v>74</v>
      </c>
      <c r="AZ538" t="s">
        <v>74</v>
      </c>
      <c r="BA538" t="s">
        <v>74</v>
      </c>
      <c r="BB538" t="s">
        <v>74</v>
      </c>
      <c r="BC538" t="s">
        <v>74</v>
      </c>
      <c r="BD538" t="s">
        <v>10747</v>
      </c>
      <c r="BE538" t="s">
        <v>10748</v>
      </c>
      <c r="BF538" t="str">
        <f>HYPERLINK("http://dx.doi.org/10.1029/2020JA028588","http://dx.doi.org/10.1029/2020JA028588")</f>
        <v>http://dx.doi.org/10.1029/2020JA028588</v>
      </c>
      <c r="BG538" t="s">
        <v>74</v>
      </c>
      <c r="BH538" t="s">
        <v>74</v>
      </c>
      <c r="BI538">
        <v>11</v>
      </c>
      <c r="BJ538" t="s">
        <v>4844</v>
      </c>
      <c r="BK538" t="s">
        <v>101</v>
      </c>
      <c r="BL538" t="s">
        <v>4844</v>
      </c>
      <c r="BM538" t="s">
        <v>10749</v>
      </c>
      <c r="BN538" t="s">
        <v>74</v>
      </c>
      <c r="BO538" t="s">
        <v>74</v>
      </c>
      <c r="BP538" t="s">
        <v>74</v>
      </c>
      <c r="BQ538" t="s">
        <v>74</v>
      </c>
      <c r="BR538" t="s">
        <v>104</v>
      </c>
      <c r="BS538" t="s">
        <v>10750</v>
      </c>
      <c r="BT538" t="str">
        <f>HYPERLINK("https%3A%2F%2Fwww.webofscience.com%2Fwos%2Fwoscc%2Ffull-record%2FWOS:000636288800049","View Full Record in Web of Science")</f>
        <v>View Full Record in Web of Science</v>
      </c>
    </row>
    <row r="539" spans="1:72" x14ac:dyDescent="0.15">
      <c r="A539" t="s">
        <v>72</v>
      </c>
      <c r="B539" t="s">
        <v>10751</v>
      </c>
      <c r="C539" t="s">
        <v>74</v>
      </c>
      <c r="D539" t="s">
        <v>74</v>
      </c>
      <c r="E539" t="s">
        <v>74</v>
      </c>
      <c r="F539" t="s">
        <v>10752</v>
      </c>
      <c r="G539" t="s">
        <v>74</v>
      </c>
      <c r="H539" t="s">
        <v>74</v>
      </c>
      <c r="I539" t="s">
        <v>10753</v>
      </c>
      <c r="J539" t="s">
        <v>4825</v>
      </c>
      <c r="K539" t="s">
        <v>74</v>
      </c>
      <c r="L539" t="s">
        <v>74</v>
      </c>
      <c r="M539" t="s">
        <v>78</v>
      </c>
      <c r="N539" t="s">
        <v>79</v>
      </c>
      <c r="O539" t="s">
        <v>74</v>
      </c>
      <c r="P539" t="s">
        <v>74</v>
      </c>
      <c r="Q539" t="s">
        <v>74</v>
      </c>
      <c r="R539" t="s">
        <v>74</v>
      </c>
      <c r="S539" t="s">
        <v>74</v>
      </c>
      <c r="T539" t="s">
        <v>10754</v>
      </c>
      <c r="U539" t="s">
        <v>74</v>
      </c>
      <c r="V539" t="s">
        <v>10755</v>
      </c>
      <c r="W539" t="s">
        <v>10756</v>
      </c>
      <c r="X539" t="s">
        <v>10757</v>
      </c>
      <c r="Y539" t="s">
        <v>10758</v>
      </c>
      <c r="Z539" t="s">
        <v>10759</v>
      </c>
      <c r="AA539" t="s">
        <v>10760</v>
      </c>
      <c r="AB539" t="s">
        <v>10761</v>
      </c>
      <c r="AC539" t="s">
        <v>10762</v>
      </c>
      <c r="AD539" t="s">
        <v>10763</v>
      </c>
      <c r="AE539" t="s">
        <v>10764</v>
      </c>
      <c r="AF539" t="s">
        <v>74</v>
      </c>
      <c r="AG539">
        <v>51</v>
      </c>
      <c r="AH539">
        <v>5</v>
      </c>
      <c r="AI539">
        <v>5</v>
      </c>
      <c r="AJ539">
        <v>0</v>
      </c>
      <c r="AK539">
        <v>6</v>
      </c>
      <c r="AL539" t="s">
        <v>917</v>
      </c>
      <c r="AM539" t="s">
        <v>390</v>
      </c>
      <c r="AN539" t="s">
        <v>918</v>
      </c>
      <c r="AO539" t="s">
        <v>4838</v>
      </c>
      <c r="AP539" t="s">
        <v>4839</v>
      </c>
      <c r="AQ539" t="s">
        <v>74</v>
      </c>
      <c r="AR539" t="s">
        <v>4840</v>
      </c>
      <c r="AS539" t="s">
        <v>4841</v>
      </c>
      <c r="AT539" t="s">
        <v>1809</v>
      </c>
      <c r="AU539">
        <v>2021</v>
      </c>
      <c r="AV539">
        <v>126</v>
      </c>
      <c r="AW539">
        <v>3</v>
      </c>
      <c r="AX539" t="s">
        <v>74</v>
      </c>
      <c r="AY539" t="s">
        <v>74</v>
      </c>
      <c r="AZ539" t="s">
        <v>74</v>
      </c>
      <c r="BA539" t="s">
        <v>74</v>
      </c>
      <c r="BB539" t="s">
        <v>74</v>
      </c>
      <c r="BC539" t="s">
        <v>74</v>
      </c>
      <c r="BD539" t="s">
        <v>10765</v>
      </c>
      <c r="BE539" t="s">
        <v>10766</v>
      </c>
      <c r="BF539" t="str">
        <f>HYPERLINK("http://dx.doi.org/10.1029/2020JA028671","http://dx.doi.org/10.1029/2020JA028671")</f>
        <v>http://dx.doi.org/10.1029/2020JA028671</v>
      </c>
      <c r="BG539" t="s">
        <v>74</v>
      </c>
      <c r="BH539" t="s">
        <v>74</v>
      </c>
      <c r="BI539">
        <v>14</v>
      </c>
      <c r="BJ539" t="s">
        <v>4844</v>
      </c>
      <c r="BK539" t="s">
        <v>101</v>
      </c>
      <c r="BL539" t="s">
        <v>4844</v>
      </c>
      <c r="BM539" t="s">
        <v>10749</v>
      </c>
      <c r="BN539" t="s">
        <v>74</v>
      </c>
      <c r="BO539" t="s">
        <v>663</v>
      </c>
      <c r="BP539" t="s">
        <v>74</v>
      </c>
      <c r="BQ539" t="s">
        <v>74</v>
      </c>
      <c r="BR539" t="s">
        <v>104</v>
      </c>
      <c r="BS539" t="s">
        <v>10767</v>
      </c>
      <c r="BT539" t="str">
        <f>HYPERLINK("https%3A%2F%2Fwww.webofscience.com%2Fwos%2Fwoscc%2Ffull-record%2FWOS:000636288800033","View Full Record in Web of Science")</f>
        <v>View Full Record in Web of Science</v>
      </c>
    </row>
    <row r="540" spans="1:72" x14ac:dyDescent="0.15">
      <c r="A540" t="s">
        <v>72</v>
      </c>
      <c r="B540" t="s">
        <v>10768</v>
      </c>
      <c r="C540" t="s">
        <v>74</v>
      </c>
      <c r="D540" t="s">
        <v>74</v>
      </c>
      <c r="E540" t="s">
        <v>74</v>
      </c>
      <c r="F540" t="s">
        <v>10769</v>
      </c>
      <c r="G540" t="s">
        <v>74</v>
      </c>
      <c r="H540" t="s">
        <v>74</v>
      </c>
      <c r="I540" t="s">
        <v>10770</v>
      </c>
      <c r="J540" t="s">
        <v>4825</v>
      </c>
      <c r="K540" t="s">
        <v>74</v>
      </c>
      <c r="L540" t="s">
        <v>74</v>
      </c>
      <c r="M540" t="s">
        <v>78</v>
      </c>
      <c r="N540" t="s">
        <v>79</v>
      </c>
      <c r="O540" t="s">
        <v>74</v>
      </c>
      <c r="P540" t="s">
        <v>74</v>
      </c>
      <c r="Q540" t="s">
        <v>74</v>
      </c>
      <c r="R540" t="s">
        <v>74</v>
      </c>
      <c r="S540" t="s">
        <v>74</v>
      </c>
      <c r="T540" t="s">
        <v>10771</v>
      </c>
      <c r="U540" t="s">
        <v>74</v>
      </c>
      <c r="V540" t="s">
        <v>10772</v>
      </c>
      <c r="W540" t="s">
        <v>10773</v>
      </c>
      <c r="X540" t="s">
        <v>10774</v>
      </c>
      <c r="Y540" t="s">
        <v>10775</v>
      </c>
      <c r="Z540" t="s">
        <v>10776</v>
      </c>
      <c r="AA540" t="s">
        <v>10777</v>
      </c>
      <c r="AB540" t="s">
        <v>10778</v>
      </c>
      <c r="AC540" t="s">
        <v>10779</v>
      </c>
      <c r="AD540" t="s">
        <v>10780</v>
      </c>
      <c r="AE540" t="s">
        <v>10781</v>
      </c>
      <c r="AF540" t="s">
        <v>74</v>
      </c>
      <c r="AG540">
        <v>61</v>
      </c>
      <c r="AH540">
        <v>2</v>
      </c>
      <c r="AI540">
        <v>2</v>
      </c>
      <c r="AJ540">
        <v>0</v>
      </c>
      <c r="AK540">
        <v>1</v>
      </c>
      <c r="AL540" t="s">
        <v>917</v>
      </c>
      <c r="AM540" t="s">
        <v>390</v>
      </c>
      <c r="AN540" t="s">
        <v>918</v>
      </c>
      <c r="AO540" t="s">
        <v>4838</v>
      </c>
      <c r="AP540" t="s">
        <v>4839</v>
      </c>
      <c r="AQ540" t="s">
        <v>74</v>
      </c>
      <c r="AR540" t="s">
        <v>4840</v>
      </c>
      <c r="AS540" t="s">
        <v>4841</v>
      </c>
      <c r="AT540" t="s">
        <v>1809</v>
      </c>
      <c r="AU540">
        <v>2021</v>
      </c>
      <c r="AV540">
        <v>126</v>
      </c>
      <c r="AW540">
        <v>3</v>
      </c>
      <c r="AX540" t="s">
        <v>74</v>
      </c>
      <c r="AY540" t="s">
        <v>74</v>
      </c>
      <c r="AZ540" t="s">
        <v>74</v>
      </c>
      <c r="BA540" t="s">
        <v>74</v>
      </c>
      <c r="BB540" t="s">
        <v>74</v>
      </c>
      <c r="BC540" t="s">
        <v>74</v>
      </c>
      <c r="BD540" t="s">
        <v>10782</v>
      </c>
      <c r="BE540" t="s">
        <v>10783</v>
      </c>
      <c r="BF540" t="str">
        <f>HYPERLINK("http://dx.doi.org/10.1029/2020JA028486","http://dx.doi.org/10.1029/2020JA028486")</f>
        <v>http://dx.doi.org/10.1029/2020JA028486</v>
      </c>
      <c r="BG540" t="s">
        <v>74</v>
      </c>
      <c r="BH540" t="s">
        <v>74</v>
      </c>
      <c r="BI540">
        <v>19</v>
      </c>
      <c r="BJ540" t="s">
        <v>4844</v>
      </c>
      <c r="BK540" t="s">
        <v>101</v>
      </c>
      <c r="BL540" t="s">
        <v>4844</v>
      </c>
      <c r="BM540" t="s">
        <v>10749</v>
      </c>
      <c r="BN540" t="s">
        <v>74</v>
      </c>
      <c r="BO540" t="s">
        <v>1068</v>
      </c>
      <c r="BP540" t="s">
        <v>74</v>
      </c>
      <c r="BQ540" t="s">
        <v>74</v>
      </c>
      <c r="BR540" t="s">
        <v>104</v>
      </c>
      <c r="BS540" t="s">
        <v>10784</v>
      </c>
      <c r="BT540" t="str">
        <f>HYPERLINK("https%3A%2F%2Fwww.webofscience.com%2Fwos%2Fwoscc%2Ffull-record%2FWOS:000636288800038","View Full Record in Web of Science")</f>
        <v>View Full Record in Web of Science</v>
      </c>
    </row>
    <row r="541" spans="1:72" x14ac:dyDescent="0.15">
      <c r="A541" t="s">
        <v>72</v>
      </c>
      <c r="B541" t="s">
        <v>10785</v>
      </c>
      <c r="C541" t="s">
        <v>74</v>
      </c>
      <c r="D541" t="s">
        <v>74</v>
      </c>
      <c r="E541" t="s">
        <v>74</v>
      </c>
      <c r="F541" t="s">
        <v>10786</v>
      </c>
      <c r="G541" t="s">
        <v>74</v>
      </c>
      <c r="H541" t="s">
        <v>74</v>
      </c>
      <c r="I541" t="s">
        <v>10787</v>
      </c>
      <c r="J541" t="s">
        <v>4825</v>
      </c>
      <c r="K541" t="s">
        <v>74</v>
      </c>
      <c r="L541" t="s">
        <v>74</v>
      </c>
      <c r="M541" t="s">
        <v>78</v>
      </c>
      <c r="N541" t="s">
        <v>79</v>
      </c>
      <c r="O541" t="s">
        <v>74</v>
      </c>
      <c r="P541" t="s">
        <v>74</v>
      </c>
      <c r="Q541" t="s">
        <v>74</v>
      </c>
      <c r="R541" t="s">
        <v>74</v>
      </c>
      <c r="S541" t="s">
        <v>74</v>
      </c>
      <c r="T541" t="s">
        <v>10788</v>
      </c>
      <c r="U541" t="s">
        <v>74</v>
      </c>
      <c r="V541" t="s">
        <v>10789</v>
      </c>
      <c r="W541" t="s">
        <v>10790</v>
      </c>
      <c r="X541" t="s">
        <v>10791</v>
      </c>
      <c r="Y541" t="s">
        <v>10792</v>
      </c>
      <c r="Z541" t="s">
        <v>10793</v>
      </c>
      <c r="AA541" t="s">
        <v>10794</v>
      </c>
      <c r="AB541" t="s">
        <v>10795</v>
      </c>
      <c r="AC541" t="s">
        <v>10796</v>
      </c>
      <c r="AD541" t="s">
        <v>10797</v>
      </c>
      <c r="AE541" t="s">
        <v>10798</v>
      </c>
      <c r="AF541" t="s">
        <v>74</v>
      </c>
      <c r="AG541">
        <v>62</v>
      </c>
      <c r="AH541">
        <v>17</v>
      </c>
      <c r="AI541">
        <v>17</v>
      </c>
      <c r="AJ541">
        <v>0</v>
      </c>
      <c r="AK541">
        <v>5</v>
      </c>
      <c r="AL541" t="s">
        <v>917</v>
      </c>
      <c r="AM541" t="s">
        <v>390</v>
      </c>
      <c r="AN541" t="s">
        <v>918</v>
      </c>
      <c r="AO541" t="s">
        <v>4838</v>
      </c>
      <c r="AP541" t="s">
        <v>4839</v>
      </c>
      <c r="AQ541" t="s">
        <v>74</v>
      </c>
      <c r="AR541" t="s">
        <v>4840</v>
      </c>
      <c r="AS541" t="s">
        <v>4841</v>
      </c>
      <c r="AT541" t="s">
        <v>1809</v>
      </c>
      <c r="AU541">
        <v>2021</v>
      </c>
      <c r="AV541">
        <v>126</v>
      </c>
      <c r="AW541">
        <v>3</v>
      </c>
      <c r="AX541" t="s">
        <v>74</v>
      </c>
      <c r="AY541" t="s">
        <v>74</v>
      </c>
      <c r="AZ541" t="s">
        <v>74</v>
      </c>
      <c r="BA541" t="s">
        <v>74</v>
      </c>
      <c r="BB541" t="s">
        <v>74</v>
      </c>
      <c r="BC541" t="s">
        <v>74</v>
      </c>
      <c r="BD541" t="s">
        <v>10799</v>
      </c>
      <c r="BE541" t="s">
        <v>10800</v>
      </c>
      <c r="BF541" t="str">
        <f>HYPERLINK("http://dx.doi.org/10.1029/2020JA028410","http://dx.doi.org/10.1029/2020JA028410")</f>
        <v>http://dx.doi.org/10.1029/2020JA028410</v>
      </c>
      <c r="BG541" t="s">
        <v>74</v>
      </c>
      <c r="BH541" t="s">
        <v>74</v>
      </c>
      <c r="BI541">
        <v>18</v>
      </c>
      <c r="BJ541" t="s">
        <v>4844</v>
      </c>
      <c r="BK541" t="s">
        <v>101</v>
      </c>
      <c r="BL541" t="s">
        <v>4844</v>
      </c>
      <c r="BM541" t="s">
        <v>10749</v>
      </c>
      <c r="BN541" t="s">
        <v>74</v>
      </c>
      <c r="BO541" t="s">
        <v>2726</v>
      </c>
      <c r="BP541" t="s">
        <v>74</v>
      </c>
      <c r="BQ541" t="s">
        <v>74</v>
      </c>
      <c r="BR541" t="s">
        <v>104</v>
      </c>
      <c r="BS541" t="s">
        <v>10801</v>
      </c>
      <c r="BT541" t="str">
        <f>HYPERLINK("https%3A%2F%2Fwww.webofscience.com%2Fwos%2Fwoscc%2Ffull-record%2FWOS:000636288800032","View Full Record in Web of Science")</f>
        <v>View Full Record in Web of Science</v>
      </c>
    </row>
    <row r="542" spans="1:72" x14ac:dyDescent="0.15">
      <c r="A542" t="s">
        <v>72</v>
      </c>
      <c r="B542" t="s">
        <v>10802</v>
      </c>
      <c r="C542" t="s">
        <v>74</v>
      </c>
      <c r="D542" t="s">
        <v>74</v>
      </c>
      <c r="E542" t="s">
        <v>74</v>
      </c>
      <c r="F542" t="s">
        <v>10803</v>
      </c>
      <c r="G542" t="s">
        <v>74</v>
      </c>
      <c r="H542" t="s">
        <v>74</v>
      </c>
      <c r="I542" t="s">
        <v>10804</v>
      </c>
      <c r="J542" t="s">
        <v>4969</v>
      </c>
      <c r="K542" t="s">
        <v>74</v>
      </c>
      <c r="L542" t="s">
        <v>74</v>
      </c>
      <c r="M542" t="s">
        <v>78</v>
      </c>
      <c r="N542" t="s">
        <v>79</v>
      </c>
      <c r="O542" t="s">
        <v>74</v>
      </c>
      <c r="P542" t="s">
        <v>74</v>
      </c>
      <c r="Q542" t="s">
        <v>74</v>
      </c>
      <c r="R542" t="s">
        <v>74</v>
      </c>
      <c r="S542" t="s">
        <v>74</v>
      </c>
      <c r="T542" t="s">
        <v>10805</v>
      </c>
      <c r="U542" t="s">
        <v>10806</v>
      </c>
      <c r="V542" t="s">
        <v>10807</v>
      </c>
      <c r="W542" t="s">
        <v>10808</v>
      </c>
      <c r="X542" t="s">
        <v>10809</v>
      </c>
      <c r="Y542" t="s">
        <v>10810</v>
      </c>
      <c r="Z542" t="s">
        <v>10811</v>
      </c>
      <c r="AA542" t="s">
        <v>74</v>
      </c>
      <c r="AB542" t="s">
        <v>10812</v>
      </c>
      <c r="AC542" t="s">
        <v>10813</v>
      </c>
      <c r="AD542" t="s">
        <v>10814</v>
      </c>
      <c r="AE542" t="s">
        <v>10815</v>
      </c>
      <c r="AF542" t="s">
        <v>74</v>
      </c>
      <c r="AG542">
        <v>67</v>
      </c>
      <c r="AH542">
        <v>2</v>
      </c>
      <c r="AI542">
        <v>4</v>
      </c>
      <c r="AJ542">
        <v>0</v>
      </c>
      <c r="AK542">
        <v>13</v>
      </c>
      <c r="AL542" t="s">
        <v>917</v>
      </c>
      <c r="AM542" t="s">
        <v>390</v>
      </c>
      <c r="AN542" t="s">
        <v>918</v>
      </c>
      <c r="AO542" t="s">
        <v>4982</v>
      </c>
      <c r="AP542" t="s">
        <v>4983</v>
      </c>
      <c r="AQ542" t="s">
        <v>74</v>
      </c>
      <c r="AR542" t="s">
        <v>4984</v>
      </c>
      <c r="AS542" t="s">
        <v>4985</v>
      </c>
      <c r="AT542" t="s">
        <v>1809</v>
      </c>
      <c r="AU542">
        <v>2021</v>
      </c>
      <c r="AV542">
        <v>126</v>
      </c>
      <c r="AW542">
        <v>3</v>
      </c>
      <c r="AX542" t="s">
        <v>74</v>
      </c>
      <c r="AY542" t="s">
        <v>74</v>
      </c>
      <c r="AZ542" t="s">
        <v>74</v>
      </c>
      <c r="BA542" t="s">
        <v>74</v>
      </c>
      <c r="BB542" t="s">
        <v>74</v>
      </c>
      <c r="BC542" t="s">
        <v>74</v>
      </c>
      <c r="BD542" t="s">
        <v>10816</v>
      </c>
      <c r="BE542" t="s">
        <v>10817</v>
      </c>
      <c r="BF542" t="str">
        <f>HYPERLINK("http://dx.doi.org/10.1029/2020JC016791","http://dx.doi.org/10.1029/2020JC016791")</f>
        <v>http://dx.doi.org/10.1029/2020JC016791</v>
      </c>
      <c r="BG542" t="s">
        <v>74</v>
      </c>
      <c r="BH542" t="s">
        <v>74</v>
      </c>
      <c r="BI542">
        <v>13</v>
      </c>
      <c r="BJ542" t="s">
        <v>369</v>
      </c>
      <c r="BK542" t="s">
        <v>101</v>
      </c>
      <c r="BL542" t="s">
        <v>369</v>
      </c>
      <c r="BM542" t="s">
        <v>10818</v>
      </c>
      <c r="BN542" t="s">
        <v>74</v>
      </c>
      <c r="BO542" t="s">
        <v>398</v>
      </c>
      <c r="BP542" t="s">
        <v>74</v>
      </c>
      <c r="BQ542" t="s">
        <v>74</v>
      </c>
      <c r="BR542" t="s">
        <v>104</v>
      </c>
      <c r="BS542" t="s">
        <v>10819</v>
      </c>
      <c r="BT542" t="str">
        <f>HYPERLINK("https%3A%2F%2Fwww.webofscience.com%2Fwos%2Fwoscc%2Ffull-record%2FWOS:000636285300026","View Full Record in Web of Science")</f>
        <v>View Full Record in Web of Science</v>
      </c>
    </row>
    <row r="543" spans="1:72" x14ac:dyDescent="0.15">
      <c r="A543" t="s">
        <v>72</v>
      </c>
      <c r="B543" t="s">
        <v>10820</v>
      </c>
      <c r="C543" t="s">
        <v>74</v>
      </c>
      <c r="D543" t="s">
        <v>74</v>
      </c>
      <c r="E543" t="s">
        <v>74</v>
      </c>
      <c r="F543" t="s">
        <v>10821</v>
      </c>
      <c r="G543" t="s">
        <v>74</v>
      </c>
      <c r="H543" t="s">
        <v>74</v>
      </c>
      <c r="I543" t="s">
        <v>10822</v>
      </c>
      <c r="J543" t="s">
        <v>4969</v>
      </c>
      <c r="K543" t="s">
        <v>74</v>
      </c>
      <c r="L543" t="s">
        <v>74</v>
      </c>
      <c r="M543" t="s">
        <v>78</v>
      </c>
      <c r="N543" t="s">
        <v>79</v>
      </c>
      <c r="O543" t="s">
        <v>74</v>
      </c>
      <c r="P543" t="s">
        <v>74</v>
      </c>
      <c r="Q543" t="s">
        <v>74</v>
      </c>
      <c r="R543" t="s">
        <v>74</v>
      </c>
      <c r="S543" t="s">
        <v>74</v>
      </c>
      <c r="T543" t="s">
        <v>74</v>
      </c>
      <c r="U543" t="s">
        <v>10823</v>
      </c>
      <c r="V543" t="s">
        <v>10824</v>
      </c>
      <c r="W543" t="s">
        <v>10825</v>
      </c>
      <c r="X543" t="s">
        <v>10826</v>
      </c>
      <c r="Y543" t="s">
        <v>10827</v>
      </c>
      <c r="Z543" t="s">
        <v>10828</v>
      </c>
      <c r="AA543" t="s">
        <v>10829</v>
      </c>
      <c r="AB543" t="s">
        <v>10830</v>
      </c>
      <c r="AC543" t="s">
        <v>10831</v>
      </c>
      <c r="AD543" t="s">
        <v>10832</v>
      </c>
      <c r="AE543" t="s">
        <v>10833</v>
      </c>
      <c r="AF543" t="s">
        <v>74</v>
      </c>
      <c r="AG543">
        <v>70</v>
      </c>
      <c r="AH543">
        <v>16</v>
      </c>
      <c r="AI543">
        <v>17</v>
      </c>
      <c r="AJ543">
        <v>0</v>
      </c>
      <c r="AK543">
        <v>30</v>
      </c>
      <c r="AL543" t="s">
        <v>917</v>
      </c>
      <c r="AM543" t="s">
        <v>390</v>
      </c>
      <c r="AN543" t="s">
        <v>918</v>
      </c>
      <c r="AO543" t="s">
        <v>4982</v>
      </c>
      <c r="AP543" t="s">
        <v>4983</v>
      </c>
      <c r="AQ543" t="s">
        <v>74</v>
      </c>
      <c r="AR543" t="s">
        <v>4984</v>
      </c>
      <c r="AS543" t="s">
        <v>4985</v>
      </c>
      <c r="AT543" t="s">
        <v>1809</v>
      </c>
      <c r="AU543">
        <v>2021</v>
      </c>
      <c r="AV543">
        <v>126</v>
      </c>
      <c r="AW543">
        <v>3</v>
      </c>
      <c r="AX543" t="s">
        <v>74</v>
      </c>
      <c r="AY543" t="s">
        <v>74</v>
      </c>
      <c r="AZ543" t="s">
        <v>74</v>
      </c>
      <c r="BA543" t="s">
        <v>74</v>
      </c>
      <c r="BB543" t="s">
        <v>74</v>
      </c>
      <c r="BC543" t="s">
        <v>74</v>
      </c>
      <c r="BD543" t="s">
        <v>10834</v>
      </c>
      <c r="BE543" t="s">
        <v>10835</v>
      </c>
      <c r="BF543" t="str">
        <f>HYPERLINK("http://dx.doi.org/10.1029/2020JC016966","http://dx.doi.org/10.1029/2020JC016966")</f>
        <v>http://dx.doi.org/10.1029/2020JC016966</v>
      </c>
      <c r="BG543" t="s">
        <v>74</v>
      </c>
      <c r="BH543" t="s">
        <v>74</v>
      </c>
      <c r="BI543">
        <v>24</v>
      </c>
      <c r="BJ543" t="s">
        <v>369</v>
      </c>
      <c r="BK543" t="s">
        <v>101</v>
      </c>
      <c r="BL543" t="s">
        <v>369</v>
      </c>
      <c r="BM543" t="s">
        <v>10818</v>
      </c>
      <c r="BN543" t="s">
        <v>74</v>
      </c>
      <c r="BO543" t="s">
        <v>712</v>
      </c>
      <c r="BP543" t="s">
        <v>74</v>
      </c>
      <c r="BQ543" t="s">
        <v>74</v>
      </c>
      <c r="BR543" t="s">
        <v>104</v>
      </c>
      <c r="BS543" t="s">
        <v>10836</v>
      </c>
      <c r="BT543" t="str">
        <f>HYPERLINK("https%3A%2F%2Fwww.webofscience.com%2Fwos%2Fwoscc%2Ffull-record%2FWOS:000636285300023","View Full Record in Web of Science")</f>
        <v>View Full Record in Web of Science</v>
      </c>
    </row>
    <row r="544" spans="1:72" x14ac:dyDescent="0.15">
      <c r="A544" t="s">
        <v>72</v>
      </c>
      <c r="B544" t="s">
        <v>10837</v>
      </c>
      <c r="C544" t="s">
        <v>74</v>
      </c>
      <c r="D544" t="s">
        <v>74</v>
      </c>
      <c r="E544" t="s">
        <v>74</v>
      </c>
      <c r="F544" t="s">
        <v>10838</v>
      </c>
      <c r="G544" t="s">
        <v>74</v>
      </c>
      <c r="H544" t="s">
        <v>74</v>
      </c>
      <c r="I544" t="s">
        <v>10839</v>
      </c>
      <c r="J544" t="s">
        <v>4969</v>
      </c>
      <c r="K544" t="s">
        <v>74</v>
      </c>
      <c r="L544" t="s">
        <v>74</v>
      </c>
      <c r="M544" t="s">
        <v>78</v>
      </c>
      <c r="N544" t="s">
        <v>79</v>
      </c>
      <c r="O544" t="s">
        <v>74</v>
      </c>
      <c r="P544" t="s">
        <v>74</v>
      </c>
      <c r="Q544" t="s">
        <v>74</v>
      </c>
      <c r="R544" t="s">
        <v>74</v>
      </c>
      <c r="S544" t="s">
        <v>74</v>
      </c>
      <c r="T544" t="s">
        <v>74</v>
      </c>
      <c r="U544" t="s">
        <v>74</v>
      </c>
      <c r="V544" t="s">
        <v>10840</v>
      </c>
      <c r="W544" t="s">
        <v>10841</v>
      </c>
      <c r="X544" t="s">
        <v>10842</v>
      </c>
      <c r="Y544" t="s">
        <v>10843</v>
      </c>
      <c r="Z544" t="s">
        <v>10844</v>
      </c>
      <c r="AA544" t="s">
        <v>10845</v>
      </c>
      <c r="AB544" t="s">
        <v>10846</v>
      </c>
      <c r="AC544" t="s">
        <v>10847</v>
      </c>
      <c r="AD544" t="s">
        <v>10848</v>
      </c>
      <c r="AE544" t="s">
        <v>10849</v>
      </c>
      <c r="AF544" t="s">
        <v>74</v>
      </c>
      <c r="AG544">
        <v>116</v>
      </c>
      <c r="AH544">
        <v>8</v>
      </c>
      <c r="AI544">
        <v>8</v>
      </c>
      <c r="AJ544">
        <v>2</v>
      </c>
      <c r="AK544">
        <v>15</v>
      </c>
      <c r="AL544" t="s">
        <v>917</v>
      </c>
      <c r="AM544" t="s">
        <v>390</v>
      </c>
      <c r="AN544" t="s">
        <v>918</v>
      </c>
      <c r="AO544" t="s">
        <v>4982</v>
      </c>
      <c r="AP544" t="s">
        <v>4983</v>
      </c>
      <c r="AQ544" t="s">
        <v>74</v>
      </c>
      <c r="AR544" t="s">
        <v>4984</v>
      </c>
      <c r="AS544" t="s">
        <v>4985</v>
      </c>
      <c r="AT544" t="s">
        <v>1809</v>
      </c>
      <c r="AU544">
        <v>2021</v>
      </c>
      <c r="AV544">
        <v>126</v>
      </c>
      <c r="AW544">
        <v>3</v>
      </c>
      <c r="AX544" t="s">
        <v>74</v>
      </c>
      <c r="AY544" t="s">
        <v>74</v>
      </c>
      <c r="AZ544" t="s">
        <v>74</v>
      </c>
      <c r="BA544" t="s">
        <v>74</v>
      </c>
      <c r="BB544" t="s">
        <v>74</v>
      </c>
      <c r="BC544" t="s">
        <v>74</v>
      </c>
      <c r="BD544" t="s">
        <v>10850</v>
      </c>
      <c r="BE544" t="s">
        <v>10851</v>
      </c>
      <c r="BF544" t="str">
        <f>HYPERLINK("http://dx.doi.org/10.1029/2020JC016673","http://dx.doi.org/10.1029/2020JC016673")</f>
        <v>http://dx.doi.org/10.1029/2020JC016673</v>
      </c>
      <c r="BG544" t="s">
        <v>74</v>
      </c>
      <c r="BH544" t="s">
        <v>74</v>
      </c>
      <c r="BI544">
        <v>23</v>
      </c>
      <c r="BJ544" t="s">
        <v>369</v>
      </c>
      <c r="BK544" t="s">
        <v>101</v>
      </c>
      <c r="BL544" t="s">
        <v>369</v>
      </c>
      <c r="BM544" t="s">
        <v>10818</v>
      </c>
      <c r="BN544" t="s">
        <v>74</v>
      </c>
      <c r="BO544" t="s">
        <v>74</v>
      </c>
      <c r="BP544" t="s">
        <v>74</v>
      </c>
      <c r="BQ544" t="s">
        <v>74</v>
      </c>
      <c r="BR544" t="s">
        <v>104</v>
      </c>
      <c r="BS544" t="s">
        <v>10852</v>
      </c>
      <c r="BT544" t="str">
        <f>HYPERLINK("https%3A%2F%2Fwww.webofscience.com%2Fwos%2Fwoscc%2Ffull-record%2FWOS:000636285300013","View Full Record in Web of Science")</f>
        <v>View Full Record in Web of Science</v>
      </c>
    </row>
    <row r="545" spans="1:72" x14ac:dyDescent="0.15">
      <c r="A545" t="s">
        <v>72</v>
      </c>
      <c r="B545" t="s">
        <v>10853</v>
      </c>
      <c r="C545" t="s">
        <v>74</v>
      </c>
      <c r="D545" t="s">
        <v>74</v>
      </c>
      <c r="E545" t="s">
        <v>74</v>
      </c>
      <c r="F545" t="s">
        <v>10854</v>
      </c>
      <c r="G545" t="s">
        <v>74</v>
      </c>
      <c r="H545" t="s">
        <v>74</v>
      </c>
      <c r="I545" t="s">
        <v>10855</v>
      </c>
      <c r="J545" t="s">
        <v>4669</v>
      </c>
      <c r="K545" t="s">
        <v>74</v>
      </c>
      <c r="L545" t="s">
        <v>74</v>
      </c>
      <c r="M545" t="s">
        <v>78</v>
      </c>
      <c r="N545" t="s">
        <v>79</v>
      </c>
      <c r="O545" t="s">
        <v>74</v>
      </c>
      <c r="P545" t="s">
        <v>74</v>
      </c>
      <c r="Q545" t="s">
        <v>74</v>
      </c>
      <c r="R545" t="s">
        <v>74</v>
      </c>
      <c r="S545" t="s">
        <v>74</v>
      </c>
      <c r="T545" t="s">
        <v>74</v>
      </c>
      <c r="U545" t="s">
        <v>10856</v>
      </c>
      <c r="V545" t="s">
        <v>10857</v>
      </c>
      <c r="W545" t="s">
        <v>10858</v>
      </c>
      <c r="X545" t="s">
        <v>10859</v>
      </c>
      <c r="Y545" t="s">
        <v>10860</v>
      </c>
      <c r="Z545" t="s">
        <v>10861</v>
      </c>
      <c r="AA545" t="s">
        <v>74</v>
      </c>
      <c r="AB545" t="s">
        <v>10862</v>
      </c>
      <c r="AC545" t="s">
        <v>10863</v>
      </c>
      <c r="AD545" t="s">
        <v>10863</v>
      </c>
      <c r="AE545" t="s">
        <v>10864</v>
      </c>
      <c r="AF545" t="s">
        <v>74</v>
      </c>
      <c r="AG545">
        <v>66</v>
      </c>
      <c r="AH545">
        <v>2</v>
      </c>
      <c r="AI545">
        <v>2</v>
      </c>
      <c r="AJ545">
        <v>2</v>
      </c>
      <c r="AK545">
        <v>8</v>
      </c>
      <c r="AL545" t="s">
        <v>917</v>
      </c>
      <c r="AM545" t="s">
        <v>390</v>
      </c>
      <c r="AN545" t="s">
        <v>918</v>
      </c>
      <c r="AO545" t="s">
        <v>4681</v>
      </c>
      <c r="AP545" t="s">
        <v>4682</v>
      </c>
      <c r="AQ545" t="s">
        <v>74</v>
      </c>
      <c r="AR545" t="s">
        <v>4683</v>
      </c>
      <c r="AS545" t="s">
        <v>4684</v>
      </c>
      <c r="AT545" t="s">
        <v>1809</v>
      </c>
      <c r="AU545">
        <v>2021</v>
      </c>
      <c r="AV545">
        <v>36</v>
      </c>
      <c r="AW545">
        <v>3</v>
      </c>
      <c r="AX545" t="s">
        <v>74</v>
      </c>
      <c r="AY545" t="s">
        <v>74</v>
      </c>
      <c r="AZ545" t="s">
        <v>74</v>
      </c>
      <c r="BA545" t="s">
        <v>74</v>
      </c>
      <c r="BB545" t="s">
        <v>74</v>
      </c>
      <c r="BC545" t="s">
        <v>74</v>
      </c>
      <c r="BD545" t="s">
        <v>10865</v>
      </c>
      <c r="BE545" t="s">
        <v>10866</v>
      </c>
      <c r="BF545" t="str">
        <f>HYPERLINK("http://dx.doi.org/10.1029/2020PA004174","http://dx.doi.org/10.1029/2020PA004174")</f>
        <v>http://dx.doi.org/10.1029/2020PA004174</v>
      </c>
      <c r="BG545" t="s">
        <v>74</v>
      </c>
      <c r="BH545" t="s">
        <v>74</v>
      </c>
      <c r="BI545">
        <v>8</v>
      </c>
      <c r="BJ545" t="s">
        <v>4687</v>
      </c>
      <c r="BK545" t="s">
        <v>101</v>
      </c>
      <c r="BL545" t="s">
        <v>4688</v>
      </c>
      <c r="BM545" t="s">
        <v>10867</v>
      </c>
      <c r="BN545" t="s">
        <v>74</v>
      </c>
      <c r="BO545" t="s">
        <v>1492</v>
      </c>
      <c r="BP545" t="s">
        <v>74</v>
      </c>
      <c r="BQ545" t="s">
        <v>74</v>
      </c>
      <c r="BR545" t="s">
        <v>104</v>
      </c>
      <c r="BS545" t="s">
        <v>10868</v>
      </c>
      <c r="BT545" t="str">
        <f>HYPERLINK("https%3A%2F%2Fwww.webofscience.com%2Fwos%2Fwoscc%2Ffull-record%2FWOS:000635265600006","View Full Record in Web of Science")</f>
        <v>View Full Record in Web of Science</v>
      </c>
    </row>
    <row r="546" spans="1:72" x14ac:dyDescent="0.15">
      <c r="A546" t="s">
        <v>72</v>
      </c>
      <c r="B546" t="s">
        <v>10869</v>
      </c>
      <c r="C546" t="s">
        <v>74</v>
      </c>
      <c r="D546" t="s">
        <v>74</v>
      </c>
      <c r="E546" t="s">
        <v>74</v>
      </c>
      <c r="F546" t="s">
        <v>10870</v>
      </c>
      <c r="G546" t="s">
        <v>74</v>
      </c>
      <c r="H546" t="s">
        <v>74</v>
      </c>
      <c r="I546" t="s">
        <v>10871</v>
      </c>
      <c r="J546" t="s">
        <v>4669</v>
      </c>
      <c r="K546" t="s">
        <v>74</v>
      </c>
      <c r="L546" t="s">
        <v>74</v>
      </c>
      <c r="M546" t="s">
        <v>78</v>
      </c>
      <c r="N546" t="s">
        <v>79</v>
      </c>
      <c r="O546" t="s">
        <v>74</v>
      </c>
      <c r="P546" t="s">
        <v>74</v>
      </c>
      <c r="Q546" t="s">
        <v>74</v>
      </c>
      <c r="R546" t="s">
        <v>74</v>
      </c>
      <c r="S546" t="s">
        <v>74</v>
      </c>
      <c r="T546" t="s">
        <v>10872</v>
      </c>
      <c r="U546" t="s">
        <v>10873</v>
      </c>
      <c r="V546" t="s">
        <v>10874</v>
      </c>
      <c r="W546" t="s">
        <v>10875</v>
      </c>
      <c r="X546" t="s">
        <v>10876</v>
      </c>
      <c r="Y546" t="s">
        <v>10877</v>
      </c>
      <c r="Z546" t="s">
        <v>10878</v>
      </c>
      <c r="AA546" t="s">
        <v>74</v>
      </c>
      <c r="AB546" t="s">
        <v>10879</v>
      </c>
      <c r="AC546" t="s">
        <v>10863</v>
      </c>
      <c r="AD546" t="s">
        <v>10863</v>
      </c>
      <c r="AE546" t="s">
        <v>10880</v>
      </c>
      <c r="AF546" t="s">
        <v>74</v>
      </c>
      <c r="AG546">
        <v>49</v>
      </c>
      <c r="AH546">
        <v>4</v>
      </c>
      <c r="AI546">
        <v>4</v>
      </c>
      <c r="AJ546">
        <v>0</v>
      </c>
      <c r="AK546">
        <v>5</v>
      </c>
      <c r="AL546" t="s">
        <v>917</v>
      </c>
      <c r="AM546" t="s">
        <v>390</v>
      </c>
      <c r="AN546" t="s">
        <v>918</v>
      </c>
      <c r="AO546" t="s">
        <v>4681</v>
      </c>
      <c r="AP546" t="s">
        <v>4682</v>
      </c>
      <c r="AQ546" t="s">
        <v>74</v>
      </c>
      <c r="AR546" t="s">
        <v>4683</v>
      </c>
      <c r="AS546" t="s">
        <v>4684</v>
      </c>
      <c r="AT546" t="s">
        <v>1809</v>
      </c>
      <c r="AU546">
        <v>2021</v>
      </c>
      <c r="AV546">
        <v>36</v>
      </c>
      <c r="AW546">
        <v>3</v>
      </c>
      <c r="AX546" t="s">
        <v>74</v>
      </c>
      <c r="AY546" t="s">
        <v>74</v>
      </c>
      <c r="AZ546" t="s">
        <v>74</v>
      </c>
      <c r="BA546" t="s">
        <v>74</v>
      </c>
      <c r="BB546" t="s">
        <v>74</v>
      </c>
      <c r="BC546" t="s">
        <v>74</v>
      </c>
      <c r="BD546" t="s">
        <v>10881</v>
      </c>
      <c r="BE546" t="s">
        <v>10882</v>
      </c>
      <c r="BF546" t="str">
        <f>HYPERLINK("http://dx.doi.org/10.1029/2020PA004159","http://dx.doi.org/10.1029/2020PA004159")</f>
        <v>http://dx.doi.org/10.1029/2020PA004159</v>
      </c>
      <c r="BG546" t="s">
        <v>74</v>
      </c>
      <c r="BH546" t="s">
        <v>74</v>
      </c>
      <c r="BI546">
        <v>11</v>
      </c>
      <c r="BJ546" t="s">
        <v>4687</v>
      </c>
      <c r="BK546" t="s">
        <v>101</v>
      </c>
      <c r="BL546" t="s">
        <v>4688</v>
      </c>
      <c r="BM546" t="s">
        <v>10867</v>
      </c>
      <c r="BN546" t="s">
        <v>74</v>
      </c>
      <c r="BO546" t="s">
        <v>712</v>
      </c>
      <c r="BP546" t="s">
        <v>74</v>
      </c>
      <c r="BQ546" t="s">
        <v>74</v>
      </c>
      <c r="BR546" t="s">
        <v>104</v>
      </c>
      <c r="BS546" t="s">
        <v>10883</v>
      </c>
      <c r="BT546" t="str">
        <f>HYPERLINK("https%3A%2F%2Fwww.webofscience.com%2Fwos%2Fwoscc%2Ffull-record%2FWOS:000635265600008","View Full Record in Web of Science")</f>
        <v>View Full Record in Web of Science</v>
      </c>
    </row>
    <row r="547" spans="1:72" x14ac:dyDescent="0.15">
      <c r="A547" t="s">
        <v>72</v>
      </c>
      <c r="B547" t="s">
        <v>10884</v>
      </c>
      <c r="C547" t="s">
        <v>74</v>
      </c>
      <c r="D547" t="s">
        <v>74</v>
      </c>
      <c r="E547" t="s">
        <v>74</v>
      </c>
      <c r="F547" t="s">
        <v>10885</v>
      </c>
      <c r="G547" t="s">
        <v>74</v>
      </c>
      <c r="H547" t="s">
        <v>74</v>
      </c>
      <c r="I547" t="s">
        <v>10886</v>
      </c>
      <c r="J547" t="s">
        <v>4669</v>
      </c>
      <c r="K547" t="s">
        <v>74</v>
      </c>
      <c r="L547" t="s">
        <v>74</v>
      </c>
      <c r="M547" t="s">
        <v>78</v>
      </c>
      <c r="N547" t="s">
        <v>79</v>
      </c>
      <c r="O547" t="s">
        <v>74</v>
      </c>
      <c r="P547" t="s">
        <v>74</v>
      </c>
      <c r="Q547" t="s">
        <v>74</v>
      </c>
      <c r="R547" t="s">
        <v>74</v>
      </c>
      <c r="S547" t="s">
        <v>74</v>
      </c>
      <c r="T547" t="s">
        <v>74</v>
      </c>
      <c r="U547" t="s">
        <v>10887</v>
      </c>
      <c r="V547" t="s">
        <v>10888</v>
      </c>
      <c r="W547" t="s">
        <v>10889</v>
      </c>
      <c r="X547" t="s">
        <v>10890</v>
      </c>
      <c r="Y547" t="s">
        <v>10891</v>
      </c>
      <c r="Z547" t="s">
        <v>10892</v>
      </c>
      <c r="AA547" t="s">
        <v>74</v>
      </c>
      <c r="AB547" t="s">
        <v>10893</v>
      </c>
      <c r="AC547" t="s">
        <v>10894</v>
      </c>
      <c r="AD547" t="s">
        <v>10894</v>
      </c>
      <c r="AE547" t="s">
        <v>10895</v>
      </c>
      <c r="AF547" t="s">
        <v>74</v>
      </c>
      <c r="AG547">
        <v>61</v>
      </c>
      <c r="AH547">
        <v>3</v>
      </c>
      <c r="AI547">
        <v>6</v>
      </c>
      <c r="AJ547">
        <v>1</v>
      </c>
      <c r="AK547">
        <v>20</v>
      </c>
      <c r="AL547" t="s">
        <v>917</v>
      </c>
      <c r="AM547" t="s">
        <v>390</v>
      </c>
      <c r="AN547" t="s">
        <v>918</v>
      </c>
      <c r="AO547" t="s">
        <v>4681</v>
      </c>
      <c r="AP547" t="s">
        <v>4682</v>
      </c>
      <c r="AQ547" t="s">
        <v>74</v>
      </c>
      <c r="AR547" t="s">
        <v>4683</v>
      </c>
      <c r="AS547" t="s">
        <v>4684</v>
      </c>
      <c r="AT547" t="s">
        <v>1809</v>
      </c>
      <c r="AU547">
        <v>2021</v>
      </c>
      <c r="AV547">
        <v>36</v>
      </c>
      <c r="AW547">
        <v>3</v>
      </c>
      <c r="AX547" t="s">
        <v>74</v>
      </c>
      <c r="AY547" t="s">
        <v>74</v>
      </c>
      <c r="AZ547" t="s">
        <v>74</v>
      </c>
      <c r="BA547" t="s">
        <v>74</v>
      </c>
      <c r="BB547" t="s">
        <v>74</v>
      </c>
      <c r="BC547" t="s">
        <v>74</v>
      </c>
      <c r="BD547" t="s">
        <v>10896</v>
      </c>
      <c r="BE547" t="s">
        <v>10897</v>
      </c>
      <c r="BF547" t="str">
        <f>HYPERLINK("http://dx.doi.org/10.1029/2020PA004033","http://dx.doi.org/10.1029/2020PA004033")</f>
        <v>http://dx.doi.org/10.1029/2020PA004033</v>
      </c>
      <c r="BG547" t="s">
        <v>74</v>
      </c>
      <c r="BH547" t="s">
        <v>74</v>
      </c>
      <c r="BI547">
        <v>14</v>
      </c>
      <c r="BJ547" t="s">
        <v>4687</v>
      </c>
      <c r="BK547" t="s">
        <v>101</v>
      </c>
      <c r="BL547" t="s">
        <v>4688</v>
      </c>
      <c r="BM547" t="s">
        <v>10867</v>
      </c>
      <c r="BN547" t="s">
        <v>74</v>
      </c>
      <c r="BO547" t="s">
        <v>74</v>
      </c>
      <c r="BP547" t="s">
        <v>74</v>
      </c>
      <c r="BQ547" t="s">
        <v>74</v>
      </c>
      <c r="BR547" t="s">
        <v>104</v>
      </c>
      <c r="BS547" t="s">
        <v>10898</v>
      </c>
      <c r="BT547" t="str">
        <f>HYPERLINK("https%3A%2F%2Fwww.webofscience.com%2Fwos%2Fwoscc%2Ffull-record%2FWOS:000635265600009","View Full Record in Web of Science")</f>
        <v>View Full Record in Web of Science</v>
      </c>
    </row>
    <row r="548" spans="1:72" x14ac:dyDescent="0.15">
      <c r="A548" t="s">
        <v>72</v>
      </c>
      <c r="B548" t="s">
        <v>10899</v>
      </c>
      <c r="C548" t="s">
        <v>74</v>
      </c>
      <c r="D548" t="s">
        <v>74</v>
      </c>
      <c r="E548" t="s">
        <v>74</v>
      </c>
      <c r="F548" t="s">
        <v>10900</v>
      </c>
      <c r="G548" t="s">
        <v>74</v>
      </c>
      <c r="H548" t="s">
        <v>74</v>
      </c>
      <c r="I548" t="s">
        <v>10901</v>
      </c>
      <c r="J548" t="s">
        <v>4738</v>
      </c>
      <c r="K548" t="s">
        <v>74</v>
      </c>
      <c r="L548" t="s">
        <v>74</v>
      </c>
      <c r="M548" t="s">
        <v>78</v>
      </c>
      <c r="N548" t="s">
        <v>79</v>
      </c>
      <c r="O548" t="s">
        <v>74</v>
      </c>
      <c r="P548" t="s">
        <v>74</v>
      </c>
      <c r="Q548" t="s">
        <v>74</v>
      </c>
      <c r="R548" t="s">
        <v>74</v>
      </c>
      <c r="S548" t="s">
        <v>74</v>
      </c>
      <c r="T548" t="s">
        <v>10902</v>
      </c>
      <c r="U548" t="s">
        <v>10903</v>
      </c>
      <c r="V548" t="s">
        <v>10904</v>
      </c>
      <c r="W548" t="s">
        <v>10905</v>
      </c>
      <c r="X548" t="s">
        <v>10906</v>
      </c>
      <c r="Y548" t="s">
        <v>10907</v>
      </c>
      <c r="Z548" t="s">
        <v>10908</v>
      </c>
      <c r="AA548" t="s">
        <v>10909</v>
      </c>
      <c r="AB548" t="s">
        <v>10910</v>
      </c>
      <c r="AC548" t="s">
        <v>8639</v>
      </c>
      <c r="AD548" t="s">
        <v>8640</v>
      </c>
      <c r="AE548" t="s">
        <v>10911</v>
      </c>
      <c r="AF548" t="s">
        <v>74</v>
      </c>
      <c r="AG548">
        <v>96</v>
      </c>
      <c r="AH548">
        <v>11</v>
      </c>
      <c r="AI548">
        <v>11</v>
      </c>
      <c r="AJ548">
        <v>1</v>
      </c>
      <c r="AK548">
        <v>16</v>
      </c>
      <c r="AL548" t="s">
        <v>917</v>
      </c>
      <c r="AM548" t="s">
        <v>390</v>
      </c>
      <c r="AN548" t="s">
        <v>918</v>
      </c>
      <c r="AO548" t="s">
        <v>74</v>
      </c>
      <c r="AP548" t="s">
        <v>4750</v>
      </c>
      <c r="AQ548" t="s">
        <v>74</v>
      </c>
      <c r="AR548" t="s">
        <v>4751</v>
      </c>
      <c r="AS548" t="s">
        <v>4752</v>
      </c>
      <c r="AT548" t="s">
        <v>1809</v>
      </c>
      <c r="AU548">
        <v>2021</v>
      </c>
      <c r="AV548">
        <v>22</v>
      </c>
      <c r="AW548">
        <v>3</v>
      </c>
      <c r="AX548" t="s">
        <v>74</v>
      </c>
      <c r="AY548" t="s">
        <v>74</v>
      </c>
      <c r="AZ548" t="s">
        <v>74</v>
      </c>
      <c r="BA548" t="s">
        <v>74</v>
      </c>
      <c r="BB548" t="s">
        <v>74</v>
      </c>
      <c r="BC548" t="s">
        <v>74</v>
      </c>
      <c r="BD548" t="s">
        <v>10912</v>
      </c>
      <c r="BE548" t="s">
        <v>10913</v>
      </c>
      <c r="BF548" t="str">
        <f>HYPERLINK("http://dx.doi.org/10.1029/2020GC009287","http://dx.doi.org/10.1029/2020GC009287")</f>
        <v>http://dx.doi.org/10.1029/2020GC009287</v>
      </c>
      <c r="BG548" t="s">
        <v>74</v>
      </c>
      <c r="BH548" t="s">
        <v>74</v>
      </c>
      <c r="BI548">
        <v>22</v>
      </c>
      <c r="BJ548" t="s">
        <v>1066</v>
      </c>
      <c r="BK548" t="s">
        <v>101</v>
      </c>
      <c r="BL548" t="s">
        <v>1066</v>
      </c>
      <c r="BM548" t="s">
        <v>10914</v>
      </c>
      <c r="BN548" t="s">
        <v>74</v>
      </c>
      <c r="BO548" t="s">
        <v>10915</v>
      </c>
      <c r="BP548" t="s">
        <v>74</v>
      </c>
      <c r="BQ548" t="s">
        <v>74</v>
      </c>
      <c r="BR548" t="s">
        <v>104</v>
      </c>
      <c r="BS548" t="s">
        <v>10916</v>
      </c>
      <c r="BT548" t="str">
        <f>HYPERLINK("https%3A%2F%2Fwww.webofscience.com%2Fwos%2Fwoscc%2Ffull-record%2FWOS:000636360200016","View Full Record in Web of Science")</f>
        <v>View Full Record in Web of Science</v>
      </c>
    </row>
    <row r="549" spans="1:72" x14ac:dyDescent="0.15">
      <c r="A549" t="s">
        <v>72</v>
      </c>
      <c r="B549" t="s">
        <v>10917</v>
      </c>
      <c r="C549" t="s">
        <v>74</v>
      </c>
      <c r="D549" t="s">
        <v>74</v>
      </c>
      <c r="E549" t="s">
        <v>74</v>
      </c>
      <c r="F549" t="s">
        <v>10918</v>
      </c>
      <c r="G549" t="s">
        <v>74</v>
      </c>
      <c r="H549" t="s">
        <v>74</v>
      </c>
      <c r="I549" t="s">
        <v>10919</v>
      </c>
      <c r="J549" t="s">
        <v>4738</v>
      </c>
      <c r="K549" t="s">
        <v>74</v>
      </c>
      <c r="L549" t="s">
        <v>74</v>
      </c>
      <c r="M549" t="s">
        <v>78</v>
      </c>
      <c r="N549" t="s">
        <v>79</v>
      </c>
      <c r="O549" t="s">
        <v>74</v>
      </c>
      <c r="P549" t="s">
        <v>74</v>
      </c>
      <c r="Q549" t="s">
        <v>74</v>
      </c>
      <c r="R549" t="s">
        <v>74</v>
      </c>
      <c r="S549" t="s">
        <v>74</v>
      </c>
      <c r="T549" t="s">
        <v>74</v>
      </c>
      <c r="U549" t="s">
        <v>10920</v>
      </c>
      <c r="V549" t="s">
        <v>10921</v>
      </c>
      <c r="W549" t="s">
        <v>10922</v>
      </c>
      <c r="X549" t="s">
        <v>10923</v>
      </c>
      <c r="Y549" t="s">
        <v>10924</v>
      </c>
      <c r="Z549" t="s">
        <v>10925</v>
      </c>
      <c r="AA549" t="s">
        <v>10926</v>
      </c>
      <c r="AB549" t="s">
        <v>10927</v>
      </c>
      <c r="AC549" t="s">
        <v>10928</v>
      </c>
      <c r="AD549" t="s">
        <v>10929</v>
      </c>
      <c r="AE549" t="s">
        <v>10930</v>
      </c>
      <c r="AF549" t="s">
        <v>74</v>
      </c>
      <c r="AG549">
        <v>98</v>
      </c>
      <c r="AH549">
        <v>10</v>
      </c>
      <c r="AI549">
        <v>10</v>
      </c>
      <c r="AJ549">
        <v>1</v>
      </c>
      <c r="AK549">
        <v>2</v>
      </c>
      <c r="AL549" t="s">
        <v>917</v>
      </c>
      <c r="AM549" t="s">
        <v>390</v>
      </c>
      <c r="AN549" t="s">
        <v>918</v>
      </c>
      <c r="AO549" t="s">
        <v>74</v>
      </c>
      <c r="AP549" t="s">
        <v>4750</v>
      </c>
      <c r="AQ549" t="s">
        <v>74</v>
      </c>
      <c r="AR549" t="s">
        <v>4751</v>
      </c>
      <c r="AS549" t="s">
        <v>4752</v>
      </c>
      <c r="AT549" t="s">
        <v>1809</v>
      </c>
      <c r="AU549">
        <v>2021</v>
      </c>
      <c r="AV549">
        <v>22</v>
      </c>
      <c r="AW549">
        <v>3</v>
      </c>
      <c r="AX549" t="s">
        <v>74</v>
      </c>
      <c r="AY549" t="s">
        <v>74</v>
      </c>
      <c r="AZ549" t="s">
        <v>74</v>
      </c>
      <c r="BA549" t="s">
        <v>74</v>
      </c>
      <c r="BB549" t="s">
        <v>74</v>
      </c>
      <c r="BC549" t="s">
        <v>74</v>
      </c>
      <c r="BD549" t="s">
        <v>10931</v>
      </c>
      <c r="BE549" t="s">
        <v>10932</v>
      </c>
      <c r="BF549" t="str">
        <f>HYPERLINK("http://dx.doi.org/10.1029/2020GC009076","http://dx.doi.org/10.1029/2020GC009076")</f>
        <v>http://dx.doi.org/10.1029/2020GC009076</v>
      </c>
      <c r="BG549" t="s">
        <v>74</v>
      </c>
      <c r="BH549" t="s">
        <v>74</v>
      </c>
      <c r="BI549">
        <v>20</v>
      </c>
      <c r="BJ549" t="s">
        <v>1066</v>
      </c>
      <c r="BK549" t="s">
        <v>101</v>
      </c>
      <c r="BL549" t="s">
        <v>1066</v>
      </c>
      <c r="BM549" t="s">
        <v>10914</v>
      </c>
      <c r="BN549" t="s">
        <v>74</v>
      </c>
      <c r="BO549" t="s">
        <v>712</v>
      </c>
      <c r="BP549" t="s">
        <v>74</v>
      </c>
      <c r="BQ549" t="s">
        <v>74</v>
      </c>
      <c r="BR549" t="s">
        <v>104</v>
      </c>
      <c r="BS549" t="s">
        <v>10933</v>
      </c>
      <c r="BT549" t="str">
        <f>HYPERLINK("https%3A%2F%2Fwww.webofscience.com%2Fwos%2Fwoscc%2Ffull-record%2FWOS:000636360200038","View Full Record in Web of Science")</f>
        <v>View Full Record in Web of Science</v>
      </c>
    </row>
    <row r="550" spans="1:72" x14ac:dyDescent="0.15">
      <c r="A550" t="s">
        <v>72</v>
      </c>
      <c r="B550" t="s">
        <v>10934</v>
      </c>
      <c r="C550" t="s">
        <v>74</v>
      </c>
      <c r="D550" t="s">
        <v>74</v>
      </c>
      <c r="E550" t="s">
        <v>74</v>
      </c>
      <c r="F550" t="s">
        <v>10935</v>
      </c>
      <c r="G550" t="s">
        <v>74</v>
      </c>
      <c r="H550" t="s">
        <v>74</v>
      </c>
      <c r="I550" t="s">
        <v>10936</v>
      </c>
      <c r="J550" t="s">
        <v>10937</v>
      </c>
      <c r="K550" t="s">
        <v>74</v>
      </c>
      <c r="L550" t="s">
        <v>74</v>
      </c>
      <c r="M550" t="s">
        <v>78</v>
      </c>
      <c r="N550" t="s">
        <v>79</v>
      </c>
      <c r="O550" t="s">
        <v>74</v>
      </c>
      <c r="P550" t="s">
        <v>74</v>
      </c>
      <c r="Q550" t="s">
        <v>74</v>
      </c>
      <c r="R550" t="s">
        <v>74</v>
      </c>
      <c r="S550" t="s">
        <v>74</v>
      </c>
      <c r="T550" t="s">
        <v>74</v>
      </c>
      <c r="U550" t="s">
        <v>74</v>
      </c>
      <c r="V550" t="s">
        <v>74</v>
      </c>
      <c r="W550" t="s">
        <v>10938</v>
      </c>
      <c r="X550" t="s">
        <v>10939</v>
      </c>
      <c r="Y550" t="s">
        <v>10940</v>
      </c>
      <c r="Z550" t="s">
        <v>10941</v>
      </c>
      <c r="AA550" t="s">
        <v>74</v>
      </c>
      <c r="AB550" t="s">
        <v>10942</v>
      </c>
      <c r="AC550" t="s">
        <v>10943</v>
      </c>
      <c r="AD550" t="s">
        <v>10003</v>
      </c>
      <c r="AE550" t="s">
        <v>10944</v>
      </c>
      <c r="AF550" t="s">
        <v>74</v>
      </c>
      <c r="AG550">
        <v>52</v>
      </c>
      <c r="AH550">
        <v>4</v>
      </c>
      <c r="AI550">
        <v>4</v>
      </c>
      <c r="AJ550">
        <v>0</v>
      </c>
      <c r="AK550">
        <v>6</v>
      </c>
      <c r="AL550" t="s">
        <v>1160</v>
      </c>
      <c r="AM550" t="s">
        <v>891</v>
      </c>
      <c r="AN550" t="s">
        <v>1161</v>
      </c>
      <c r="AO550" t="s">
        <v>10945</v>
      </c>
      <c r="AP550" t="s">
        <v>10946</v>
      </c>
      <c r="AQ550" t="s">
        <v>74</v>
      </c>
      <c r="AR550" t="s">
        <v>10947</v>
      </c>
      <c r="AS550" t="s">
        <v>10948</v>
      </c>
      <c r="AT550" t="s">
        <v>1809</v>
      </c>
      <c r="AU550">
        <v>2021</v>
      </c>
      <c r="AV550">
        <v>87</v>
      </c>
      <c r="AW550" t="s">
        <v>74</v>
      </c>
      <c r="AX550">
        <v>1</v>
      </c>
      <c r="AY550" t="s">
        <v>74</v>
      </c>
      <c r="AZ550" t="s">
        <v>74</v>
      </c>
      <c r="BA550" t="s">
        <v>74</v>
      </c>
      <c r="BB550" t="s">
        <v>74</v>
      </c>
      <c r="BC550" t="s">
        <v>74</v>
      </c>
      <c r="BD550" t="s">
        <v>10949</v>
      </c>
      <c r="BE550" t="s">
        <v>10950</v>
      </c>
      <c r="BF550" t="str">
        <f>HYPERLINK("http://dx.doi.org/10.1093/mollus/eyaa035","http://dx.doi.org/10.1093/mollus/eyaa035")</f>
        <v>http://dx.doi.org/10.1093/mollus/eyaa035</v>
      </c>
      <c r="BG550" t="s">
        <v>74</v>
      </c>
      <c r="BH550" t="s">
        <v>74</v>
      </c>
      <c r="BI550">
        <v>5</v>
      </c>
      <c r="BJ550" t="s">
        <v>3849</v>
      </c>
      <c r="BK550" t="s">
        <v>101</v>
      </c>
      <c r="BL550" t="s">
        <v>3849</v>
      </c>
      <c r="BM550" t="s">
        <v>10951</v>
      </c>
      <c r="BN550" t="s">
        <v>74</v>
      </c>
      <c r="BO550" t="s">
        <v>496</v>
      </c>
      <c r="BP550" t="s">
        <v>74</v>
      </c>
      <c r="BQ550" t="s">
        <v>74</v>
      </c>
      <c r="BR550" t="s">
        <v>104</v>
      </c>
      <c r="BS550" t="s">
        <v>10952</v>
      </c>
      <c r="BT550" t="str">
        <f>HYPERLINK("https%3A%2F%2Fwww.webofscience.com%2Fwos%2Fwoscc%2Ffull-record%2FWOS:000636580600007","View Full Record in Web of Science")</f>
        <v>View Full Record in Web of Science</v>
      </c>
    </row>
    <row r="551" spans="1:72" x14ac:dyDescent="0.15">
      <c r="A551" t="s">
        <v>72</v>
      </c>
      <c r="B551" t="s">
        <v>10953</v>
      </c>
      <c r="C551" t="s">
        <v>74</v>
      </c>
      <c r="D551" t="s">
        <v>74</v>
      </c>
      <c r="E551" t="s">
        <v>74</v>
      </c>
      <c r="F551" t="s">
        <v>10954</v>
      </c>
      <c r="G551" t="s">
        <v>74</v>
      </c>
      <c r="H551" t="s">
        <v>74</v>
      </c>
      <c r="I551" t="s">
        <v>10955</v>
      </c>
      <c r="J551" t="s">
        <v>4783</v>
      </c>
      <c r="K551" t="s">
        <v>74</v>
      </c>
      <c r="L551" t="s">
        <v>74</v>
      </c>
      <c r="M551" t="s">
        <v>78</v>
      </c>
      <c r="N551" t="s">
        <v>79</v>
      </c>
      <c r="O551" t="s">
        <v>74</v>
      </c>
      <c r="P551" t="s">
        <v>74</v>
      </c>
      <c r="Q551" t="s">
        <v>74</v>
      </c>
      <c r="R551" t="s">
        <v>74</v>
      </c>
      <c r="S551" t="s">
        <v>74</v>
      </c>
      <c r="T551" t="s">
        <v>10956</v>
      </c>
      <c r="U551" t="s">
        <v>10957</v>
      </c>
      <c r="V551" t="s">
        <v>10958</v>
      </c>
      <c r="W551" t="s">
        <v>10959</v>
      </c>
      <c r="X551" t="s">
        <v>10960</v>
      </c>
      <c r="Y551" t="s">
        <v>10961</v>
      </c>
      <c r="Z551" t="s">
        <v>8524</v>
      </c>
      <c r="AA551" t="s">
        <v>10962</v>
      </c>
      <c r="AB551" t="s">
        <v>10963</v>
      </c>
      <c r="AC551" t="s">
        <v>10964</v>
      </c>
      <c r="AD551" t="s">
        <v>10965</v>
      </c>
      <c r="AE551" t="s">
        <v>10966</v>
      </c>
      <c r="AF551" t="s">
        <v>74</v>
      </c>
      <c r="AG551">
        <v>82</v>
      </c>
      <c r="AH551">
        <v>15</v>
      </c>
      <c r="AI551">
        <v>18</v>
      </c>
      <c r="AJ551">
        <v>0</v>
      </c>
      <c r="AK551">
        <v>7</v>
      </c>
      <c r="AL551" t="s">
        <v>917</v>
      </c>
      <c r="AM551" t="s">
        <v>390</v>
      </c>
      <c r="AN551" t="s">
        <v>918</v>
      </c>
      <c r="AO551" t="s">
        <v>4796</v>
      </c>
      <c r="AP551" t="s">
        <v>4797</v>
      </c>
      <c r="AQ551" t="s">
        <v>74</v>
      </c>
      <c r="AR551" t="s">
        <v>4798</v>
      </c>
      <c r="AS551" t="s">
        <v>4799</v>
      </c>
      <c r="AT551" t="s">
        <v>1809</v>
      </c>
      <c r="AU551">
        <v>2021</v>
      </c>
      <c r="AV551">
        <v>126</v>
      </c>
      <c r="AW551">
        <v>3</v>
      </c>
      <c r="AX551" t="s">
        <v>74</v>
      </c>
      <c r="AY551" t="s">
        <v>74</v>
      </c>
      <c r="AZ551" t="s">
        <v>74</v>
      </c>
      <c r="BA551" t="s">
        <v>74</v>
      </c>
      <c r="BB551" t="s">
        <v>74</v>
      </c>
      <c r="BC551" t="s">
        <v>74</v>
      </c>
      <c r="BD551" t="s">
        <v>10967</v>
      </c>
      <c r="BE551" t="s">
        <v>10968</v>
      </c>
      <c r="BF551" t="str">
        <f>HYPERLINK("http://dx.doi.org/10.1029/2020JF006001","http://dx.doi.org/10.1029/2020JF006001")</f>
        <v>http://dx.doi.org/10.1029/2020JF006001</v>
      </c>
      <c r="BG551" t="s">
        <v>74</v>
      </c>
      <c r="BH551" t="s">
        <v>74</v>
      </c>
      <c r="BI551">
        <v>23</v>
      </c>
      <c r="BJ551" t="s">
        <v>100</v>
      </c>
      <c r="BK551" t="s">
        <v>101</v>
      </c>
      <c r="BL551" t="s">
        <v>102</v>
      </c>
      <c r="BM551" t="s">
        <v>10969</v>
      </c>
      <c r="BN551" t="s">
        <v>74</v>
      </c>
      <c r="BO551" t="s">
        <v>10915</v>
      </c>
      <c r="BP551" t="s">
        <v>74</v>
      </c>
      <c r="BQ551" t="s">
        <v>74</v>
      </c>
      <c r="BR551" t="s">
        <v>104</v>
      </c>
      <c r="BS551" t="s">
        <v>10970</v>
      </c>
      <c r="BT551" t="str">
        <f>HYPERLINK("https%3A%2F%2Fwww.webofscience.com%2Fwos%2Fwoscc%2Ffull-record%2FWOS:000636290000018","View Full Record in Web of Science")</f>
        <v>View Full Record in Web of Science</v>
      </c>
    </row>
    <row r="552" spans="1:72" x14ac:dyDescent="0.15">
      <c r="A552" t="s">
        <v>72</v>
      </c>
      <c r="B552" t="s">
        <v>10971</v>
      </c>
      <c r="C552" t="s">
        <v>74</v>
      </c>
      <c r="D552" t="s">
        <v>74</v>
      </c>
      <c r="E552" t="s">
        <v>74</v>
      </c>
      <c r="F552" t="s">
        <v>10972</v>
      </c>
      <c r="G552" t="s">
        <v>74</v>
      </c>
      <c r="H552" t="s">
        <v>74</v>
      </c>
      <c r="I552" t="s">
        <v>10973</v>
      </c>
      <c r="J552" t="s">
        <v>5063</v>
      </c>
      <c r="K552" t="s">
        <v>74</v>
      </c>
      <c r="L552" t="s">
        <v>74</v>
      </c>
      <c r="M552" t="s">
        <v>78</v>
      </c>
      <c r="N552" t="s">
        <v>79</v>
      </c>
      <c r="O552" t="s">
        <v>74</v>
      </c>
      <c r="P552" t="s">
        <v>74</v>
      </c>
      <c r="Q552" t="s">
        <v>74</v>
      </c>
      <c r="R552" t="s">
        <v>74</v>
      </c>
      <c r="S552" t="s">
        <v>74</v>
      </c>
      <c r="T552" t="s">
        <v>10974</v>
      </c>
      <c r="U552" t="s">
        <v>10975</v>
      </c>
      <c r="V552" t="s">
        <v>10976</v>
      </c>
      <c r="W552" t="s">
        <v>10977</v>
      </c>
      <c r="X552" t="s">
        <v>10978</v>
      </c>
      <c r="Y552" t="s">
        <v>10979</v>
      </c>
      <c r="Z552" t="s">
        <v>10980</v>
      </c>
      <c r="AA552" t="s">
        <v>10981</v>
      </c>
      <c r="AB552" t="s">
        <v>10982</v>
      </c>
      <c r="AC552" t="s">
        <v>10983</v>
      </c>
      <c r="AD552" t="s">
        <v>10984</v>
      </c>
      <c r="AE552" t="s">
        <v>10985</v>
      </c>
      <c r="AF552" t="s">
        <v>74</v>
      </c>
      <c r="AG552">
        <v>30</v>
      </c>
      <c r="AH552">
        <v>5</v>
      </c>
      <c r="AI552">
        <v>5</v>
      </c>
      <c r="AJ552">
        <v>0</v>
      </c>
      <c r="AK552">
        <v>2</v>
      </c>
      <c r="AL552" t="s">
        <v>917</v>
      </c>
      <c r="AM552" t="s">
        <v>390</v>
      </c>
      <c r="AN552" t="s">
        <v>918</v>
      </c>
      <c r="AO552" t="s">
        <v>74</v>
      </c>
      <c r="AP552" t="s">
        <v>5076</v>
      </c>
      <c r="AQ552" t="s">
        <v>74</v>
      </c>
      <c r="AR552" t="s">
        <v>5077</v>
      </c>
      <c r="AS552" t="s">
        <v>5078</v>
      </c>
      <c r="AT552" t="s">
        <v>1809</v>
      </c>
      <c r="AU552">
        <v>2021</v>
      </c>
      <c r="AV552">
        <v>19</v>
      </c>
      <c r="AW552">
        <v>3</v>
      </c>
      <c r="AX552" t="s">
        <v>74</v>
      </c>
      <c r="AY552" t="s">
        <v>74</v>
      </c>
      <c r="AZ552" t="s">
        <v>74</v>
      </c>
      <c r="BA552" t="s">
        <v>74</v>
      </c>
      <c r="BB552" t="s">
        <v>74</v>
      </c>
      <c r="BC552" t="s">
        <v>74</v>
      </c>
      <c r="BD552" t="s">
        <v>10986</v>
      </c>
      <c r="BE552" t="s">
        <v>10987</v>
      </c>
      <c r="BF552" t="str">
        <f>HYPERLINK("http://dx.doi.org/10.1029/2020SW002531","http://dx.doi.org/10.1029/2020SW002531")</f>
        <v>http://dx.doi.org/10.1029/2020SW002531</v>
      </c>
      <c r="BG552" t="s">
        <v>74</v>
      </c>
      <c r="BH552" t="s">
        <v>74</v>
      </c>
      <c r="BI552">
        <v>14</v>
      </c>
      <c r="BJ552" t="s">
        <v>1119</v>
      </c>
      <c r="BK552" t="s">
        <v>101</v>
      </c>
      <c r="BL552" t="s">
        <v>1119</v>
      </c>
      <c r="BM552" t="s">
        <v>10988</v>
      </c>
      <c r="BN552" t="s">
        <v>74</v>
      </c>
      <c r="BO552" t="s">
        <v>6826</v>
      </c>
      <c r="BP552" t="s">
        <v>74</v>
      </c>
      <c r="BQ552" t="s">
        <v>74</v>
      </c>
      <c r="BR552" t="s">
        <v>104</v>
      </c>
      <c r="BS552" t="s">
        <v>10989</v>
      </c>
      <c r="BT552" t="str">
        <f>HYPERLINK("https%3A%2F%2Fwww.webofscience.com%2Fwos%2Fwoscc%2Ffull-record%2FWOS:000636279600006","View Full Record in Web of Science")</f>
        <v>View Full Record in Web of Science</v>
      </c>
    </row>
    <row r="553" spans="1:72" x14ac:dyDescent="0.15">
      <c r="A553" t="s">
        <v>72</v>
      </c>
      <c r="B553" t="s">
        <v>10990</v>
      </c>
      <c r="C553" t="s">
        <v>74</v>
      </c>
      <c r="D553" t="s">
        <v>74</v>
      </c>
      <c r="E553" t="s">
        <v>74</v>
      </c>
      <c r="F553" t="s">
        <v>10991</v>
      </c>
      <c r="G553" t="s">
        <v>74</v>
      </c>
      <c r="H553" t="s">
        <v>74</v>
      </c>
      <c r="I553" t="s">
        <v>10992</v>
      </c>
      <c r="J553" t="s">
        <v>10993</v>
      </c>
      <c r="K553" t="s">
        <v>74</v>
      </c>
      <c r="L553" t="s">
        <v>74</v>
      </c>
      <c r="M553" t="s">
        <v>78</v>
      </c>
      <c r="N553" t="s">
        <v>79</v>
      </c>
      <c r="O553" t="s">
        <v>74</v>
      </c>
      <c r="P553" t="s">
        <v>74</v>
      </c>
      <c r="Q553" t="s">
        <v>74</v>
      </c>
      <c r="R553" t="s">
        <v>74</v>
      </c>
      <c r="S553" t="s">
        <v>74</v>
      </c>
      <c r="T553" t="s">
        <v>10994</v>
      </c>
      <c r="U553" t="s">
        <v>10995</v>
      </c>
      <c r="V553" t="s">
        <v>10996</v>
      </c>
      <c r="W553" t="s">
        <v>10997</v>
      </c>
      <c r="X553" t="s">
        <v>10998</v>
      </c>
      <c r="Y553" t="s">
        <v>10999</v>
      </c>
      <c r="Z553" t="s">
        <v>11000</v>
      </c>
      <c r="AA553" t="s">
        <v>74</v>
      </c>
      <c r="AB553" t="s">
        <v>74</v>
      </c>
      <c r="AC553" t="s">
        <v>11001</v>
      </c>
      <c r="AD553" t="s">
        <v>11002</v>
      </c>
      <c r="AE553" t="s">
        <v>11003</v>
      </c>
      <c r="AF553" t="s">
        <v>74</v>
      </c>
      <c r="AG553">
        <v>64</v>
      </c>
      <c r="AH553">
        <v>6</v>
      </c>
      <c r="AI553">
        <v>6</v>
      </c>
      <c r="AJ553">
        <v>0</v>
      </c>
      <c r="AK553">
        <v>6</v>
      </c>
      <c r="AL553" t="s">
        <v>11004</v>
      </c>
      <c r="AM553" t="s">
        <v>11005</v>
      </c>
      <c r="AN553" t="s">
        <v>11006</v>
      </c>
      <c r="AO553" t="s">
        <v>11007</v>
      </c>
      <c r="AP553" t="s">
        <v>11008</v>
      </c>
      <c r="AQ553" t="s">
        <v>74</v>
      </c>
      <c r="AR553" t="s">
        <v>11009</v>
      </c>
      <c r="AS553" t="s">
        <v>11010</v>
      </c>
      <c r="AT553" t="s">
        <v>1809</v>
      </c>
      <c r="AU553">
        <v>2021</v>
      </c>
      <c r="AV553">
        <v>154</v>
      </c>
      <c r="AW553">
        <v>1</v>
      </c>
      <c r="AX553" t="s">
        <v>74</v>
      </c>
      <c r="AY553" t="s">
        <v>74</v>
      </c>
      <c r="AZ553" t="s">
        <v>74</v>
      </c>
      <c r="BA553" t="s">
        <v>74</v>
      </c>
      <c r="BB553">
        <v>63</v>
      </c>
      <c r="BC553">
        <v>79</v>
      </c>
      <c r="BD553" t="s">
        <v>74</v>
      </c>
      <c r="BE553" t="s">
        <v>11011</v>
      </c>
      <c r="BF553" t="str">
        <f>HYPERLINK("http://dx.doi.org/10.5091/plecevo.2021.1767","http://dx.doi.org/10.5091/plecevo.2021.1767")</f>
        <v>http://dx.doi.org/10.5091/plecevo.2021.1767</v>
      </c>
      <c r="BG553" t="s">
        <v>74</v>
      </c>
      <c r="BH553" t="s">
        <v>74</v>
      </c>
      <c r="BI553">
        <v>17</v>
      </c>
      <c r="BJ553" t="s">
        <v>2508</v>
      </c>
      <c r="BK553" t="s">
        <v>101</v>
      </c>
      <c r="BL553" t="s">
        <v>2508</v>
      </c>
      <c r="BM553" t="s">
        <v>11012</v>
      </c>
      <c r="BN553" t="s">
        <v>74</v>
      </c>
      <c r="BO553" t="s">
        <v>558</v>
      </c>
      <c r="BP553" t="s">
        <v>74</v>
      </c>
      <c r="BQ553" t="s">
        <v>74</v>
      </c>
      <c r="BR553" t="s">
        <v>104</v>
      </c>
      <c r="BS553" t="s">
        <v>11013</v>
      </c>
      <c r="BT553" t="str">
        <f>HYPERLINK("https%3A%2F%2Fwww.webofscience.com%2Fwos%2Fwoscc%2Ffull-record%2FWOS:000635926700008","View Full Record in Web of Science")</f>
        <v>View Full Record in Web of Science</v>
      </c>
    </row>
    <row r="554" spans="1:72" x14ac:dyDescent="0.15">
      <c r="A554" t="s">
        <v>72</v>
      </c>
      <c r="B554" t="s">
        <v>11014</v>
      </c>
      <c r="C554" t="s">
        <v>74</v>
      </c>
      <c r="D554" t="s">
        <v>74</v>
      </c>
      <c r="E554" t="s">
        <v>74</v>
      </c>
      <c r="F554" t="s">
        <v>11015</v>
      </c>
      <c r="G554" t="s">
        <v>74</v>
      </c>
      <c r="H554" t="s">
        <v>74</v>
      </c>
      <c r="I554" t="s">
        <v>11016</v>
      </c>
      <c r="J554" t="s">
        <v>11017</v>
      </c>
      <c r="K554" t="s">
        <v>74</v>
      </c>
      <c r="L554" t="s">
        <v>74</v>
      </c>
      <c r="M554" t="s">
        <v>78</v>
      </c>
      <c r="N554" t="s">
        <v>79</v>
      </c>
      <c r="O554" t="s">
        <v>74</v>
      </c>
      <c r="P554" t="s">
        <v>74</v>
      </c>
      <c r="Q554" t="s">
        <v>74</v>
      </c>
      <c r="R554" t="s">
        <v>74</v>
      </c>
      <c r="S554" t="s">
        <v>74</v>
      </c>
      <c r="T554" t="s">
        <v>11018</v>
      </c>
      <c r="U554" t="s">
        <v>11019</v>
      </c>
      <c r="V554" t="s">
        <v>11020</v>
      </c>
      <c r="W554" t="s">
        <v>11021</v>
      </c>
      <c r="X554" t="s">
        <v>11022</v>
      </c>
      <c r="Y554" t="s">
        <v>11023</v>
      </c>
      <c r="Z554" t="s">
        <v>11024</v>
      </c>
      <c r="AA554" t="s">
        <v>11025</v>
      </c>
      <c r="AB554" t="s">
        <v>11026</v>
      </c>
      <c r="AC554" t="s">
        <v>11027</v>
      </c>
      <c r="AD554" t="s">
        <v>11028</v>
      </c>
      <c r="AE554" t="s">
        <v>11029</v>
      </c>
      <c r="AF554" t="s">
        <v>74</v>
      </c>
      <c r="AG554">
        <v>58</v>
      </c>
      <c r="AH554">
        <v>2</v>
      </c>
      <c r="AI554">
        <v>3</v>
      </c>
      <c r="AJ554">
        <v>1</v>
      </c>
      <c r="AK554">
        <v>6</v>
      </c>
      <c r="AL554" t="s">
        <v>11017</v>
      </c>
      <c r="AM554" t="s">
        <v>11030</v>
      </c>
      <c r="AN554" t="s">
        <v>11031</v>
      </c>
      <c r="AO554" t="s">
        <v>11032</v>
      </c>
      <c r="AP554" t="s">
        <v>11033</v>
      </c>
      <c r="AQ554" t="s">
        <v>74</v>
      </c>
      <c r="AR554" t="s">
        <v>11034</v>
      </c>
      <c r="AS554" t="s">
        <v>11035</v>
      </c>
      <c r="AT554" t="s">
        <v>1809</v>
      </c>
      <c r="AU554">
        <v>2021</v>
      </c>
      <c r="AV554">
        <v>69</v>
      </c>
      <c r="AW554" t="s">
        <v>74</v>
      </c>
      <c r="AX554" t="s">
        <v>74</v>
      </c>
      <c r="AY554">
        <v>1</v>
      </c>
      <c r="AZ554" t="s">
        <v>74</v>
      </c>
      <c r="BA554" t="s">
        <v>74</v>
      </c>
      <c r="BB554">
        <v>452</v>
      </c>
      <c r="BC554">
        <v>463</v>
      </c>
      <c r="BD554" t="s">
        <v>74</v>
      </c>
      <c r="BE554" t="s">
        <v>74</v>
      </c>
      <c r="BF554" t="s">
        <v>74</v>
      </c>
      <c r="BG554" t="s">
        <v>74</v>
      </c>
      <c r="BH554" t="s">
        <v>74</v>
      </c>
      <c r="BI554">
        <v>12</v>
      </c>
      <c r="BJ554" t="s">
        <v>4618</v>
      </c>
      <c r="BK554" t="s">
        <v>101</v>
      </c>
      <c r="BL554" t="s">
        <v>4619</v>
      </c>
      <c r="BM554" t="s">
        <v>11036</v>
      </c>
      <c r="BN554" t="s">
        <v>74</v>
      </c>
      <c r="BO554" t="s">
        <v>298</v>
      </c>
      <c r="BP554" t="s">
        <v>74</v>
      </c>
      <c r="BQ554" t="s">
        <v>74</v>
      </c>
      <c r="BR554" t="s">
        <v>104</v>
      </c>
      <c r="BS554" t="s">
        <v>11037</v>
      </c>
      <c r="BT554" t="str">
        <f>HYPERLINK("https%3A%2F%2Fwww.webofscience.com%2Fwos%2Fwoscc%2Ffull-record%2FWOS:000634505300028","View Full Record in Web of Science")</f>
        <v>View Full Record in Web of Science</v>
      </c>
    </row>
    <row r="555" spans="1:72" x14ac:dyDescent="0.15">
      <c r="A555" t="s">
        <v>72</v>
      </c>
      <c r="B555" t="s">
        <v>11038</v>
      </c>
      <c r="C555" t="s">
        <v>74</v>
      </c>
      <c r="D555" t="s">
        <v>74</v>
      </c>
      <c r="E555" t="s">
        <v>74</v>
      </c>
      <c r="F555" t="s">
        <v>11039</v>
      </c>
      <c r="G555" t="s">
        <v>74</v>
      </c>
      <c r="H555" t="s">
        <v>74</v>
      </c>
      <c r="I555" t="s">
        <v>11040</v>
      </c>
      <c r="J555" t="s">
        <v>11041</v>
      </c>
      <c r="K555" t="s">
        <v>74</v>
      </c>
      <c r="L555" t="s">
        <v>74</v>
      </c>
      <c r="M555" t="s">
        <v>78</v>
      </c>
      <c r="N555" t="s">
        <v>1799</v>
      </c>
      <c r="O555" t="s">
        <v>74</v>
      </c>
      <c r="P555" t="s">
        <v>74</v>
      </c>
      <c r="Q555" t="s">
        <v>74</v>
      </c>
      <c r="R555" t="s">
        <v>74</v>
      </c>
      <c r="S555" t="s">
        <v>74</v>
      </c>
      <c r="T555" t="s">
        <v>74</v>
      </c>
      <c r="U555" t="s">
        <v>74</v>
      </c>
      <c r="V555" t="s">
        <v>74</v>
      </c>
      <c r="W555" t="s">
        <v>11042</v>
      </c>
      <c r="X555" t="s">
        <v>2407</v>
      </c>
      <c r="Y555" t="s">
        <v>11043</v>
      </c>
      <c r="Z555" t="s">
        <v>74</v>
      </c>
      <c r="AA555" t="s">
        <v>11044</v>
      </c>
      <c r="AB555" t="s">
        <v>11045</v>
      </c>
      <c r="AC555" t="s">
        <v>74</v>
      </c>
      <c r="AD555" t="s">
        <v>74</v>
      </c>
      <c r="AE555" t="s">
        <v>74</v>
      </c>
      <c r="AF555" t="s">
        <v>74</v>
      </c>
      <c r="AG555">
        <v>4</v>
      </c>
      <c r="AH555">
        <v>0</v>
      </c>
      <c r="AI555">
        <v>0</v>
      </c>
      <c r="AJ555">
        <v>1</v>
      </c>
      <c r="AK555">
        <v>7</v>
      </c>
      <c r="AL555" t="s">
        <v>3000</v>
      </c>
      <c r="AM555" t="s">
        <v>167</v>
      </c>
      <c r="AN555" t="s">
        <v>3001</v>
      </c>
      <c r="AO555" t="s">
        <v>11046</v>
      </c>
      <c r="AP555" t="s">
        <v>11047</v>
      </c>
      <c r="AQ555" t="s">
        <v>74</v>
      </c>
      <c r="AR555" t="s">
        <v>11048</v>
      </c>
      <c r="AS555" t="s">
        <v>11049</v>
      </c>
      <c r="AT555" t="s">
        <v>1809</v>
      </c>
      <c r="AU555">
        <v>2021</v>
      </c>
      <c r="AV555">
        <v>32</v>
      </c>
      <c r="AW555">
        <v>1</v>
      </c>
      <c r="AX555" t="s">
        <v>74</v>
      </c>
      <c r="AY555" t="s">
        <v>74</v>
      </c>
      <c r="AZ555" t="s">
        <v>74</v>
      </c>
      <c r="BA555" t="s">
        <v>74</v>
      </c>
      <c r="BB555">
        <v>132</v>
      </c>
      <c r="BC555">
        <v>133</v>
      </c>
      <c r="BD555" t="s">
        <v>74</v>
      </c>
      <c r="BE555" t="s">
        <v>74</v>
      </c>
      <c r="BF555" t="s">
        <v>74</v>
      </c>
      <c r="BG555" t="s">
        <v>74</v>
      </c>
      <c r="BH555" t="s">
        <v>74</v>
      </c>
      <c r="BI555">
        <v>2</v>
      </c>
      <c r="BJ555" t="s">
        <v>11050</v>
      </c>
      <c r="BK555" t="s">
        <v>101</v>
      </c>
      <c r="BL555" t="s">
        <v>11050</v>
      </c>
      <c r="BM555" t="s">
        <v>11051</v>
      </c>
      <c r="BN555">
        <v>33516623</v>
      </c>
      <c r="BO555" t="s">
        <v>148</v>
      </c>
      <c r="BP555" t="s">
        <v>74</v>
      </c>
      <c r="BQ555" t="s">
        <v>74</v>
      </c>
      <c r="BR555" t="s">
        <v>104</v>
      </c>
      <c r="BS555" t="s">
        <v>11052</v>
      </c>
      <c r="BT555" t="str">
        <f>HYPERLINK("https%3A%2F%2Fwww.webofscience.com%2Fwos%2Fwoscc%2Ffull-record%2FWOS:000633495100026","View Full Record in Web of Science")</f>
        <v>View Full Record in Web of Science</v>
      </c>
    </row>
    <row r="556" spans="1:72" x14ac:dyDescent="0.15">
      <c r="A556" t="s">
        <v>72</v>
      </c>
      <c r="B556" t="s">
        <v>11053</v>
      </c>
      <c r="C556" t="s">
        <v>74</v>
      </c>
      <c r="D556" t="s">
        <v>74</v>
      </c>
      <c r="E556" t="s">
        <v>74</v>
      </c>
      <c r="F556" t="s">
        <v>11054</v>
      </c>
      <c r="G556" t="s">
        <v>74</v>
      </c>
      <c r="H556" t="s">
        <v>74</v>
      </c>
      <c r="I556" t="s">
        <v>11055</v>
      </c>
      <c r="J556" t="s">
        <v>11056</v>
      </c>
      <c r="K556" t="s">
        <v>74</v>
      </c>
      <c r="L556" t="s">
        <v>74</v>
      </c>
      <c r="M556" t="s">
        <v>78</v>
      </c>
      <c r="N556" t="s">
        <v>79</v>
      </c>
      <c r="O556" t="s">
        <v>74</v>
      </c>
      <c r="P556" t="s">
        <v>74</v>
      </c>
      <c r="Q556" t="s">
        <v>74</v>
      </c>
      <c r="R556" t="s">
        <v>74</v>
      </c>
      <c r="S556" t="s">
        <v>74</v>
      </c>
      <c r="T556" t="s">
        <v>11057</v>
      </c>
      <c r="U556" t="s">
        <v>11058</v>
      </c>
      <c r="V556" t="s">
        <v>11059</v>
      </c>
      <c r="W556" t="s">
        <v>11060</v>
      </c>
      <c r="X556" t="s">
        <v>11061</v>
      </c>
      <c r="Y556" t="s">
        <v>11062</v>
      </c>
      <c r="Z556" t="s">
        <v>11063</v>
      </c>
      <c r="AA556" t="s">
        <v>74</v>
      </c>
      <c r="AB556" t="s">
        <v>74</v>
      </c>
      <c r="AC556" t="s">
        <v>11064</v>
      </c>
      <c r="AD556" t="s">
        <v>11065</v>
      </c>
      <c r="AE556" t="s">
        <v>11066</v>
      </c>
      <c r="AF556" t="s">
        <v>74</v>
      </c>
      <c r="AG556">
        <v>34</v>
      </c>
      <c r="AH556">
        <v>0</v>
      </c>
      <c r="AI556">
        <v>0</v>
      </c>
      <c r="AJ556">
        <v>0</v>
      </c>
      <c r="AK556">
        <v>5</v>
      </c>
      <c r="AL556" t="s">
        <v>11067</v>
      </c>
      <c r="AM556" t="s">
        <v>11068</v>
      </c>
      <c r="AN556" t="s">
        <v>11069</v>
      </c>
      <c r="AO556" t="s">
        <v>11070</v>
      </c>
      <c r="AP556" t="s">
        <v>11071</v>
      </c>
      <c r="AQ556" t="s">
        <v>74</v>
      </c>
      <c r="AR556" t="s">
        <v>11056</v>
      </c>
      <c r="AS556" t="s">
        <v>11072</v>
      </c>
      <c r="AT556" t="s">
        <v>1809</v>
      </c>
      <c r="AU556">
        <v>2021</v>
      </c>
      <c r="AV556">
        <v>109</v>
      </c>
      <c r="AW556">
        <v>1</v>
      </c>
      <c r="AX556" t="s">
        <v>74</v>
      </c>
      <c r="AY556" t="s">
        <v>74</v>
      </c>
      <c r="AZ556" t="s">
        <v>74</v>
      </c>
      <c r="BA556" t="s">
        <v>74</v>
      </c>
      <c r="BB556">
        <v>67</v>
      </c>
      <c r="BC556" t="s">
        <v>867</v>
      </c>
      <c r="BD556" t="s">
        <v>74</v>
      </c>
      <c r="BE556" t="s">
        <v>11073</v>
      </c>
      <c r="BF556" t="str">
        <f>HYPERLINK("http://dx.doi.org/10.5253/arde.v109i1.a7","http://dx.doi.org/10.5253/arde.v109i1.a7")</f>
        <v>http://dx.doi.org/10.5253/arde.v109i1.a7</v>
      </c>
      <c r="BG556" t="s">
        <v>74</v>
      </c>
      <c r="BH556" t="s">
        <v>74</v>
      </c>
      <c r="BI556">
        <v>11</v>
      </c>
      <c r="BJ556" t="s">
        <v>2930</v>
      </c>
      <c r="BK556" t="s">
        <v>101</v>
      </c>
      <c r="BL556" t="s">
        <v>1229</v>
      </c>
      <c r="BM556" t="s">
        <v>11074</v>
      </c>
      <c r="BN556" t="s">
        <v>74</v>
      </c>
      <c r="BO556" t="s">
        <v>74</v>
      </c>
      <c r="BP556" t="s">
        <v>74</v>
      </c>
      <c r="BQ556" t="s">
        <v>74</v>
      </c>
      <c r="BR556" t="s">
        <v>104</v>
      </c>
      <c r="BS556" t="s">
        <v>11075</v>
      </c>
      <c r="BT556" t="str">
        <f>HYPERLINK("https%3A%2F%2Fwww.webofscience.com%2Fwos%2Fwoscc%2Ffull-record%2FWOS:000634508500008","View Full Record in Web of Science")</f>
        <v>View Full Record in Web of Science</v>
      </c>
    </row>
    <row r="557" spans="1:72" x14ac:dyDescent="0.15">
      <c r="A557" t="s">
        <v>72</v>
      </c>
      <c r="B557" t="s">
        <v>11076</v>
      </c>
      <c r="C557" t="s">
        <v>74</v>
      </c>
      <c r="D557" t="s">
        <v>74</v>
      </c>
      <c r="E557" t="s">
        <v>74</v>
      </c>
      <c r="F557" t="s">
        <v>11077</v>
      </c>
      <c r="G557" t="s">
        <v>74</v>
      </c>
      <c r="H557" t="s">
        <v>74</v>
      </c>
      <c r="I557" t="s">
        <v>11078</v>
      </c>
      <c r="J557" t="s">
        <v>11079</v>
      </c>
      <c r="K557" t="s">
        <v>74</v>
      </c>
      <c r="L557" t="s">
        <v>74</v>
      </c>
      <c r="M557" t="s">
        <v>78</v>
      </c>
      <c r="N557" t="s">
        <v>79</v>
      </c>
      <c r="O557" t="s">
        <v>74</v>
      </c>
      <c r="P557" t="s">
        <v>74</v>
      </c>
      <c r="Q557" t="s">
        <v>74</v>
      </c>
      <c r="R557" t="s">
        <v>74</v>
      </c>
      <c r="S557" t="s">
        <v>74</v>
      </c>
      <c r="T557" t="s">
        <v>11080</v>
      </c>
      <c r="U557" t="s">
        <v>11081</v>
      </c>
      <c r="V557" t="s">
        <v>11082</v>
      </c>
      <c r="W557" t="s">
        <v>11083</v>
      </c>
      <c r="X557" t="s">
        <v>11084</v>
      </c>
      <c r="Y557" t="s">
        <v>11085</v>
      </c>
      <c r="Z557" t="s">
        <v>11086</v>
      </c>
      <c r="AA557" t="s">
        <v>11087</v>
      </c>
      <c r="AB557" t="s">
        <v>11088</v>
      </c>
      <c r="AC557" t="s">
        <v>11089</v>
      </c>
      <c r="AD557" t="s">
        <v>11090</v>
      </c>
      <c r="AE557" t="s">
        <v>11091</v>
      </c>
      <c r="AF557" t="s">
        <v>74</v>
      </c>
      <c r="AG557">
        <v>80</v>
      </c>
      <c r="AH557">
        <v>16</v>
      </c>
      <c r="AI557">
        <v>16</v>
      </c>
      <c r="AJ557">
        <v>4</v>
      </c>
      <c r="AK557">
        <v>19</v>
      </c>
      <c r="AL557" t="s">
        <v>917</v>
      </c>
      <c r="AM557" t="s">
        <v>390</v>
      </c>
      <c r="AN557" t="s">
        <v>918</v>
      </c>
      <c r="AO557" t="s">
        <v>74</v>
      </c>
      <c r="AP557" t="s">
        <v>11092</v>
      </c>
      <c r="AQ557" t="s">
        <v>74</v>
      </c>
      <c r="AR557" t="s">
        <v>11093</v>
      </c>
      <c r="AS557" t="s">
        <v>11094</v>
      </c>
      <c r="AT557" t="s">
        <v>1809</v>
      </c>
      <c r="AU557">
        <v>2021</v>
      </c>
      <c r="AV557">
        <v>13</v>
      </c>
      <c r="AW557">
        <v>3</v>
      </c>
      <c r="AX557" t="s">
        <v>74</v>
      </c>
      <c r="AY557" t="s">
        <v>74</v>
      </c>
      <c r="AZ557" t="s">
        <v>74</v>
      </c>
      <c r="BA557" t="s">
        <v>74</v>
      </c>
      <c r="BB557" t="s">
        <v>74</v>
      </c>
      <c r="BC557" t="s">
        <v>74</v>
      </c>
      <c r="BD557" t="s">
        <v>11095</v>
      </c>
      <c r="BE557" t="s">
        <v>11096</v>
      </c>
      <c r="BF557" t="str">
        <f>HYPERLINK("http://dx.doi.org/10.1029/2020MS002143","http://dx.doi.org/10.1029/2020MS002143")</f>
        <v>http://dx.doi.org/10.1029/2020MS002143</v>
      </c>
      <c r="BG557" t="s">
        <v>74</v>
      </c>
      <c r="BH557" t="s">
        <v>74</v>
      </c>
      <c r="BI557">
        <v>25</v>
      </c>
      <c r="BJ557" t="s">
        <v>129</v>
      </c>
      <c r="BK557" t="s">
        <v>101</v>
      </c>
      <c r="BL557" t="s">
        <v>129</v>
      </c>
      <c r="BM557" t="s">
        <v>11097</v>
      </c>
      <c r="BN557" t="s">
        <v>74</v>
      </c>
      <c r="BO557" t="s">
        <v>74</v>
      </c>
      <c r="BP557" t="s">
        <v>74</v>
      </c>
      <c r="BQ557" t="s">
        <v>74</v>
      </c>
      <c r="BR557" t="s">
        <v>104</v>
      </c>
      <c r="BS557" t="s">
        <v>11098</v>
      </c>
      <c r="BT557" t="str">
        <f>HYPERLINK("https%3A%2F%2Fwww.webofscience.com%2Fwos%2Fwoscc%2Ffull-record%2FWOS:000635263700004","View Full Record in Web of Science")</f>
        <v>View Full Record in Web of Science</v>
      </c>
    </row>
    <row r="558" spans="1:72" x14ac:dyDescent="0.15">
      <c r="A558" t="s">
        <v>72</v>
      </c>
      <c r="B558" t="s">
        <v>11099</v>
      </c>
      <c r="C558" t="s">
        <v>74</v>
      </c>
      <c r="D558" t="s">
        <v>74</v>
      </c>
      <c r="E558" t="s">
        <v>74</v>
      </c>
      <c r="F558" t="s">
        <v>11100</v>
      </c>
      <c r="G558" t="s">
        <v>74</v>
      </c>
      <c r="H558" t="s">
        <v>74</v>
      </c>
      <c r="I558" t="s">
        <v>11101</v>
      </c>
      <c r="J558" t="s">
        <v>11102</v>
      </c>
      <c r="K558" t="s">
        <v>74</v>
      </c>
      <c r="L558" t="s">
        <v>74</v>
      </c>
      <c r="M558" t="s">
        <v>78</v>
      </c>
      <c r="N558" t="s">
        <v>79</v>
      </c>
      <c r="O558" t="s">
        <v>74</v>
      </c>
      <c r="P558" t="s">
        <v>74</v>
      </c>
      <c r="Q558" t="s">
        <v>74</v>
      </c>
      <c r="R558" t="s">
        <v>74</v>
      </c>
      <c r="S558" t="s">
        <v>74</v>
      </c>
      <c r="T558" t="s">
        <v>11103</v>
      </c>
      <c r="U558" t="s">
        <v>11104</v>
      </c>
      <c r="V558" t="s">
        <v>11105</v>
      </c>
      <c r="W558" t="s">
        <v>11106</v>
      </c>
      <c r="X558" t="s">
        <v>11107</v>
      </c>
      <c r="Y558" t="s">
        <v>11108</v>
      </c>
      <c r="Z558" t="s">
        <v>11109</v>
      </c>
      <c r="AA558" t="s">
        <v>11110</v>
      </c>
      <c r="AB558" t="s">
        <v>11111</v>
      </c>
      <c r="AC558" t="s">
        <v>11112</v>
      </c>
      <c r="AD558" t="s">
        <v>11113</v>
      </c>
      <c r="AE558" t="s">
        <v>11114</v>
      </c>
      <c r="AF558" t="s">
        <v>74</v>
      </c>
      <c r="AG558">
        <v>130</v>
      </c>
      <c r="AH558">
        <v>13</v>
      </c>
      <c r="AI558">
        <v>13</v>
      </c>
      <c r="AJ558">
        <v>0</v>
      </c>
      <c r="AK558">
        <v>18</v>
      </c>
      <c r="AL558" t="s">
        <v>335</v>
      </c>
      <c r="AM558" t="s">
        <v>336</v>
      </c>
      <c r="AN558" t="s">
        <v>337</v>
      </c>
      <c r="AO558" t="s">
        <v>74</v>
      </c>
      <c r="AP558" t="s">
        <v>11115</v>
      </c>
      <c r="AQ558" t="s">
        <v>74</v>
      </c>
      <c r="AR558" t="s">
        <v>11116</v>
      </c>
      <c r="AS558" t="s">
        <v>11117</v>
      </c>
      <c r="AT558" t="s">
        <v>1809</v>
      </c>
      <c r="AU558">
        <v>2021</v>
      </c>
      <c r="AV558">
        <v>19</v>
      </c>
      <c r="AW558">
        <v>3</v>
      </c>
      <c r="AX558" t="s">
        <v>74</v>
      </c>
      <c r="AY558" t="s">
        <v>74</v>
      </c>
      <c r="AZ558" t="s">
        <v>74</v>
      </c>
      <c r="BA558" t="s">
        <v>74</v>
      </c>
      <c r="BB558" t="s">
        <v>74</v>
      </c>
      <c r="BC558" t="s">
        <v>74</v>
      </c>
      <c r="BD558">
        <v>173</v>
      </c>
      <c r="BE558" t="s">
        <v>11118</v>
      </c>
      <c r="BF558" t="str">
        <f>HYPERLINK("http://dx.doi.org/10.3390/md19030173","http://dx.doi.org/10.3390/md19030173")</f>
        <v>http://dx.doi.org/10.3390/md19030173</v>
      </c>
      <c r="BG558" t="s">
        <v>74</v>
      </c>
      <c r="BH558" t="s">
        <v>74</v>
      </c>
      <c r="BI558">
        <v>15</v>
      </c>
      <c r="BJ558" t="s">
        <v>11119</v>
      </c>
      <c r="BK558" t="s">
        <v>101</v>
      </c>
      <c r="BL558" t="s">
        <v>11120</v>
      </c>
      <c r="BM558" t="s">
        <v>11121</v>
      </c>
      <c r="BN558">
        <v>33810171</v>
      </c>
      <c r="BO558" t="s">
        <v>558</v>
      </c>
      <c r="BP558" t="s">
        <v>74</v>
      </c>
      <c r="BQ558" t="s">
        <v>74</v>
      </c>
      <c r="BR558" t="s">
        <v>104</v>
      </c>
      <c r="BS558" t="s">
        <v>11122</v>
      </c>
      <c r="BT558" t="str">
        <f>HYPERLINK("https%3A%2F%2Fwww.webofscience.com%2Fwos%2Fwoscc%2Ffull-record%2FWOS:000633814300001","View Full Record in Web of Science")</f>
        <v>View Full Record in Web of Science</v>
      </c>
    </row>
    <row r="559" spans="1:72" x14ac:dyDescent="0.15">
      <c r="A559" t="s">
        <v>72</v>
      </c>
      <c r="B559" t="s">
        <v>11123</v>
      </c>
      <c r="C559" t="s">
        <v>74</v>
      </c>
      <c r="D559" t="s">
        <v>74</v>
      </c>
      <c r="E559" t="s">
        <v>74</v>
      </c>
      <c r="F559" t="s">
        <v>11124</v>
      </c>
      <c r="G559" t="s">
        <v>74</v>
      </c>
      <c r="H559" t="s">
        <v>74</v>
      </c>
      <c r="I559" t="s">
        <v>11125</v>
      </c>
      <c r="J559" t="s">
        <v>5557</v>
      </c>
      <c r="K559" t="s">
        <v>74</v>
      </c>
      <c r="L559" t="s">
        <v>74</v>
      </c>
      <c r="M559" t="s">
        <v>78</v>
      </c>
      <c r="N559" t="s">
        <v>79</v>
      </c>
      <c r="O559" t="s">
        <v>74</v>
      </c>
      <c r="P559" t="s">
        <v>74</v>
      </c>
      <c r="Q559" t="s">
        <v>74</v>
      </c>
      <c r="R559" t="s">
        <v>74</v>
      </c>
      <c r="S559" t="s">
        <v>74</v>
      </c>
      <c r="T559" t="s">
        <v>11126</v>
      </c>
      <c r="U559" t="s">
        <v>11127</v>
      </c>
      <c r="V559" t="s">
        <v>11128</v>
      </c>
      <c r="W559" t="s">
        <v>11129</v>
      </c>
      <c r="X559" t="s">
        <v>11130</v>
      </c>
      <c r="Y559" t="s">
        <v>11131</v>
      </c>
      <c r="Z559" t="s">
        <v>11132</v>
      </c>
      <c r="AA559" t="s">
        <v>11133</v>
      </c>
      <c r="AB559" t="s">
        <v>11134</v>
      </c>
      <c r="AC559" t="s">
        <v>11135</v>
      </c>
      <c r="AD559" t="s">
        <v>11136</v>
      </c>
      <c r="AE559" t="s">
        <v>11137</v>
      </c>
      <c r="AF559" t="s">
        <v>74</v>
      </c>
      <c r="AG559">
        <v>79</v>
      </c>
      <c r="AH559">
        <v>3</v>
      </c>
      <c r="AI559">
        <v>3</v>
      </c>
      <c r="AJ559">
        <v>7</v>
      </c>
      <c r="AK559">
        <v>31</v>
      </c>
      <c r="AL559" t="s">
        <v>335</v>
      </c>
      <c r="AM559" t="s">
        <v>336</v>
      </c>
      <c r="AN559" t="s">
        <v>337</v>
      </c>
      <c r="AO559" t="s">
        <v>74</v>
      </c>
      <c r="AP559" t="s">
        <v>5566</v>
      </c>
      <c r="AQ559" t="s">
        <v>74</v>
      </c>
      <c r="AR559" t="s">
        <v>5557</v>
      </c>
      <c r="AS559" t="s">
        <v>5567</v>
      </c>
      <c r="AT559" t="s">
        <v>1809</v>
      </c>
      <c r="AU559">
        <v>2021</v>
      </c>
      <c r="AV559">
        <v>9</v>
      </c>
      <c r="AW559">
        <v>3</v>
      </c>
      <c r="AX559" t="s">
        <v>74</v>
      </c>
      <c r="AY559" t="s">
        <v>74</v>
      </c>
      <c r="AZ559" t="s">
        <v>74</v>
      </c>
      <c r="BA559" t="s">
        <v>74</v>
      </c>
      <c r="BB559" t="s">
        <v>74</v>
      </c>
      <c r="BC559" t="s">
        <v>74</v>
      </c>
      <c r="BD559">
        <v>609</v>
      </c>
      <c r="BE559" t="s">
        <v>11138</v>
      </c>
      <c r="BF559" t="str">
        <f>HYPERLINK("http://dx.doi.org/10.3390/microorganisms9030609","http://dx.doi.org/10.3390/microorganisms9030609")</f>
        <v>http://dx.doi.org/10.3390/microorganisms9030609</v>
      </c>
      <c r="BG559" t="s">
        <v>74</v>
      </c>
      <c r="BH559" t="s">
        <v>74</v>
      </c>
      <c r="BI559">
        <v>16</v>
      </c>
      <c r="BJ559" t="s">
        <v>396</v>
      </c>
      <c r="BK559" t="s">
        <v>101</v>
      </c>
      <c r="BL559" t="s">
        <v>396</v>
      </c>
      <c r="BM559" t="s">
        <v>11139</v>
      </c>
      <c r="BN559">
        <v>33809442</v>
      </c>
      <c r="BO559" t="s">
        <v>558</v>
      </c>
      <c r="BP559" t="s">
        <v>74</v>
      </c>
      <c r="BQ559" t="s">
        <v>74</v>
      </c>
      <c r="BR559" t="s">
        <v>104</v>
      </c>
      <c r="BS559" t="s">
        <v>11140</v>
      </c>
      <c r="BT559" t="str">
        <f>HYPERLINK("https%3A%2F%2Fwww.webofscience.com%2Fwos%2Fwoscc%2Ffull-record%2FWOS:000633892400001","View Full Record in Web of Science")</f>
        <v>View Full Record in Web of Science</v>
      </c>
    </row>
    <row r="560" spans="1:72" x14ac:dyDescent="0.15">
      <c r="A560" t="s">
        <v>72</v>
      </c>
      <c r="B560" t="s">
        <v>11141</v>
      </c>
      <c r="C560" t="s">
        <v>74</v>
      </c>
      <c r="D560" t="s">
        <v>74</v>
      </c>
      <c r="E560" t="s">
        <v>74</v>
      </c>
      <c r="F560" t="s">
        <v>11142</v>
      </c>
      <c r="G560" t="s">
        <v>74</v>
      </c>
      <c r="H560" t="s">
        <v>74</v>
      </c>
      <c r="I560" t="s">
        <v>11143</v>
      </c>
      <c r="J560" t="s">
        <v>5575</v>
      </c>
      <c r="K560" t="s">
        <v>74</v>
      </c>
      <c r="L560" t="s">
        <v>74</v>
      </c>
      <c r="M560" t="s">
        <v>78</v>
      </c>
      <c r="N560" t="s">
        <v>79</v>
      </c>
      <c r="O560" t="s">
        <v>74</v>
      </c>
      <c r="P560" t="s">
        <v>74</v>
      </c>
      <c r="Q560" t="s">
        <v>74</v>
      </c>
      <c r="R560" t="s">
        <v>74</v>
      </c>
      <c r="S560" t="s">
        <v>74</v>
      </c>
      <c r="T560" t="s">
        <v>11144</v>
      </c>
      <c r="U560" t="s">
        <v>11145</v>
      </c>
      <c r="V560" t="s">
        <v>11146</v>
      </c>
      <c r="W560" t="s">
        <v>11147</v>
      </c>
      <c r="X560" t="s">
        <v>11148</v>
      </c>
      <c r="Y560" t="s">
        <v>11149</v>
      </c>
      <c r="Z560" t="s">
        <v>11150</v>
      </c>
      <c r="AA560" t="s">
        <v>11151</v>
      </c>
      <c r="AB560" t="s">
        <v>11152</v>
      </c>
      <c r="AC560" t="s">
        <v>11153</v>
      </c>
      <c r="AD560" t="s">
        <v>11154</v>
      </c>
      <c r="AE560" t="s">
        <v>11155</v>
      </c>
      <c r="AF560" t="s">
        <v>74</v>
      </c>
      <c r="AG560">
        <v>53</v>
      </c>
      <c r="AH560">
        <v>1</v>
      </c>
      <c r="AI560">
        <v>3</v>
      </c>
      <c r="AJ560">
        <v>2</v>
      </c>
      <c r="AK560">
        <v>21</v>
      </c>
      <c r="AL560" t="s">
        <v>335</v>
      </c>
      <c r="AM560" t="s">
        <v>336</v>
      </c>
      <c r="AN560" t="s">
        <v>337</v>
      </c>
      <c r="AO560" t="s">
        <v>74</v>
      </c>
      <c r="AP560" t="s">
        <v>5588</v>
      </c>
      <c r="AQ560" t="s">
        <v>74</v>
      </c>
      <c r="AR560" t="s">
        <v>5589</v>
      </c>
      <c r="AS560" t="s">
        <v>5590</v>
      </c>
      <c r="AT560" t="s">
        <v>1809</v>
      </c>
      <c r="AU560">
        <v>2021</v>
      </c>
      <c r="AV560">
        <v>11</v>
      </c>
      <c r="AW560">
        <v>3</v>
      </c>
      <c r="AX560" t="s">
        <v>74</v>
      </c>
      <c r="AY560" t="s">
        <v>74</v>
      </c>
      <c r="AZ560" t="s">
        <v>74</v>
      </c>
      <c r="BA560" t="s">
        <v>74</v>
      </c>
      <c r="BB560" t="s">
        <v>74</v>
      </c>
      <c r="BC560" t="s">
        <v>74</v>
      </c>
      <c r="BD560">
        <v>279</v>
      </c>
      <c r="BE560" t="s">
        <v>11156</v>
      </c>
      <c r="BF560" t="str">
        <f>HYPERLINK("http://dx.doi.org/10.3390/min11030279","http://dx.doi.org/10.3390/min11030279")</f>
        <v>http://dx.doi.org/10.3390/min11030279</v>
      </c>
      <c r="BG560" t="s">
        <v>74</v>
      </c>
      <c r="BH560" t="s">
        <v>74</v>
      </c>
      <c r="BI560">
        <v>17</v>
      </c>
      <c r="BJ560" t="s">
        <v>5592</v>
      </c>
      <c r="BK560" t="s">
        <v>101</v>
      </c>
      <c r="BL560" t="s">
        <v>5592</v>
      </c>
      <c r="BM560" t="s">
        <v>11157</v>
      </c>
      <c r="BN560" t="s">
        <v>74</v>
      </c>
      <c r="BO560" t="s">
        <v>317</v>
      </c>
      <c r="BP560" t="s">
        <v>74</v>
      </c>
      <c r="BQ560" t="s">
        <v>74</v>
      </c>
      <c r="BR560" t="s">
        <v>104</v>
      </c>
      <c r="BS560" t="s">
        <v>11158</v>
      </c>
      <c r="BT560" t="str">
        <f>HYPERLINK("https%3A%2F%2Fwww.webofscience.com%2Fwos%2Fwoscc%2Ffull-record%2FWOS:000633913200001","View Full Record in Web of Science")</f>
        <v>View Full Record in Web of Science</v>
      </c>
    </row>
    <row r="561" spans="1:72" x14ac:dyDescent="0.15">
      <c r="A561" t="s">
        <v>72</v>
      </c>
      <c r="B561" t="s">
        <v>11159</v>
      </c>
      <c r="C561" t="s">
        <v>74</v>
      </c>
      <c r="D561" t="s">
        <v>74</v>
      </c>
      <c r="E561" t="s">
        <v>74</v>
      </c>
      <c r="F561" t="s">
        <v>11160</v>
      </c>
      <c r="G561" t="s">
        <v>74</v>
      </c>
      <c r="H561" t="s">
        <v>74</v>
      </c>
      <c r="I561" t="s">
        <v>11161</v>
      </c>
      <c r="J561" t="s">
        <v>5417</v>
      </c>
      <c r="K561" t="s">
        <v>74</v>
      </c>
      <c r="L561" t="s">
        <v>74</v>
      </c>
      <c r="M561" t="s">
        <v>78</v>
      </c>
      <c r="N561" t="s">
        <v>79</v>
      </c>
      <c r="O561" t="s">
        <v>74</v>
      </c>
      <c r="P561" t="s">
        <v>74</v>
      </c>
      <c r="Q561" t="s">
        <v>74</v>
      </c>
      <c r="R561" t="s">
        <v>74</v>
      </c>
      <c r="S561" t="s">
        <v>74</v>
      </c>
      <c r="T561" t="s">
        <v>11162</v>
      </c>
      <c r="U561" t="s">
        <v>74</v>
      </c>
      <c r="V561" t="s">
        <v>11163</v>
      </c>
      <c r="W561" t="s">
        <v>11164</v>
      </c>
      <c r="X561" t="s">
        <v>11165</v>
      </c>
      <c r="Y561" t="s">
        <v>11166</v>
      </c>
      <c r="Z561" t="s">
        <v>11167</v>
      </c>
      <c r="AA561" t="s">
        <v>11168</v>
      </c>
      <c r="AB561" t="s">
        <v>11169</v>
      </c>
      <c r="AC561" t="s">
        <v>11170</v>
      </c>
      <c r="AD561" t="s">
        <v>11171</v>
      </c>
      <c r="AE561" t="s">
        <v>11172</v>
      </c>
      <c r="AF561" t="s">
        <v>74</v>
      </c>
      <c r="AG561">
        <v>83</v>
      </c>
      <c r="AH561">
        <v>2</v>
      </c>
      <c r="AI561">
        <v>2</v>
      </c>
      <c r="AJ561">
        <v>0</v>
      </c>
      <c r="AK561">
        <v>1</v>
      </c>
      <c r="AL561" t="s">
        <v>335</v>
      </c>
      <c r="AM561" t="s">
        <v>336</v>
      </c>
      <c r="AN561" t="s">
        <v>337</v>
      </c>
      <c r="AO561" t="s">
        <v>74</v>
      </c>
      <c r="AP561" t="s">
        <v>5430</v>
      </c>
      <c r="AQ561" t="s">
        <v>74</v>
      </c>
      <c r="AR561" t="s">
        <v>5431</v>
      </c>
      <c r="AS561" t="s">
        <v>5432</v>
      </c>
      <c r="AT561" t="s">
        <v>1809</v>
      </c>
      <c r="AU561">
        <v>2021</v>
      </c>
      <c r="AV561">
        <v>12</v>
      </c>
      <c r="AW561">
        <v>3</v>
      </c>
      <c r="AX561" t="s">
        <v>74</v>
      </c>
      <c r="AY561" t="s">
        <v>74</v>
      </c>
      <c r="AZ561" t="s">
        <v>74</v>
      </c>
      <c r="BA561" t="s">
        <v>74</v>
      </c>
      <c r="BB561" t="s">
        <v>74</v>
      </c>
      <c r="BC561" t="s">
        <v>74</v>
      </c>
      <c r="BD561">
        <v>320</v>
      </c>
      <c r="BE561" t="s">
        <v>11173</v>
      </c>
      <c r="BF561" t="str">
        <f>HYPERLINK("http://dx.doi.org/10.3390/atmos12030320","http://dx.doi.org/10.3390/atmos12030320")</f>
        <v>http://dx.doi.org/10.3390/atmos12030320</v>
      </c>
      <c r="BG561" t="s">
        <v>74</v>
      </c>
      <c r="BH561" t="s">
        <v>74</v>
      </c>
      <c r="BI561">
        <v>19</v>
      </c>
      <c r="BJ561" t="s">
        <v>199</v>
      </c>
      <c r="BK561" t="s">
        <v>101</v>
      </c>
      <c r="BL561" t="s">
        <v>200</v>
      </c>
      <c r="BM561" t="s">
        <v>11174</v>
      </c>
      <c r="BN561" t="s">
        <v>74</v>
      </c>
      <c r="BO561" t="s">
        <v>298</v>
      </c>
      <c r="BP561" t="s">
        <v>74</v>
      </c>
      <c r="BQ561" t="s">
        <v>74</v>
      </c>
      <c r="BR561" t="s">
        <v>104</v>
      </c>
      <c r="BS561" t="s">
        <v>11175</v>
      </c>
      <c r="BT561" t="str">
        <f>HYPERLINK("https%3A%2F%2Fwww.webofscience.com%2Fwos%2Fwoscc%2Ffull-record%2FWOS:000633352500001","View Full Record in Web of Science")</f>
        <v>View Full Record in Web of Science</v>
      </c>
    </row>
    <row r="562" spans="1:72" x14ac:dyDescent="0.15">
      <c r="A562" t="s">
        <v>72</v>
      </c>
      <c r="B562" t="s">
        <v>11176</v>
      </c>
      <c r="C562" t="s">
        <v>74</v>
      </c>
      <c r="D562" t="s">
        <v>74</v>
      </c>
      <c r="E562" t="s">
        <v>74</v>
      </c>
      <c r="F562" t="s">
        <v>11177</v>
      </c>
      <c r="G562" t="s">
        <v>74</v>
      </c>
      <c r="H562" t="s">
        <v>74</v>
      </c>
      <c r="I562" t="s">
        <v>11178</v>
      </c>
      <c r="J562" t="s">
        <v>5417</v>
      </c>
      <c r="K562" t="s">
        <v>74</v>
      </c>
      <c r="L562" t="s">
        <v>74</v>
      </c>
      <c r="M562" t="s">
        <v>78</v>
      </c>
      <c r="N562" t="s">
        <v>79</v>
      </c>
      <c r="O562" t="s">
        <v>74</v>
      </c>
      <c r="P562" t="s">
        <v>74</v>
      </c>
      <c r="Q562" t="s">
        <v>74</v>
      </c>
      <c r="R562" t="s">
        <v>74</v>
      </c>
      <c r="S562" t="s">
        <v>74</v>
      </c>
      <c r="T562" t="s">
        <v>11179</v>
      </c>
      <c r="U562" t="s">
        <v>11180</v>
      </c>
      <c r="V562" t="s">
        <v>11181</v>
      </c>
      <c r="W562" t="s">
        <v>11182</v>
      </c>
      <c r="X562" t="s">
        <v>11183</v>
      </c>
      <c r="Y562" t="s">
        <v>11184</v>
      </c>
      <c r="Z562" t="s">
        <v>11185</v>
      </c>
      <c r="AA562" t="s">
        <v>11186</v>
      </c>
      <c r="AB562" t="s">
        <v>11187</v>
      </c>
      <c r="AC562" t="s">
        <v>11188</v>
      </c>
      <c r="AD562" t="s">
        <v>511</v>
      </c>
      <c r="AE562" t="s">
        <v>11189</v>
      </c>
      <c r="AF562" t="s">
        <v>74</v>
      </c>
      <c r="AG562">
        <v>57</v>
      </c>
      <c r="AH562">
        <v>1</v>
      </c>
      <c r="AI562">
        <v>2</v>
      </c>
      <c r="AJ562">
        <v>3</v>
      </c>
      <c r="AK562">
        <v>24</v>
      </c>
      <c r="AL562" t="s">
        <v>335</v>
      </c>
      <c r="AM562" t="s">
        <v>336</v>
      </c>
      <c r="AN562" t="s">
        <v>337</v>
      </c>
      <c r="AO562" t="s">
        <v>74</v>
      </c>
      <c r="AP562" t="s">
        <v>5430</v>
      </c>
      <c r="AQ562" t="s">
        <v>74</v>
      </c>
      <c r="AR562" t="s">
        <v>5431</v>
      </c>
      <c r="AS562" t="s">
        <v>5432</v>
      </c>
      <c r="AT562" t="s">
        <v>1809</v>
      </c>
      <c r="AU562">
        <v>2021</v>
      </c>
      <c r="AV562">
        <v>12</v>
      </c>
      <c r="AW562">
        <v>3</v>
      </c>
      <c r="AX562" t="s">
        <v>74</v>
      </c>
      <c r="AY562" t="s">
        <v>74</v>
      </c>
      <c r="AZ562" t="s">
        <v>74</v>
      </c>
      <c r="BA562" t="s">
        <v>74</v>
      </c>
      <c r="BB562" t="s">
        <v>74</v>
      </c>
      <c r="BC562" t="s">
        <v>74</v>
      </c>
      <c r="BD562">
        <v>393</v>
      </c>
      <c r="BE562" t="s">
        <v>11190</v>
      </c>
      <c r="BF562" t="str">
        <f>HYPERLINK("http://dx.doi.org/10.3390/atmos12030393","http://dx.doi.org/10.3390/atmos12030393")</f>
        <v>http://dx.doi.org/10.3390/atmos12030393</v>
      </c>
      <c r="BG562" t="s">
        <v>74</v>
      </c>
      <c r="BH562" t="s">
        <v>74</v>
      </c>
      <c r="BI562">
        <v>18</v>
      </c>
      <c r="BJ562" t="s">
        <v>199</v>
      </c>
      <c r="BK562" t="s">
        <v>101</v>
      </c>
      <c r="BL562" t="s">
        <v>200</v>
      </c>
      <c r="BM562" t="s">
        <v>11191</v>
      </c>
      <c r="BN562" t="s">
        <v>74</v>
      </c>
      <c r="BO562" t="s">
        <v>3593</v>
      </c>
      <c r="BP562" t="s">
        <v>74</v>
      </c>
      <c r="BQ562" t="s">
        <v>74</v>
      </c>
      <c r="BR562" t="s">
        <v>104</v>
      </c>
      <c r="BS562" t="s">
        <v>11192</v>
      </c>
      <c r="BT562" t="str">
        <f>HYPERLINK("https%3A%2F%2Fwww.webofscience.com%2Fwos%2Fwoscc%2Ffull-record%2FWOS:000633350600001","View Full Record in Web of Science")</f>
        <v>View Full Record in Web of Science</v>
      </c>
    </row>
    <row r="563" spans="1:72" x14ac:dyDescent="0.15">
      <c r="A563" t="s">
        <v>72</v>
      </c>
      <c r="B563" t="s">
        <v>11193</v>
      </c>
      <c r="C563" t="s">
        <v>74</v>
      </c>
      <c r="D563" t="s">
        <v>74</v>
      </c>
      <c r="E563" t="s">
        <v>74</v>
      </c>
      <c r="F563" t="s">
        <v>11194</v>
      </c>
      <c r="G563" t="s">
        <v>74</v>
      </c>
      <c r="H563" t="s">
        <v>74</v>
      </c>
      <c r="I563" t="s">
        <v>11195</v>
      </c>
      <c r="J563" t="s">
        <v>5417</v>
      </c>
      <c r="K563" t="s">
        <v>74</v>
      </c>
      <c r="L563" t="s">
        <v>74</v>
      </c>
      <c r="M563" t="s">
        <v>78</v>
      </c>
      <c r="N563" t="s">
        <v>79</v>
      </c>
      <c r="O563" t="s">
        <v>74</v>
      </c>
      <c r="P563" t="s">
        <v>74</v>
      </c>
      <c r="Q563" t="s">
        <v>74</v>
      </c>
      <c r="R563" t="s">
        <v>74</v>
      </c>
      <c r="S563" t="s">
        <v>74</v>
      </c>
      <c r="T563" t="s">
        <v>11196</v>
      </c>
      <c r="U563" t="s">
        <v>11197</v>
      </c>
      <c r="V563" t="s">
        <v>11198</v>
      </c>
      <c r="W563" t="s">
        <v>11199</v>
      </c>
      <c r="X563" t="s">
        <v>11200</v>
      </c>
      <c r="Y563" t="s">
        <v>11201</v>
      </c>
      <c r="Z563" t="s">
        <v>11202</v>
      </c>
      <c r="AA563" t="s">
        <v>11203</v>
      </c>
      <c r="AB563" t="s">
        <v>11204</v>
      </c>
      <c r="AC563" t="s">
        <v>11205</v>
      </c>
      <c r="AD563" t="s">
        <v>11206</v>
      </c>
      <c r="AE563" t="s">
        <v>11207</v>
      </c>
      <c r="AF563" t="s">
        <v>74</v>
      </c>
      <c r="AG563">
        <v>64</v>
      </c>
      <c r="AH563">
        <v>2</v>
      </c>
      <c r="AI563">
        <v>2</v>
      </c>
      <c r="AJ563">
        <v>0</v>
      </c>
      <c r="AK563">
        <v>7</v>
      </c>
      <c r="AL563" t="s">
        <v>335</v>
      </c>
      <c r="AM563" t="s">
        <v>336</v>
      </c>
      <c r="AN563" t="s">
        <v>337</v>
      </c>
      <c r="AO563" t="s">
        <v>74</v>
      </c>
      <c r="AP563" t="s">
        <v>5430</v>
      </c>
      <c r="AQ563" t="s">
        <v>74</v>
      </c>
      <c r="AR563" t="s">
        <v>5431</v>
      </c>
      <c r="AS563" t="s">
        <v>5432</v>
      </c>
      <c r="AT563" t="s">
        <v>1809</v>
      </c>
      <c r="AU563">
        <v>2021</v>
      </c>
      <c r="AV563">
        <v>12</v>
      </c>
      <c r="AW563">
        <v>3</v>
      </c>
      <c r="AX563" t="s">
        <v>74</v>
      </c>
      <c r="AY563" t="s">
        <v>74</v>
      </c>
      <c r="AZ563" t="s">
        <v>74</v>
      </c>
      <c r="BA563" t="s">
        <v>74</v>
      </c>
      <c r="BB563" t="s">
        <v>74</v>
      </c>
      <c r="BC563" t="s">
        <v>74</v>
      </c>
      <c r="BD563">
        <v>360</v>
      </c>
      <c r="BE563" t="s">
        <v>11208</v>
      </c>
      <c r="BF563" t="str">
        <f>HYPERLINK("http://dx.doi.org/10.3390/atmos12030360","http://dx.doi.org/10.3390/atmos12030360")</f>
        <v>http://dx.doi.org/10.3390/atmos12030360</v>
      </c>
      <c r="BG563" t="s">
        <v>74</v>
      </c>
      <c r="BH563" t="s">
        <v>74</v>
      </c>
      <c r="BI563">
        <v>21</v>
      </c>
      <c r="BJ563" t="s">
        <v>199</v>
      </c>
      <c r="BK563" t="s">
        <v>101</v>
      </c>
      <c r="BL563" t="s">
        <v>200</v>
      </c>
      <c r="BM563" t="s">
        <v>11209</v>
      </c>
      <c r="BN563" t="s">
        <v>74</v>
      </c>
      <c r="BO563" t="s">
        <v>317</v>
      </c>
      <c r="BP563" t="s">
        <v>74</v>
      </c>
      <c r="BQ563" t="s">
        <v>74</v>
      </c>
      <c r="BR563" t="s">
        <v>104</v>
      </c>
      <c r="BS563" t="s">
        <v>11210</v>
      </c>
      <c r="BT563" t="str">
        <f>HYPERLINK("https%3A%2F%2Fwww.webofscience.com%2Fwos%2Fwoscc%2Ffull-record%2FWOS:000633348800001","View Full Record in Web of Science")</f>
        <v>View Full Record in Web of Science</v>
      </c>
    </row>
    <row r="564" spans="1:72" x14ac:dyDescent="0.15">
      <c r="A564" t="s">
        <v>72</v>
      </c>
      <c r="B564" t="s">
        <v>11211</v>
      </c>
      <c r="C564" t="s">
        <v>74</v>
      </c>
      <c r="D564" t="s">
        <v>74</v>
      </c>
      <c r="E564" t="s">
        <v>74</v>
      </c>
      <c r="F564" t="s">
        <v>11212</v>
      </c>
      <c r="G564" t="s">
        <v>74</v>
      </c>
      <c r="H564" t="s">
        <v>74</v>
      </c>
      <c r="I564" t="s">
        <v>11213</v>
      </c>
      <c r="J564" t="s">
        <v>5417</v>
      </c>
      <c r="K564" t="s">
        <v>74</v>
      </c>
      <c r="L564" t="s">
        <v>74</v>
      </c>
      <c r="M564" t="s">
        <v>78</v>
      </c>
      <c r="N564" t="s">
        <v>79</v>
      </c>
      <c r="O564" t="s">
        <v>74</v>
      </c>
      <c r="P564" t="s">
        <v>74</v>
      </c>
      <c r="Q564" t="s">
        <v>74</v>
      </c>
      <c r="R564" t="s">
        <v>74</v>
      </c>
      <c r="S564" t="s">
        <v>74</v>
      </c>
      <c r="T564" t="s">
        <v>11214</v>
      </c>
      <c r="U564" t="s">
        <v>11215</v>
      </c>
      <c r="V564" t="s">
        <v>11216</v>
      </c>
      <c r="W564" t="s">
        <v>11217</v>
      </c>
      <c r="X564" t="s">
        <v>11218</v>
      </c>
      <c r="Y564" t="s">
        <v>11219</v>
      </c>
      <c r="Z564" t="s">
        <v>11220</v>
      </c>
      <c r="AA564" t="s">
        <v>74</v>
      </c>
      <c r="AB564" t="s">
        <v>11221</v>
      </c>
      <c r="AC564" t="s">
        <v>11222</v>
      </c>
      <c r="AD564" t="s">
        <v>11223</v>
      </c>
      <c r="AE564" t="s">
        <v>11224</v>
      </c>
      <c r="AF564" t="s">
        <v>74</v>
      </c>
      <c r="AG564">
        <v>121</v>
      </c>
      <c r="AH564">
        <v>2</v>
      </c>
      <c r="AI564">
        <v>2</v>
      </c>
      <c r="AJ564">
        <v>3</v>
      </c>
      <c r="AK564">
        <v>12</v>
      </c>
      <c r="AL564" t="s">
        <v>335</v>
      </c>
      <c r="AM564" t="s">
        <v>336</v>
      </c>
      <c r="AN564" t="s">
        <v>337</v>
      </c>
      <c r="AO564" t="s">
        <v>74</v>
      </c>
      <c r="AP564" t="s">
        <v>5430</v>
      </c>
      <c r="AQ564" t="s">
        <v>74</v>
      </c>
      <c r="AR564" t="s">
        <v>5431</v>
      </c>
      <c r="AS564" t="s">
        <v>5432</v>
      </c>
      <c r="AT564" t="s">
        <v>1809</v>
      </c>
      <c r="AU564">
        <v>2021</v>
      </c>
      <c r="AV564">
        <v>12</v>
      </c>
      <c r="AW564">
        <v>3</v>
      </c>
      <c r="AX564" t="s">
        <v>74</v>
      </c>
      <c r="AY564" t="s">
        <v>74</v>
      </c>
      <c r="AZ564" t="s">
        <v>74</v>
      </c>
      <c r="BA564" t="s">
        <v>74</v>
      </c>
      <c r="BB564" t="s">
        <v>74</v>
      </c>
      <c r="BC564" t="s">
        <v>74</v>
      </c>
      <c r="BD564">
        <v>330</v>
      </c>
      <c r="BE564" t="s">
        <v>11225</v>
      </c>
      <c r="BF564" t="str">
        <f>HYPERLINK("http://dx.doi.org/10.3390/atmos12030330","http://dx.doi.org/10.3390/atmos12030330")</f>
        <v>http://dx.doi.org/10.3390/atmos12030330</v>
      </c>
      <c r="BG564" t="s">
        <v>74</v>
      </c>
      <c r="BH564" t="s">
        <v>74</v>
      </c>
      <c r="BI564">
        <v>20</v>
      </c>
      <c r="BJ564" t="s">
        <v>199</v>
      </c>
      <c r="BK564" t="s">
        <v>101</v>
      </c>
      <c r="BL564" t="s">
        <v>200</v>
      </c>
      <c r="BM564" t="s">
        <v>11226</v>
      </c>
      <c r="BN564" t="s">
        <v>74</v>
      </c>
      <c r="BO564" t="s">
        <v>317</v>
      </c>
      <c r="BP564" t="s">
        <v>74</v>
      </c>
      <c r="BQ564" t="s">
        <v>74</v>
      </c>
      <c r="BR564" t="s">
        <v>104</v>
      </c>
      <c r="BS564" t="s">
        <v>11227</v>
      </c>
      <c r="BT564" t="str">
        <f>HYPERLINK("https%3A%2F%2Fwww.webofscience.com%2Fwos%2Fwoscc%2Ffull-record%2FWOS:000633344100001","View Full Record in Web of Science")</f>
        <v>View Full Record in Web of Science</v>
      </c>
    </row>
    <row r="565" spans="1:72" x14ac:dyDescent="0.15">
      <c r="A565" t="s">
        <v>72</v>
      </c>
      <c r="B565" t="s">
        <v>11228</v>
      </c>
      <c r="C565" t="s">
        <v>74</v>
      </c>
      <c r="D565" t="s">
        <v>74</v>
      </c>
      <c r="E565" t="s">
        <v>74</v>
      </c>
      <c r="F565" t="s">
        <v>11229</v>
      </c>
      <c r="G565" t="s">
        <v>74</v>
      </c>
      <c r="H565" t="s">
        <v>74</v>
      </c>
      <c r="I565" t="s">
        <v>11230</v>
      </c>
      <c r="J565" t="s">
        <v>11231</v>
      </c>
      <c r="K565" t="s">
        <v>74</v>
      </c>
      <c r="L565" t="s">
        <v>74</v>
      </c>
      <c r="M565" t="s">
        <v>78</v>
      </c>
      <c r="N565" t="s">
        <v>79</v>
      </c>
      <c r="O565" t="s">
        <v>74</v>
      </c>
      <c r="P565" t="s">
        <v>74</v>
      </c>
      <c r="Q565" t="s">
        <v>74</v>
      </c>
      <c r="R565" t="s">
        <v>74</v>
      </c>
      <c r="S565" t="s">
        <v>74</v>
      </c>
      <c r="T565" t="s">
        <v>11232</v>
      </c>
      <c r="U565" t="s">
        <v>11233</v>
      </c>
      <c r="V565" t="s">
        <v>11234</v>
      </c>
      <c r="W565" t="s">
        <v>11235</v>
      </c>
      <c r="X565" t="s">
        <v>11236</v>
      </c>
      <c r="Y565" t="s">
        <v>11237</v>
      </c>
      <c r="Z565" t="s">
        <v>11238</v>
      </c>
      <c r="AA565" t="s">
        <v>11239</v>
      </c>
      <c r="AB565" t="s">
        <v>11240</v>
      </c>
      <c r="AC565" t="s">
        <v>11241</v>
      </c>
      <c r="AD565" t="s">
        <v>11242</v>
      </c>
      <c r="AE565" t="s">
        <v>11243</v>
      </c>
      <c r="AF565" t="s">
        <v>74</v>
      </c>
      <c r="AG565">
        <v>115</v>
      </c>
      <c r="AH565">
        <v>6</v>
      </c>
      <c r="AI565">
        <v>7</v>
      </c>
      <c r="AJ565">
        <v>2</v>
      </c>
      <c r="AK565">
        <v>11</v>
      </c>
      <c r="AL565" t="s">
        <v>335</v>
      </c>
      <c r="AM565" t="s">
        <v>336</v>
      </c>
      <c r="AN565" t="s">
        <v>337</v>
      </c>
      <c r="AO565" t="s">
        <v>74</v>
      </c>
      <c r="AP565" t="s">
        <v>11244</v>
      </c>
      <c r="AQ565" t="s">
        <v>74</v>
      </c>
      <c r="AR565" t="s">
        <v>11245</v>
      </c>
      <c r="AS565" t="s">
        <v>11246</v>
      </c>
      <c r="AT565" t="s">
        <v>1809</v>
      </c>
      <c r="AU565">
        <v>2021</v>
      </c>
      <c r="AV565">
        <v>12</v>
      </c>
      <c r="AW565">
        <v>3</v>
      </c>
      <c r="AX565" t="s">
        <v>74</v>
      </c>
      <c r="AY565" t="s">
        <v>74</v>
      </c>
      <c r="AZ565" t="s">
        <v>74</v>
      </c>
      <c r="BA565" t="s">
        <v>74</v>
      </c>
      <c r="BB565" t="s">
        <v>74</v>
      </c>
      <c r="BC565" t="s">
        <v>74</v>
      </c>
      <c r="BD565">
        <v>426</v>
      </c>
      <c r="BE565" t="s">
        <v>11247</v>
      </c>
      <c r="BF565" t="str">
        <f>HYPERLINK("http://dx.doi.org/10.3390/genes12030426","http://dx.doi.org/10.3390/genes12030426")</f>
        <v>http://dx.doi.org/10.3390/genes12030426</v>
      </c>
      <c r="BG565" t="s">
        <v>74</v>
      </c>
      <c r="BH565" t="s">
        <v>74</v>
      </c>
      <c r="BI565">
        <v>21</v>
      </c>
      <c r="BJ565" t="s">
        <v>3916</v>
      </c>
      <c r="BK565" t="s">
        <v>101</v>
      </c>
      <c r="BL565" t="s">
        <v>3916</v>
      </c>
      <c r="BM565" t="s">
        <v>11248</v>
      </c>
      <c r="BN565">
        <v>33809699</v>
      </c>
      <c r="BO565" t="s">
        <v>558</v>
      </c>
      <c r="BP565" t="s">
        <v>74</v>
      </c>
      <c r="BQ565" t="s">
        <v>74</v>
      </c>
      <c r="BR565" t="s">
        <v>104</v>
      </c>
      <c r="BS565" t="s">
        <v>11249</v>
      </c>
      <c r="BT565" t="str">
        <f>HYPERLINK("https%3A%2F%2Fwww.webofscience.com%2Fwos%2Fwoscc%2Ffull-record%2FWOS:000633673700001","View Full Record in Web of Science")</f>
        <v>View Full Record in Web of Science</v>
      </c>
    </row>
    <row r="566" spans="1:72" x14ac:dyDescent="0.15">
      <c r="A566" t="s">
        <v>72</v>
      </c>
      <c r="B566" t="s">
        <v>11250</v>
      </c>
      <c r="C566" t="s">
        <v>74</v>
      </c>
      <c r="D566" t="s">
        <v>74</v>
      </c>
      <c r="E566" t="s">
        <v>74</v>
      </c>
      <c r="F566" t="s">
        <v>11251</v>
      </c>
      <c r="G566" t="s">
        <v>74</v>
      </c>
      <c r="H566" t="s">
        <v>74</v>
      </c>
      <c r="I566" t="s">
        <v>11252</v>
      </c>
      <c r="J566" t="s">
        <v>11253</v>
      </c>
      <c r="K566" t="s">
        <v>74</v>
      </c>
      <c r="L566" t="s">
        <v>74</v>
      </c>
      <c r="M566" t="s">
        <v>78</v>
      </c>
      <c r="N566" t="s">
        <v>79</v>
      </c>
      <c r="O566" t="s">
        <v>74</v>
      </c>
      <c r="P566" t="s">
        <v>74</v>
      </c>
      <c r="Q566" t="s">
        <v>74</v>
      </c>
      <c r="R566" t="s">
        <v>74</v>
      </c>
      <c r="S566" t="s">
        <v>74</v>
      </c>
      <c r="T566" t="s">
        <v>11254</v>
      </c>
      <c r="U566" t="s">
        <v>11255</v>
      </c>
      <c r="V566" t="s">
        <v>11256</v>
      </c>
      <c r="W566" t="s">
        <v>11257</v>
      </c>
      <c r="X566" t="s">
        <v>2917</v>
      </c>
      <c r="Y566" t="s">
        <v>11258</v>
      </c>
      <c r="Z566" t="s">
        <v>11259</v>
      </c>
      <c r="AA566" t="s">
        <v>11260</v>
      </c>
      <c r="AB566" t="s">
        <v>11261</v>
      </c>
      <c r="AC566" t="s">
        <v>11262</v>
      </c>
      <c r="AD566" t="s">
        <v>459</v>
      </c>
      <c r="AE566" t="s">
        <v>11263</v>
      </c>
      <c r="AF566" t="s">
        <v>74</v>
      </c>
      <c r="AG566">
        <v>43</v>
      </c>
      <c r="AH566">
        <v>4</v>
      </c>
      <c r="AI566">
        <v>4</v>
      </c>
      <c r="AJ566">
        <v>0</v>
      </c>
      <c r="AK566">
        <v>1</v>
      </c>
      <c r="AL566" t="s">
        <v>335</v>
      </c>
      <c r="AM566" t="s">
        <v>336</v>
      </c>
      <c r="AN566" t="s">
        <v>337</v>
      </c>
      <c r="AO566" t="s">
        <v>74</v>
      </c>
      <c r="AP566" t="s">
        <v>11264</v>
      </c>
      <c r="AQ566" t="s">
        <v>74</v>
      </c>
      <c r="AR566" t="s">
        <v>11253</v>
      </c>
      <c r="AS566" t="s">
        <v>11265</v>
      </c>
      <c r="AT566" t="s">
        <v>1809</v>
      </c>
      <c r="AU566">
        <v>2021</v>
      </c>
      <c r="AV566">
        <v>11</v>
      </c>
      <c r="AW566">
        <v>3</v>
      </c>
      <c r="AX566" t="s">
        <v>74</v>
      </c>
      <c r="AY566" t="s">
        <v>74</v>
      </c>
      <c r="AZ566" t="s">
        <v>74</v>
      </c>
      <c r="BA566" t="s">
        <v>74</v>
      </c>
      <c r="BB566" t="s">
        <v>74</v>
      </c>
      <c r="BC566" t="s">
        <v>74</v>
      </c>
      <c r="BD566">
        <v>118</v>
      </c>
      <c r="BE566" t="s">
        <v>11266</v>
      </c>
      <c r="BF566" t="str">
        <f>HYPERLINK("http://dx.doi.org/10.3390/geosciences11030118","http://dx.doi.org/10.3390/geosciences11030118")</f>
        <v>http://dx.doi.org/10.3390/geosciences11030118</v>
      </c>
      <c r="BG566" t="s">
        <v>74</v>
      </c>
      <c r="BH566" t="s">
        <v>74</v>
      </c>
      <c r="BI566">
        <v>19</v>
      </c>
      <c r="BJ566" t="s">
        <v>100</v>
      </c>
      <c r="BK566" t="s">
        <v>342</v>
      </c>
      <c r="BL566" t="s">
        <v>102</v>
      </c>
      <c r="BM566" t="s">
        <v>11267</v>
      </c>
      <c r="BN566" t="s">
        <v>74</v>
      </c>
      <c r="BO566" t="s">
        <v>317</v>
      </c>
      <c r="BP566" t="s">
        <v>74</v>
      </c>
      <c r="BQ566" t="s">
        <v>74</v>
      </c>
      <c r="BR566" t="s">
        <v>104</v>
      </c>
      <c r="BS566" t="s">
        <v>11268</v>
      </c>
      <c r="BT566" t="str">
        <f>HYPERLINK("https%3A%2F%2Fwww.webofscience.com%2Fwos%2Fwoscc%2Ffull-record%2FWOS:000633711800001","View Full Record in Web of Science")</f>
        <v>View Full Record in Web of Science</v>
      </c>
    </row>
    <row r="567" spans="1:72" x14ac:dyDescent="0.15">
      <c r="A567" t="s">
        <v>72</v>
      </c>
      <c r="B567" t="s">
        <v>11269</v>
      </c>
      <c r="C567" t="s">
        <v>74</v>
      </c>
      <c r="D567" t="s">
        <v>74</v>
      </c>
      <c r="E567" t="s">
        <v>74</v>
      </c>
      <c r="F567" t="s">
        <v>11270</v>
      </c>
      <c r="G567" t="s">
        <v>74</v>
      </c>
      <c r="H567" t="s">
        <v>74</v>
      </c>
      <c r="I567" t="s">
        <v>11271</v>
      </c>
      <c r="J567" t="s">
        <v>5615</v>
      </c>
      <c r="K567" t="s">
        <v>74</v>
      </c>
      <c r="L567" t="s">
        <v>74</v>
      </c>
      <c r="M567" t="s">
        <v>78</v>
      </c>
      <c r="N567" t="s">
        <v>79</v>
      </c>
      <c r="O567" t="s">
        <v>74</v>
      </c>
      <c r="P567" t="s">
        <v>74</v>
      </c>
      <c r="Q567" t="s">
        <v>74</v>
      </c>
      <c r="R567" t="s">
        <v>74</v>
      </c>
      <c r="S567" t="s">
        <v>74</v>
      </c>
      <c r="T567" t="s">
        <v>11272</v>
      </c>
      <c r="U567" t="s">
        <v>74</v>
      </c>
      <c r="V567" t="s">
        <v>11273</v>
      </c>
      <c r="W567" t="s">
        <v>11274</v>
      </c>
      <c r="X567" t="s">
        <v>11275</v>
      </c>
      <c r="Y567" t="s">
        <v>11276</v>
      </c>
      <c r="Z567" t="s">
        <v>11277</v>
      </c>
      <c r="AA567" t="s">
        <v>11278</v>
      </c>
      <c r="AB567" t="s">
        <v>11279</v>
      </c>
      <c r="AC567" t="s">
        <v>11280</v>
      </c>
      <c r="AD567" t="s">
        <v>11281</v>
      </c>
      <c r="AE567" t="s">
        <v>11282</v>
      </c>
      <c r="AF567" t="s">
        <v>74</v>
      </c>
      <c r="AG567">
        <v>56</v>
      </c>
      <c r="AH567">
        <v>3</v>
      </c>
      <c r="AI567">
        <v>3</v>
      </c>
      <c r="AJ567">
        <v>1</v>
      </c>
      <c r="AK567">
        <v>5</v>
      </c>
      <c r="AL567" t="s">
        <v>335</v>
      </c>
      <c r="AM567" t="s">
        <v>336</v>
      </c>
      <c r="AN567" t="s">
        <v>337</v>
      </c>
      <c r="AO567" t="s">
        <v>74</v>
      </c>
      <c r="AP567" t="s">
        <v>5628</v>
      </c>
      <c r="AQ567" t="s">
        <v>74</v>
      </c>
      <c r="AR567" t="s">
        <v>5629</v>
      </c>
      <c r="AS567" t="s">
        <v>5630</v>
      </c>
      <c r="AT567" t="s">
        <v>1809</v>
      </c>
      <c r="AU567">
        <v>2021</v>
      </c>
      <c r="AV567">
        <v>9</v>
      </c>
      <c r="AW567">
        <v>3</v>
      </c>
      <c r="AX567" t="s">
        <v>74</v>
      </c>
      <c r="AY567" t="s">
        <v>74</v>
      </c>
      <c r="AZ567" t="s">
        <v>74</v>
      </c>
      <c r="BA567" t="s">
        <v>74</v>
      </c>
      <c r="BB567" t="s">
        <v>74</v>
      </c>
      <c r="BC567" t="s">
        <v>74</v>
      </c>
      <c r="BD567">
        <v>255</v>
      </c>
      <c r="BE567" t="s">
        <v>11283</v>
      </c>
      <c r="BF567" t="str">
        <f>HYPERLINK("http://dx.doi.org/10.3390/jmse9030255","http://dx.doi.org/10.3390/jmse9030255")</f>
        <v>http://dx.doi.org/10.3390/jmse9030255</v>
      </c>
      <c r="BG567" t="s">
        <v>74</v>
      </c>
      <c r="BH567" t="s">
        <v>74</v>
      </c>
      <c r="BI567">
        <v>15</v>
      </c>
      <c r="BJ567" t="s">
        <v>5632</v>
      </c>
      <c r="BK567" t="s">
        <v>101</v>
      </c>
      <c r="BL567" t="s">
        <v>5633</v>
      </c>
      <c r="BM567" t="s">
        <v>11284</v>
      </c>
      <c r="BN567" t="s">
        <v>74</v>
      </c>
      <c r="BO567" t="s">
        <v>317</v>
      </c>
      <c r="BP567" t="s">
        <v>74</v>
      </c>
      <c r="BQ567" t="s">
        <v>74</v>
      </c>
      <c r="BR567" t="s">
        <v>104</v>
      </c>
      <c r="BS567" t="s">
        <v>11285</v>
      </c>
      <c r="BT567" t="str">
        <f>HYPERLINK("https%3A%2F%2Fwww.webofscience.com%2Fwos%2Fwoscc%2Ffull-record%2FWOS:000633798300001","View Full Record in Web of Science")</f>
        <v>View Full Record in Web of Science</v>
      </c>
    </row>
    <row r="568" spans="1:72" x14ac:dyDescent="0.15">
      <c r="A568" t="s">
        <v>72</v>
      </c>
      <c r="B568" t="s">
        <v>11286</v>
      </c>
      <c r="C568" t="s">
        <v>74</v>
      </c>
      <c r="D568" t="s">
        <v>74</v>
      </c>
      <c r="E568" t="s">
        <v>74</v>
      </c>
      <c r="F568" t="s">
        <v>11287</v>
      </c>
      <c r="G568" t="s">
        <v>74</v>
      </c>
      <c r="H568" t="s">
        <v>74</v>
      </c>
      <c r="I568" t="s">
        <v>11288</v>
      </c>
      <c r="J568" t="s">
        <v>5557</v>
      </c>
      <c r="K568" t="s">
        <v>74</v>
      </c>
      <c r="L568" t="s">
        <v>74</v>
      </c>
      <c r="M568" t="s">
        <v>78</v>
      </c>
      <c r="N568" t="s">
        <v>79</v>
      </c>
      <c r="O568" t="s">
        <v>74</v>
      </c>
      <c r="P568" t="s">
        <v>74</v>
      </c>
      <c r="Q568" t="s">
        <v>74</v>
      </c>
      <c r="R568" t="s">
        <v>74</v>
      </c>
      <c r="S568" t="s">
        <v>74</v>
      </c>
      <c r="T568" t="s">
        <v>11289</v>
      </c>
      <c r="U568" t="s">
        <v>11290</v>
      </c>
      <c r="V568" t="s">
        <v>11291</v>
      </c>
      <c r="W568" t="s">
        <v>11292</v>
      </c>
      <c r="X568" t="s">
        <v>11293</v>
      </c>
      <c r="Y568" t="s">
        <v>11294</v>
      </c>
      <c r="Z568" t="s">
        <v>11295</v>
      </c>
      <c r="AA568" t="s">
        <v>74</v>
      </c>
      <c r="AB568" t="s">
        <v>74</v>
      </c>
      <c r="AC568" t="s">
        <v>11296</v>
      </c>
      <c r="AD568" t="s">
        <v>8825</v>
      </c>
      <c r="AE568" t="s">
        <v>11297</v>
      </c>
      <c r="AF568" t="s">
        <v>74</v>
      </c>
      <c r="AG568">
        <v>82</v>
      </c>
      <c r="AH568">
        <v>16</v>
      </c>
      <c r="AI568">
        <v>16</v>
      </c>
      <c r="AJ568">
        <v>3</v>
      </c>
      <c r="AK568">
        <v>18</v>
      </c>
      <c r="AL568" t="s">
        <v>335</v>
      </c>
      <c r="AM568" t="s">
        <v>336</v>
      </c>
      <c r="AN568" t="s">
        <v>337</v>
      </c>
      <c r="AO568" t="s">
        <v>74</v>
      </c>
      <c r="AP568" t="s">
        <v>5566</v>
      </c>
      <c r="AQ568" t="s">
        <v>74</v>
      </c>
      <c r="AR568" t="s">
        <v>5557</v>
      </c>
      <c r="AS568" t="s">
        <v>5567</v>
      </c>
      <c r="AT568" t="s">
        <v>1809</v>
      </c>
      <c r="AU568">
        <v>2021</v>
      </c>
      <c r="AV568">
        <v>9</v>
      </c>
      <c r="AW568">
        <v>3</v>
      </c>
      <c r="AX568" t="s">
        <v>74</v>
      </c>
      <c r="AY568" t="s">
        <v>74</v>
      </c>
      <c r="AZ568" t="s">
        <v>74</v>
      </c>
      <c r="BA568" t="s">
        <v>74</v>
      </c>
      <c r="BB568" t="s">
        <v>74</v>
      </c>
      <c r="BC568" t="s">
        <v>74</v>
      </c>
      <c r="BD568">
        <v>607</v>
      </c>
      <c r="BE568" t="s">
        <v>11298</v>
      </c>
      <c r="BF568" t="str">
        <f>HYPERLINK("http://dx.doi.org/10.3390/microorganisms9030607","http://dx.doi.org/10.3390/microorganisms9030607")</f>
        <v>http://dx.doi.org/10.3390/microorganisms9030607</v>
      </c>
      <c r="BG568" t="s">
        <v>74</v>
      </c>
      <c r="BH568" t="s">
        <v>74</v>
      </c>
      <c r="BI568">
        <v>15</v>
      </c>
      <c r="BJ568" t="s">
        <v>396</v>
      </c>
      <c r="BK568" t="s">
        <v>101</v>
      </c>
      <c r="BL568" t="s">
        <v>396</v>
      </c>
      <c r="BM568" t="s">
        <v>11299</v>
      </c>
      <c r="BN568">
        <v>33804278</v>
      </c>
      <c r="BO568" t="s">
        <v>558</v>
      </c>
      <c r="BP568" t="s">
        <v>74</v>
      </c>
      <c r="BQ568" t="s">
        <v>74</v>
      </c>
      <c r="BR568" t="s">
        <v>104</v>
      </c>
      <c r="BS568" t="s">
        <v>11300</v>
      </c>
      <c r="BT568" t="str">
        <f>HYPERLINK("https%3A%2F%2Fwww.webofscience.com%2Fwos%2Fwoscc%2Ffull-record%2FWOS:000633887200001","View Full Record in Web of Science")</f>
        <v>View Full Record in Web of Science</v>
      </c>
    </row>
    <row r="569" spans="1:72" x14ac:dyDescent="0.15">
      <c r="A569" t="s">
        <v>72</v>
      </c>
      <c r="B569" t="s">
        <v>11301</v>
      </c>
      <c r="C569" t="s">
        <v>74</v>
      </c>
      <c r="D569" t="s">
        <v>74</v>
      </c>
      <c r="E569" t="s">
        <v>74</v>
      </c>
      <c r="F569" t="s">
        <v>11302</v>
      </c>
      <c r="G569" t="s">
        <v>74</v>
      </c>
      <c r="H569" t="s">
        <v>74</v>
      </c>
      <c r="I569" t="s">
        <v>11303</v>
      </c>
      <c r="J569" t="s">
        <v>11304</v>
      </c>
      <c r="K569" t="s">
        <v>74</v>
      </c>
      <c r="L569" t="s">
        <v>74</v>
      </c>
      <c r="M569" t="s">
        <v>78</v>
      </c>
      <c r="N569" t="s">
        <v>3058</v>
      </c>
      <c r="O569" t="s">
        <v>74</v>
      </c>
      <c r="P569" t="s">
        <v>74</v>
      </c>
      <c r="Q569" t="s">
        <v>74</v>
      </c>
      <c r="R569" t="s">
        <v>74</v>
      </c>
      <c r="S569" t="s">
        <v>74</v>
      </c>
      <c r="T569" t="s">
        <v>11305</v>
      </c>
      <c r="U569" t="s">
        <v>74</v>
      </c>
      <c r="V569" t="s">
        <v>11306</v>
      </c>
      <c r="W569" t="s">
        <v>11307</v>
      </c>
      <c r="X569" t="s">
        <v>11308</v>
      </c>
      <c r="Y569" t="s">
        <v>11309</v>
      </c>
      <c r="Z569" t="s">
        <v>11310</v>
      </c>
      <c r="AA569" t="s">
        <v>74</v>
      </c>
      <c r="AB569" t="s">
        <v>11311</v>
      </c>
      <c r="AC569" t="s">
        <v>11312</v>
      </c>
      <c r="AD569" t="s">
        <v>11313</v>
      </c>
      <c r="AE569" t="s">
        <v>11314</v>
      </c>
      <c r="AF569" t="s">
        <v>74</v>
      </c>
      <c r="AG569">
        <v>22</v>
      </c>
      <c r="AH569">
        <v>0</v>
      </c>
      <c r="AI569">
        <v>0</v>
      </c>
      <c r="AJ569">
        <v>0</v>
      </c>
      <c r="AK569">
        <v>4</v>
      </c>
      <c r="AL569" t="s">
        <v>335</v>
      </c>
      <c r="AM569" t="s">
        <v>336</v>
      </c>
      <c r="AN569" t="s">
        <v>337</v>
      </c>
      <c r="AO569" t="s">
        <v>74</v>
      </c>
      <c r="AP569" t="s">
        <v>11315</v>
      </c>
      <c r="AQ569" t="s">
        <v>74</v>
      </c>
      <c r="AR569" t="s">
        <v>11304</v>
      </c>
      <c r="AS569" t="s">
        <v>11316</v>
      </c>
      <c r="AT569" t="s">
        <v>1809</v>
      </c>
      <c r="AU569">
        <v>2021</v>
      </c>
      <c r="AV569">
        <v>6</v>
      </c>
      <c r="AW569">
        <v>3</v>
      </c>
      <c r="AX569" t="s">
        <v>74</v>
      </c>
      <c r="AY569" t="s">
        <v>74</v>
      </c>
      <c r="AZ569" t="s">
        <v>74</v>
      </c>
      <c r="BA569" t="s">
        <v>74</v>
      </c>
      <c r="BB569" t="s">
        <v>74</v>
      </c>
      <c r="BC569" t="s">
        <v>74</v>
      </c>
      <c r="BD569">
        <v>27</v>
      </c>
      <c r="BE569" t="s">
        <v>11317</v>
      </c>
      <c r="BF569" t="str">
        <f>HYPERLINK("http://dx.doi.org/10.3390/data6030027","http://dx.doi.org/10.3390/data6030027")</f>
        <v>http://dx.doi.org/10.3390/data6030027</v>
      </c>
      <c r="BG569" t="s">
        <v>74</v>
      </c>
      <c r="BH569" t="s">
        <v>74</v>
      </c>
      <c r="BI569">
        <v>5</v>
      </c>
      <c r="BJ569" t="s">
        <v>11318</v>
      </c>
      <c r="BK569" t="s">
        <v>342</v>
      </c>
      <c r="BL569" t="s">
        <v>11319</v>
      </c>
      <c r="BM569" t="s">
        <v>11320</v>
      </c>
      <c r="BN569" t="s">
        <v>74</v>
      </c>
      <c r="BO569" t="s">
        <v>317</v>
      </c>
      <c r="BP569" t="s">
        <v>74</v>
      </c>
      <c r="BQ569" t="s">
        <v>74</v>
      </c>
      <c r="BR569" t="s">
        <v>104</v>
      </c>
      <c r="BS569" t="s">
        <v>11321</v>
      </c>
      <c r="BT569" t="str">
        <f>HYPERLINK("https%3A%2F%2Fwww.webofscience.com%2Fwos%2Fwoscc%2Ffull-record%2FWOS:000633542500001","View Full Record in Web of Science")</f>
        <v>View Full Record in Web of Science</v>
      </c>
    </row>
    <row r="570" spans="1:72" x14ac:dyDescent="0.15">
      <c r="A570" t="s">
        <v>72</v>
      </c>
      <c r="B570" t="s">
        <v>11322</v>
      </c>
      <c r="C570" t="s">
        <v>74</v>
      </c>
      <c r="D570" t="s">
        <v>74</v>
      </c>
      <c r="E570" t="s">
        <v>74</v>
      </c>
      <c r="F570" t="s">
        <v>11323</v>
      </c>
      <c r="G570" t="s">
        <v>74</v>
      </c>
      <c r="H570" t="s">
        <v>74</v>
      </c>
      <c r="I570" t="s">
        <v>11324</v>
      </c>
      <c r="J570" t="s">
        <v>11325</v>
      </c>
      <c r="K570" t="s">
        <v>74</v>
      </c>
      <c r="L570" t="s">
        <v>74</v>
      </c>
      <c r="M570" t="s">
        <v>78</v>
      </c>
      <c r="N570" t="s">
        <v>79</v>
      </c>
      <c r="O570" t="s">
        <v>74</v>
      </c>
      <c r="P570" t="s">
        <v>74</v>
      </c>
      <c r="Q570" t="s">
        <v>74</v>
      </c>
      <c r="R570" t="s">
        <v>74</v>
      </c>
      <c r="S570" t="s">
        <v>74</v>
      </c>
      <c r="T570" t="s">
        <v>11326</v>
      </c>
      <c r="U570" t="s">
        <v>74</v>
      </c>
      <c r="V570" t="s">
        <v>11327</v>
      </c>
      <c r="W570" t="s">
        <v>11328</v>
      </c>
      <c r="X570" t="s">
        <v>11329</v>
      </c>
      <c r="Y570" t="s">
        <v>11330</v>
      </c>
      <c r="Z570" t="s">
        <v>11331</v>
      </c>
      <c r="AA570" t="s">
        <v>11332</v>
      </c>
      <c r="AB570" t="s">
        <v>11333</v>
      </c>
      <c r="AC570" t="s">
        <v>11334</v>
      </c>
      <c r="AD570" t="s">
        <v>11335</v>
      </c>
      <c r="AE570" t="s">
        <v>11336</v>
      </c>
      <c r="AF570" t="s">
        <v>74</v>
      </c>
      <c r="AG570">
        <v>52</v>
      </c>
      <c r="AH570">
        <v>10</v>
      </c>
      <c r="AI570">
        <v>12</v>
      </c>
      <c r="AJ570">
        <v>0</v>
      </c>
      <c r="AK570">
        <v>14</v>
      </c>
      <c r="AL570" t="s">
        <v>335</v>
      </c>
      <c r="AM570" t="s">
        <v>336</v>
      </c>
      <c r="AN570" t="s">
        <v>337</v>
      </c>
      <c r="AO570" t="s">
        <v>74</v>
      </c>
      <c r="AP570" t="s">
        <v>11337</v>
      </c>
      <c r="AQ570" t="s">
        <v>74</v>
      </c>
      <c r="AR570" t="s">
        <v>11338</v>
      </c>
      <c r="AS570" t="s">
        <v>11339</v>
      </c>
      <c r="AT570" t="s">
        <v>1809</v>
      </c>
      <c r="AU570">
        <v>2021</v>
      </c>
      <c r="AV570">
        <v>7</v>
      </c>
      <c r="AW570">
        <v>3</v>
      </c>
      <c r="AX570" t="s">
        <v>74</v>
      </c>
      <c r="AY570" t="s">
        <v>74</v>
      </c>
      <c r="AZ570" t="s">
        <v>74</v>
      </c>
      <c r="BA570" t="s">
        <v>74</v>
      </c>
      <c r="BB570" t="s">
        <v>74</v>
      </c>
      <c r="BC570" t="s">
        <v>74</v>
      </c>
      <c r="BD570">
        <v>213</v>
      </c>
      <c r="BE570" t="s">
        <v>11340</v>
      </c>
      <c r="BF570" t="str">
        <f>HYPERLINK("http://dx.doi.org/10.3390/jof7030213","http://dx.doi.org/10.3390/jof7030213")</f>
        <v>http://dx.doi.org/10.3390/jof7030213</v>
      </c>
      <c r="BG570" t="s">
        <v>74</v>
      </c>
      <c r="BH570" t="s">
        <v>74</v>
      </c>
      <c r="BI570">
        <v>15</v>
      </c>
      <c r="BJ570" t="s">
        <v>11341</v>
      </c>
      <c r="BK570" t="s">
        <v>101</v>
      </c>
      <c r="BL570" t="s">
        <v>11341</v>
      </c>
      <c r="BM570" t="s">
        <v>11342</v>
      </c>
      <c r="BN570">
        <v>33809619</v>
      </c>
      <c r="BO570" t="s">
        <v>298</v>
      </c>
      <c r="BP570" t="s">
        <v>74</v>
      </c>
      <c r="BQ570" t="s">
        <v>74</v>
      </c>
      <c r="BR570" t="s">
        <v>104</v>
      </c>
      <c r="BS570" t="s">
        <v>11343</v>
      </c>
      <c r="BT570" t="str">
        <f>HYPERLINK("https%3A%2F%2Fwww.webofscience.com%2Fwos%2Fwoscc%2Ffull-record%2FWOS:000633789100001","View Full Record in Web of Science")</f>
        <v>View Full Record in Web of Science</v>
      </c>
    </row>
    <row r="571" spans="1:72" x14ac:dyDescent="0.15">
      <c r="A571" t="s">
        <v>72</v>
      </c>
      <c r="B571" t="s">
        <v>11344</v>
      </c>
      <c r="C571" t="s">
        <v>74</v>
      </c>
      <c r="D571" t="s">
        <v>74</v>
      </c>
      <c r="E571" t="s">
        <v>74</v>
      </c>
      <c r="F571" t="s">
        <v>11345</v>
      </c>
      <c r="G571" t="s">
        <v>74</v>
      </c>
      <c r="H571" t="s">
        <v>74</v>
      </c>
      <c r="I571" t="s">
        <v>11346</v>
      </c>
      <c r="J571" t="s">
        <v>5615</v>
      </c>
      <c r="K571" t="s">
        <v>74</v>
      </c>
      <c r="L571" t="s">
        <v>74</v>
      </c>
      <c r="M571" t="s">
        <v>78</v>
      </c>
      <c r="N571" t="s">
        <v>79</v>
      </c>
      <c r="O571" t="s">
        <v>74</v>
      </c>
      <c r="P571" t="s">
        <v>74</v>
      </c>
      <c r="Q571" t="s">
        <v>74</v>
      </c>
      <c r="R571" t="s">
        <v>74</v>
      </c>
      <c r="S571" t="s">
        <v>74</v>
      </c>
      <c r="T571" t="s">
        <v>11347</v>
      </c>
      <c r="U571" t="s">
        <v>11348</v>
      </c>
      <c r="V571" t="s">
        <v>11349</v>
      </c>
      <c r="W571" t="s">
        <v>11350</v>
      </c>
      <c r="X571" t="s">
        <v>11351</v>
      </c>
      <c r="Y571" t="s">
        <v>11352</v>
      </c>
      <c r="Z571" t="s">
        <v>11353</v>
      </c>
      <c r="AA571" t="s">
        <v>11354</v>
      </c>
      <c r="AB571" t="s">
        <v>11355</v>
      </c>
      <c r="AC571" t="s">
        <v>11356</v>
      </c>
      <c r="AD571" t="s">
        <v>11357</v>
      </c>
      <c r="AE571" t="s">
        <v>11358</v>
      </c>
      <c r="AF571" t="s">
        <v>74</v>
      </c>
      <c r="AG571">
        <v>63</v>
      </c>
      <c r="AH571">
        <v>10</v>
      </c>
      <c r="AI571">
        <v>10</v>
      </c>
      <c r="AJ571">
        <v>0</v>
      </c>
      <c r="AK571">
        <v>12</v>
      </c>
      <c r="AL571" t="s">
        <v>335</v>
      </c>
      <c r="AM571" t="s">
        <v>336</v>
      </c>
      <c r="AN571" t="s">
        <v>337</v>
      </c>
      <c r="AO571" t="s">
        <v>74</v>
      </c>
      <c r="AP571" t="s">
        <v>5628</v>
      </c>
      <c r="AQ571" t="s">
        <v>74</v>
      </c>
      <c r="AR571" t="s">
        <v>5629</v>
      </c>
      <c r="AS571" t="s">
        <v>5630</v>
      </c>
      <c r="AT571" t="s">
        <v>1809</v>
      </c>
      <c r="AU571">
        <v>2021</v>
      </c>
      <c r="AV571">
        <v>9</v>
      </c>
      <c r="AW571">
        <v>3</v>
      </c>
      <c r="AX571" t="s">
        <v>74</v>
      </c>
      <c r="AY571" t="s">
        <v>74</v>
      </c>
      <c r="AZ571" t="s">
        <v>74</v>
      </c>
      <c r="BA571" t="s">
        <v>74</v>
      </c>
      <c r="BB571" t="s">
        <v>74</v>
      </c>
      <c r="BC571" t="s">
        <v>74</v>
      </c>
      <c r="BD571">
        <v>243</v>
      </c>
      <c r="BE571" t="s">
        <v>11359</v>
      </c>
      <c r="BF571" t="str">
        <f>HYPERLINK("http://dx.doi.org/10.3390/jmse9030243","http://dx.doi.org/10.3390/jmse9030243")</f>
        <v>http://dx.doi.org/10.3390/jmse9030243</v>
      </c>
      <c r="BG571" t="s">
        <v>74</v>
      </c>
      <c r="BH571" t="s">
        <v>74</v>
      </c>
      <c r="BI571">
        <v>15</v>
      </c>
      <c r="BJ571" t="s">
        <v>5632</v>
      </c>
      <c r="BK571" t="s">
        <v>101</v>
      </c>
      <c r="BL571" t="s">
        <v>5633</v>
      </c>
      <c r="BM571" t="s">
        <v>11360</v>
      </c>
      <c r="BN571" t="s">
        <v>74</v>
      </c>
      <c r="BO571" t="s">
        <v>317</v>
      </c>
      <c r="BP571" t="s">
        <v>74</v>
      </c>
      <c r="BQ571" t="s">
        <v>74</v>
      </c>
      <c r="BR571" t="s">
        <v>104</v>
      </c>
      <c r="BS571" t="s">
        <v>11361</v>
      </c>
      <c r="BT571" t="str">
        <f>HYPERLINK("https%3A%2F%2Fwww.webofscience.com%2Fwos%2Fwoscc%2Ffull-record%2FWOS:000633761800001","View Full Record in Web of Science")</f>
        <v>View Full Record in Web of Science</v>
      </c>
    </row>
    <row r="572" spans="1:72" x14ac:dyDescent="0.15">
      <c r="A572" t="s">
        <v>72</v>
      </c>
      <c r="B572" t="s">
        <v>11362</v>
      </c>
      <c r="C572" t="s">
        <v>74</v>
      </c>
      <c r="D572" t="s">
        <v>74</v>
      </c>
      <c r="E572" t="s">
        <v>74</v>
      </c>
      <c r="F572" t="s">
        <v>11363</v>
      </c>
      <c r="G572" t="s">
        <v>74</v>
      </c>
      <c r="H572" t="s">
        <v>74</v>
      </c>
      <c r="I572" t="s">
        <v>11364</v>
      </c>
      <c r="J572" t="s">
        <v>11102</v>
      </c>
      <c r="K572" t="s">
        <v>74</v>
      </c>
      <c r="L572" t="s">
        <v>74</v>
      </c>
      <c r="M572" t="s">
        <v>78</v>
      </c>
      <c r="N572" t="s">
        <v>79</v>
      </c>
      <c r="O572" t="s">
        <v>74</v>
      </c>
      <c r="P572" t="s">
        <v>74</v>
      </c>
      <c r="Q572" t="s">
        <v>74</v>
      </c>
      <c r="R572" t="s">
        <v>74</v>
      </c>
      <c r="S572" t="s">
        <v>74</v>
      </c>
      <c r="T572" t="s">
        <v>11365</v>
      </c>
      <c r="U572" t="s">
        <v>11366</v>
      </c>
      <c r="V572" t="s">
        <v>11367</v>
      </c>
      <c r="W572" t="s">
        <v>11368</v>
      </c>
      <c r="X572" t="s">
        <v>11369</v>
      </c>
      <c r="Y572" t="s">
        <v>11370</v>
      </c>
      <c r="Z572" t="s">
        <v>11371</v>
      </c>
      <c r="AA572" t="s">
        <v>11372</v>
      </c>
      <c r="AB572" t="s">
        <v>11373</v>
      </c>
      <c r="AC572" t="s">
        <v>11374</v>
      </c>
      <c r="AD572" t="s">
        <v>11375</v>
      </c>
      <c r="AE572" t="s">
        <v>11376</v>
      </c>
      <c r="AF572" t="s">
        <v>74</v>
      </c>
      <c r="AG572">
        <v>21</v>
      </c>
      <c r="AH572">
        <v>15</v>
      </c>
      <c r="AI572">
        <v>15</v>
      </c>
      <c r="AJ572">
        <v>4</v>
      </c>
      <c r="AK572">
        <v>27</v>
      </c>
      <c r="AL572" t="s">
        <v>335</v>
      </c>
      <c r="AM572" t="s">
        <v>336</v>
      </c>
      <c r="AN572" t="s">
        <v>337</v>
      </c>
      <c r="AO572" t="s">
        <v>74</v>
      </c>
      <c r="AP572" t="s">
        <v>11115</v>
      </c>
      <c r="AQ572" t="s">
        <v>74</v>
      </c>
      <c r="AR572" t="s">
        <v>11116</v>
      </c>
      <c r="AS572" t="s">
        <v>11117</v>
      </c>
      <c r="AT572" t="s">
        <v>1809</v>
      </c>
      <c r="AU572">
        <v>2021</v>
      </c>
      <c r="AV572">
        <v>19</v>
      </c>
      <c r="AW572">
        <v>3</v>
      </c>
      <c r="AX572" t="s">
        <v>74</v>
      </c>
      <c r="AY572" t="s">
        <v>74</v>
      </c>
      <c r="AZ572" t="s">
        <v>74</v>
      </c>
      <c r="BA572" t="s">
        <v>74</v>
      </c>
      <c r="BB572" t="s">
        <v>74</v>
      </c>
      <c r="BC572" t="s">
        <v>74</v>
      </c>
      <c r="BD572">
        <v>168</v>
      </c>
      <c r="BE572" t="s">
        <v>11377</v>
      </c>
      <c r="BF572" t="str">
        <f>HYPERLINK("http://dx.doi.org/10.3390/md19030168","http://dx.doi.org/10.3390/md19030168")</f>
        <v>http://dx.doi.org/10.3390/md19030168</v>
      </c>
      <c r="BG572" t="s">
        <v>74</v>
      </c>
      <c r="BH572" t="s">
        <v>74</v>
      </c>
      <c r="BI572">
        <v>9</v>
      </c>
      <c r="BJ572" t="s">
        <v>11119</v>
      </c>
      <c r="BK572" t="s">
        <v>101</v>
      </c>
      <c r="BL572" t="s">
        <v>11120</v>
      </c>
      <c r="BM572" t="s">
        <v>11378</v>
      </c>
      <c r="BN572">
        <v>33809861</v>
      </c>
      <c r="BO572" t="s">
        <v>298</v>
      </c>
      <c r="BP572" t="s">
        <v>74</v>
      </c>
      <c r="BQ572" t="s">
        <v>74</v>
      </c>
      <c r="BR572" t="s">
        <v>104</v>
      </c>
      <c r="BS572" t="s">
        <v>11379</v>
      </c>
      <c r="BT572" t="str">
        <f>HYPERLINK("https%3A%2F%2Fwww.webofscience.com%2Fwos%2Fwoscc%2Ffull-record%2FWOS:000633851900001","View Full Record in Web of Science")</f>
        <v>View Full Record in Web of Science</v>
      </c>
    </row>
    <row r="573" spans="1:72" x14ac:dyDescent="0.15">
      <c r="A573" t="s">
        <v>72</v>
      </c>
      <c r="B573" t="s">
        <v>11380</v>
      </c>
      <c r="C573" t="s">
        <v>74</v>
      </c>
      <c r="D573" t="s">
        <v>74</v>
      </c>
      <c r="E573" t="s">
        <v>74</v>
      </c>
      <c r="F573" t="s">
        <v>11381</v>
      </c>
      <c r="G573" t="s">
        <v>74</v>
      </c>
      <c r="H573" t="s">
        <v>74</v>
      </c>
      <c r="I573" t="s">
        <v>11382</v>
      </c>
      <c r="J573" t="s">
        <v>4271</v>
      </c>
      <c r="K573" t="s">
        <v>74</v>
      </c>
      <c r="L573" t="s">
        <v>74</v>
      </c>
      <c r="M573" t="s">
        <v>78</v>
      </c>
      <c r="N573" t="s">
        <v>79</v>
      </c>
      <c r="O573" t="s">
        <v>74</v>
      </c>
      <c r="P573" t="s">
        <v>74</v>
      </c>
      <c r="Q573" t="s">
        <v>74</v>
      </c>
      <c r="R573" t="s">
        <v>74</v>
      </c>
      <c r="S573" t="s">
        <v>74</v>
      </c>
      <c r="T573" t="s">
        <v>74</v>
      </c>
      <c r="U573" t="s">
        <v>11383</v>
      </c>
      <c r="V573" t="s">
        <v>11384</v>
      </c>
      <c r="W573" t="s">
        <v>11385</v>
      </c>
      <c r="X573" t="s">
        <v>11386</v>
      </c>
      <c r="Y573" t="s">
        <v>11387</v>
      </c>
      <c r="Z573" t="s">
        <v>11388</v>
      </c>
      <c r="AA573" t="s">
        <v>74</v>
      </c>
      <c r="AB573" t="s">
        <v>11389</v>
      </c>
      <c r="AC573" t="s">
        <v>11390</v>
      </c>
      <c r="AD573" t="s">
        <v>11391</v>
      </c>
      <c r="AE573" t="s">
        <v>11392</v>
      </c>
      <c r="AF573" t="s">
        <v>74</v>
      </c>
      <c r="AG573">
        <v>77</v>
      </c>
      <c r="AH573">
        <v>10</v>
      </c>
      <c r="AI573">
        <v>10</v>
      </c>
      <c r="AJ573">
        <v>0</v>
      </c>
      <c r="AK573">
        <v>9</v>
      </c>
      <c r="AL573" t="s">
        <v>4283</v>
      </c>
      <c r="AM573" t="s">
        <v>390</v>
      </c>
      <c r="AN573" t="s">
        <v>4284</v>
      </c>
      <c r="AO573" t="s">
        <v>4285</v>
      </c>
      <c r="AP573" t="s">
        <v>74</v>
      </c>
      <c r="AQ573" t="s">
        <v>74</v>
      </c>
      <c r="AR573" t="s">
        <v>4286</v>
      </c>
      <c r="AS573" t="s">
        <v>4287</v>
      </c>
      <c r="AT573" t="s">
        <v>1809</v>
      </c>
      <c r="AU573">
        <v>2021</v>
      </c>
      <c r="AV573">
        <v>7</v>
      </c>
      <c r="AW573">
        <v>13</v>
      </c>
      <c r="AX573" t="s">
        <v>74</v>
      </c>
      <c r="AY573" t="s">
        <v>74</v>
      </c>
      <c r="AZ573" t="s">
        <v>74</v>
      </c>
      <c r="BA573" t="s">
        <v>74</v>
      </c>
      <c r="BB573" t="s">
        <v>74</v>
      </c>
      <c r="BC573" t="s">
        <v>74</v>
      </c>
      <c r="BD573" t="s">
        <v>11393</v>
      </c>
      <c r="BE573" t="s">
        <v>11394</v>
      </c>
      <c r="BF573" t="str">
        <f>HYPERLINK("http://dx.doi.org/10.1126/sciadv.abe1260","http://dx.doi.org/10.1126/sciadv.abe1260")</f>
        <v>http://dx.doi.org/10.1126/sciadv.abe1260</v>
      </c>
      <c r="BG573" t="s">
        <v>74</v>
      </c>
      <c r="BH573" t="s">
        <v>74</v>
      </c>
      <c r="BI573">
        <v>13</v>
      </c>
      <c r="BJ573" t="s">
        <v>555</v>
      </c>
      <c r="BK573" t="s">
        <v>101</v>
      </c>
      <c r="BL573" t="s">
        <v>556</v>
      </c>
      <c r="BM573" t="s">
        <v>11395</v>
      </c>
      <c r="BN573">
        <v>33762333</v>
      </c>
      <c r="BO573" t="s">
        <v>398</v>
      </c>
      <c r="BP573" t="s">
        <v>74</v>
      </c>
      <c r="BQ573" t="s">
        <v>74</v>
      </c>
      <c r="BR573" t="s">
        <v>104</v>
      </c>
      <c r="BS573" t="s">
        <v>11396</v>
      </c>
      <c r="BT573" t="str">
        <f>HYPERLINK("https%3A%2F%2Fwww.webofscience.com%2Fwos%2Fwoscc%2Ffull-record%2FWOS:000633443600014","View Full Record in Web of Science")</f>
        <v>View Full Record in Web of Science</v>
      </c>
    </row>
    <row r="574" spans="1:72" x14ac:dyDescent="0.15">
      <c r="A574" t="s">
        <v>72</v>
      </c>
      <c r="B574" t="s">
        <v>11397</v>
      </c>
      <c r="C574" t="s">
        <v>74</v>
      </c>
      <c r="D574" t="s">
        <v>74</v>
      </c>
      <c r="E574" t="s">
        <v>74</v>
      </c>
      <c r="F574" t="s">
        <v>11398</v>
      </c>
      <c r="G574" t="s">
        <v>74</v>
      </c>
      <c r="H574" t="s">
        <v>74</v>
      </c>
      <c r="I574" t="s">
        <v>11399</v>
      </c>
      <c r="J574" t="s">
        <v>4271</v>
      </c>
      <c r="K574" t="s">
        <v>74</v>
      </c>
      <c r="L574" t="s">
        <v>74</v>
      </c>
      <c r="M574" t="s">
        <v>78</v>
      </c>
      <c r="N574" t="s">
        <v>79</v>
      </c>
      <c r="O574" t="s">
        <v>74</v>
      </c>
      <c r="P574" t="s">
        <v>74</v>
      </c>
      <c r="Q574" t="s">
        <v>74</v>
      </c>
      <c r="R574" t="s">
        <v>74</v>
      </c>
      <c r="S574" t="s">
        <v>74</v>
      </c>
      <c r="T574" t="s">
        <v>74</v>
      </c>
      <c r="U574" t="s">
        <v>11400</v>
      </c>
      <c r="V574" t="s">
        <v>11401</v>
      </c>
      <c r="W574" t="s">
        <v>11402</v>
      </c>
      <c r="X574" t="s">
        <v>11403</v>
      </c>
      <c r="Y574" t="s">
        <v>11404</v>
      </c>
      <c r="Z574" t="s">
        <v>11405</v>
      </c>
      <c r="AA574" t="s">
        <v>11406</v>
      </c>
      <c r="AB574" t="s">
        <v>11407</v>
      </c>
      <c r="AC574" t="s">
        <v>11408</v>
      </c>
      <c r="AD574" t="s">
        <v>11409</v>
      </c>
      <c r="AE574" t="s">
        <v>11410</v>
      </c>
      <c r="AF574" t="s">
        <v>74</v>
      </c>
      <c r="AG574">
        <v>55</v>
      </c>
      <c r="AH574">
        <v>9</v>
      </c>
      <c r="AI574">
        <v>10</v>
      </c>
      <c r="AJ574">
        <v>0</v>
      </c>
      <c r="AK574">
        <v>4</v>
      </c>
      <c r="AL574" t="s">
        <v>4283</v>
      </c>
      <c r="AM574" t="s">
        <v>390</v>
      </c>
      <c r="AN574" t="s">
        <v>4284</v>
      </c>
      <c r="AO574" t="s">
        <v>4285</v>
      </c>
      <c r="AP574" t="s">
        <v>74</v>
      </c>
      <c r="AQ574" t="s">
        <v>74</v>
      </c>
      <c r="AR574" t="s">
        <v>4286</v>
      </c>
      <c r="AS574" t="s">
        <v>4287</v>
      </c>
      <c r="AT574" t="s">
        <v>1809</v>
      </c>
      <c r="AU574">
        <v>2021</v>
      </c>
      <c r="AV574">
        <v>7</v>
      </c>
      <c r="AW574">
        <v>14</v>
      </c>
      <c r="AX574" t="s">
        <v>74</v>
      </c>
      <c r="AY574" t="s">
        <v>74</v>
      </c>
      <c r="AZ574" t="s">
        <v>74</v>
      </c>
      <c r="BA574" t="s">
        <v>74</v>
      </c>
      <c r="BB574" t="s">
        <v>74</v>
      </c>
      <c r="BC574" t="s">
        <v>74</v>
      </c>
      <c r="BD574" t="s">
        <v>11411</v>
      </c>
      <c r="BE574" t="s">
        <v>11412</v>
      </c>
      <c r="BF574" t="str">
        <f>HYPERLINK("http://dx.doi.org/10.1126/sciadv.abc1008","http://dx.doi.org/10.1126/sciadv.abc1008")</f>
        <v>http://dx.doi.org/10.1126/sciadv.abc1008</v>
      </c>
      <c r="BG574" t="s">
        <v>74</v>
      </c>
      <c r="BH574" t="s">
        <v>74</v>
      </c>
      <c r="BI574">
        <v>10</v>
      </c>
      <c r="BJ574" t="s">
        <v>555</v>
      </c>
      <c r="BK574" t="s">
        <v>101</v>
      </c>
      <c r="BL574" t="s">
        <v>556</v>
      </c>
      <c r="BM574" t="s">
        <v>11413</v>
      </c>
      <c r="BN574">
        <v>33789890</v>
      </c>
      <c r="BO574" t="s">
        <v>1872</v>
      </c>
      <c r="BP574" t="s">
        <v>74</v>
      </c>
      <c r="BQ574" t="s">
        <v>74</v>
      </c>
      <c r="BR574" t="s">
        <v>104</v>
      </c>
      <c r="BS574" t="s">
        <v>11414</v>
      </c>
      <c r="BT574" t="str">
        <f>HYPERLINK("https%3A%2F%2Fwww.webofscience.com%2Fwos%2Fwoscc%2Ffull-record%2FWOS:000636455600004","View Full Record in Web of Science")</f>
        <v>View Full Record in Web of Science</v>
      </c>
    </row>
    <row r="575" spans="1:72" x14ac:dyDescent="0.15">
      <c r="A575" t="s">
        <v>72</v>
      </c>
      <c r="B575" t="s">
        <v>11415</v>
      </c>
      <c r="C575" t="s">
        <v>74</v>
      </c>
      <c r="D575" t="s">
        <v>74</v>
      </c>
      <c r="E575" t="s">
        <v>74</v>
      </c>
      <c r="F575" t="s">
        <v>11416</v>
      </c>
      <c r="G575" t="s">
        <v>74</v>
      </c>
      <c r="H575" t="s">
        <v>74</v>
      </c>
      <c r="I575" t="s">
        <v>11417</v>
      </c>
      <c r="J575" t="s">
        <v>11418</v>
      </c>
      <c r="K575" t="s">
        <v>74</v>
      </c>
      <c r="L575" t="s">
        <v>74</v>
      </c>
      <c r="M575" t="s">
        <v>78</v>
      </c>
      <c r="N575" t="s">
        <v>79</v>
      </c>
      <c r="O575" t="s">
        <v>74</v>
      </c>
      <c r="P575" t="s">
        <v>74</v>
      </c>
      <c r="Q575" t="s">
        <v>74</v>
      </c>
      <c r="R575" t="s">
        <v>74</v>
      </c>
      <c r="S575" t="s">
        <v>74</v>
      </c>
      <c r="T575" t="s">
        <v>74</v>
      </c>
      <c r="U575" t="s">
        <v>74</v>
      </c>
      <c r="V575" t="s">
        <v>11419</v>
      </c>
      <c r="W575" t="s">
        <v>11420</v>
      </c>
      <c r="X575" t="s">
        <v>11421</v>
      </c>
      <c r="Y575" t="s">
        <v>11422</v>
      </c>
      <c r="Z575" t="s">
        <v>74</v>
      </c>
      <c r="AA575" t="s">
        <v>74</v>
      </c>
      <c r="AB575" t="s">
        <v>11423</v>
      </c>
      <c r="AC575" t="s">
        <v>74</v>
      </c>
      <c r="AD575" t="s">
        <v>74</v>
      </c>
      <c r="AE575" t="s">
        <v>74</v>
      </c>
      <c r="AF575" t="s">
        <v>74</v>
      </c>
      <c r="AG575">
        <v>27</v>
      </c>
      <c r="AH575">
        <v>0</v>
      </c>
      <c r="AI575">
        <v>0</v>
      </c>
      <c r="AJ575">
        <v>1</v>
      </c>
      <c r="AK575">
        <v>1</v>
      </c>
      <c r="AL575" t="s">
        <v>11418</v>
      </c>
      <c r="AM575" t="s">
        <v>11424</v>
      </c>
      <c r="AN575" t="s">
        <v>11425</v>
      </c>
      <c r="AO575" t="s">
        <v>11426</v>
      </c>
      <c r="AP575" t="s">
        <v>74</v>
      </c>
      <c r="AQ575" t="s">
        <v>74</v>
      </c>
      <c r="AR575" t="s">
        <v>11427</v>
      </c>
      <c r="AS575" t="s">
        <v>11428</v>
      </c>
      <c r="AT575" t="s">
        <v>1809</v>
      </c>
      <c r="AU575">
        <v>2021</v>
      </c>
      <c r="AV575">
        <v>48</v>
      </c>
      <c r="AW575" t="s">
        <v>74</v>
      </c>
      <c r="AX575">
        <v>1</v>
      </c>
      <c r="AY575" t="s">
        <v>74</v>
      </c>
      <c r="AZ575" t="s">
        <v>74</v>
      </c>
      <c r="BA575" t="s">
        <v>74</v>
      </c>
      <c r="BB575">
        <v>109</v>
      </c>
      <c r="BC575">
        <v>123</v>
      </c>
      <c r="BD575" t="s">
        <v>74</v>
      </c>
      <c r="BE575" t="s">
        <v>74</v>
      </c>
      <c r="BF575" t="s">
        <v>74</v>
      </c>
      <c r="BG575" t="s">
        <v>74</v>
      </c>
      <c r="BH575" t="s">
        <v>74</v>
      </c>
      <c r="BI575">
        <v>15</v>
      </c>
      <c r="BJ575" t="s">
        <v>10162</v>
      </c>
      <c r="BK575" t="s">
        <v>1342</v>
      </c>
      <c r="BL575" t="s">
        <v>10162</v>
      </c>
      <c r="BM575" t="s">
        <v>11429</v>
      </c>
      <c r="BN575" t="s">
        <v>74</v>
      </c>
      <c r="BO575" t="s">
        <v>74</v>
      </c>
      <c r="BP575" t="s">
        <v>74</v>
      </c>
      <c r="BQ575" t="s">
        <v>74</v>
      </c>
      <c r="BR575" t="s">
        <v>104</v>
      </c>
      <c r="BS575" t="s">
        <v>11430</v>
      </c>
      <c r="BT575" t="str">
        <f>HYPERLINK("https%3A%2F%2Fwww.webofscience.com%2Fwos%2Fwoscc%2Ffull-record%2FWOS:000629288800008","View Full Record in Web of Science")</f>
        <v>View Full Record in Web of Science</v>
      </c>
    </row>
    <row r="576" spans="1:72" x14ac:dyDescent="0.15">
      <c r="A576" t="s">
        <v>72</v>
      </c>
      <c r="B576" t="s">
        <v>11431</v>
      </c>
      <c r="C576" t="s">
        <v>74</v>
      </c>
      <c r="D576" t="s">
        <v>74</v>
      </c>
      <c r="E576" t="s">
        <v>74</v>
      </c>
      <c r="F576" t="s">
        <v>11432</v>
      </c>
      <c r="G576" t="s">
        <v>74</v>
      </c>
      <c r="H576" t="s">
        <v>74</v>
      </c>
      <c r="I576" t="s">
        <v>11433</v>
      </c>
      <c r="J576" t="s">
        <v>7320</v>
      </c>
      <c r="K576" t="s">
        <v>74</v>
      </c>
      <c r="L576" t="s">
        <v>74</v>
      </c>
      <c r="M576" t="s">
        <v>78</v>
      </c>
      <c r="N576" t="s">
        <v>79</v>
      </c>
      <c r="O576" t="s">
        <v>74</v>
      </c>
      <c r="P576" t="s">
        <v>74</v>
      </c>
      <c r="Q576" t="s">
        <v>74</v>
      </c>
      <c r="R576" t="s">
        <v>74</v>
      </c>
      <c r="S576" t="s">
        <v>74</v>
      </c>
      <c r="T576" t="s">
        <v>74</v>
      </c>
      <c r="U576" t="s">
        <v>11434</v>
      </c>
      <c r="V576" t="s">
        <v>11435</v>
      </c>
      <c r="W576" t="s">
        <v>11436</v>
      </c>
      <c r="X576" t="s">
        <v>11437</v>
      </c>
      <c r="Y576" t="s">
        <v>11438</v>
      </c>
      <c r="Z576" t="s">
        <v>11439</v>
      </c>
      <c r="AA576" t="s">
        <v>11440</v>
      </c>
      <c r="AB576" t="s">
        <v>11441</v>
      </c>
      <c r="AC576" t="s">
        <v>11442</v>
      </c>
      <c r="AD576" t="s">
        <v>11443</v>
      </c>
      <c r="AE576" t="s">
        <v>11444</v>
      </c>
      <c r="AF576" t="s">
        <v>74</v>
      </c>
      <c r="AG576">
        <v>39</v>
      </c>
      <c r="AH576">
        <v>17</v>
      </c>
      <c r="AI576">
        <v>17</v>
      </c>
      <c r="AJ576">
        <v>2</v>
      </c>
      <c r="AK576">
        <v>8</v>
      </c>
      <c r="AL576" t="s">
        <v>861</v>
      </c>
      <c r="AM576" t="s">
        <v>862</v>
      </c>
      <c r="AN576" t="s">
        <v>863</v>
      </c>
      <c r="AO576" t="s">
        <v>74</v>
      </c>
      <c r="AP576" t="s">
        <v>7331</v>
      </c>
      <c r="AQ576" t="s">
        <v>74</v>
      </c>
      <c r="AR576" t="s">
        <v>7332</v>
      </c>
      <c r="AS576" t="s">
        <v>7333</v>
      </c>
      <c r="AT576" t="s">
        <v>11445</v>
      </c>
      <c r="AU576">
        <v>2021</v>
      </c>
      <c r="AV576">
        <v>4</v>
      </c>
      <c r="AW576">
        <v>1</v>
      </c>
      <c r="AX576" t="s">
        <v>74</v>
      </c>
      <c r="AY576" t="s">
        <v>74</v>
      </c>
      <c r="AZ576" t="s">
        <v>74</v>
      </c>
      <c r="BA576" t="s">
        <v>74</v>
      </c>
      <c r="BB576" t="s">
        <v>74</v>
      </c>
      <c r="BC576" t="s">
        <v>74</v>
      </c>
      <c r="BD576">
        <v>264</v>
      </c>
      <c r="BE576" t="s">
        <v>11446</v>
      </c>
      <c r="BF576" t="str">
        <f>HYPERLINK("http://dx.doi.org/10.1038/s42003-021-01773-3","http://dx.doi.org/10.1038/s42003-021-01773-3")</f>
        <v>http://dx.doi.org/10.1038/s42003-021-01773-3</v>
      </c>
      <c r="BG576" t="s">
        <v>74</v>
      </c>
      <c r="BH576" t="s">
        <v>74</v>
      </c>
      <c r="BI576">
        <v>5</v>
      </c>
      <c r="BJ576" t="s">
        <v>7335</v>
      </c>
      <c r="BK576" t="s">
        <v>101</v>
      </c>
      <c r="BL576" t="s">
        <v>7336</v>
      </c>
      <c r="BM576" t="s">
        <v>11447</v>
      </c>
      <c r="BN576">
        <v>33649450</v>
      </c>
      <c r="BO576" t="s">
        <v>1319</v>
      </c>
      <c r="BP576" t="s">
        <v>74</v>
      </c>
      <c r="BQ576" t="s">
        <v>74</v>
      </c>
      <c r="BR576" t="s">
        <v>104</v>
      </c>
      <c r="BS576" t="s">
        <v>11448</v>
      </c>
      <c r="BT576" t="str">
        <f>HYPERLINK("https%3A%2F%2Fwww.webofscience.com%2Fwos%2Fwoscc%2Ffull-record%2FWOS:000626074900002","View Full Record in Web of Science")</f>
        <v>View Full Record in Web of Science</v>
      </c>
    </row>
    <row r="577" spans="1:72" x14ac:dyDescent="0.15">
      <c r="A577" t="s">
        <v>72</v>
      </c>
      <c r="B577" t="s">
        <v>11449</v>
      </c>
      <c r="C577" t="s">
        <v>74</v>
      </c>
      <c r="D577" t="s">
        <v>74</v>
      </c>
      <c r="E577" t="s">
        <v>74</v>
      </c>
      <c r="F577" t="s">
        <v>11450</v>
      </c>
      <c r="G577" t="s">
        <v>74</v>
      </c>
      <c r="H577" t="s">
        <v>74</v>
      </c>
      <c r="I577" t="s">
        <v>11451</v>
      </c>
      <c r="J577" t="s">
        <v>11452</v>
      </c>
      <c r="K577" t="s">
        <v>74</v>
      </c>
      <c r="L577" t="s">
        <v>74</v>
      </c>
      <c r="M577" t="s">
        <v>78</v>
      </c>
      <c r="N577" t="s">
        <v>79</v>
      </c>
      <c r="O577" t="s">
        <v>74</v>
      </c>
      <c r="P577" t="s">
        <v>74</v>
      </c>
      <c r="Q577" t="s">
        <v>74</v>
      </c>
      <c r="R577" t="s">
        <v>74</v>
      </c>
      <c r="S577" t="s">
        <v>74</v>
      </c>
      <c r="T577" t="s">
        <v>74</v>
      </c>
      <c r="U577" t="s">
        <v>74</v>
      </c>
      <c r="V577" t="s">
        <v>11453</v>
      </c>
      <c r="W577" t="s">
        <v>11454</v>
      </c>
      <c r="X577" t="s">
        <v>11455</v>
      </c>
      <c r="Y577" t="s">
        <v>11456</v>
      </c>
      <c r="Z577" t="s">
        <v>11457</v>
      </c>
      <c r="AA577" t="s">
        <v>74</v>
      </c>
      <c r="AB577" t="s">
        <v>11458</v>
      </c>
      <c r="AC577" t="s">
        <v>11459</v>
      </c>
      <c r="AD577" t="s">
        <v>11460</v>
      </c>
      <c r="AE577" t="s">
        <v>11461</v>
      </c>
      <c r="AF577" t="s">
        <v>74</v>
      </c>
      <c r="AG577">
        <v>8</v>
      </c>
      <c r="AH577">
        <v>0</v>
      </c>
      <c r="AI577">
        <v>0</v>
      </c>
      <c r="AJ577">
        <v>3</v>
      </c>
      <c r="AK577">
        <v>24</v>
      </c>
      <c r="AL577" t="s">
        <v>389</v>
      </c>
      <c r="AM577" t="s">
        <v>390</v>
      </c>
      <c r="AN577" t="s">
        <v>391</v>
      </c>
      <c r="AO577" t="s">
        <v>11462</v>
      </c>
      <c r="AP577" t="s">
        <v>74</v>
      </c>
      <c r="AQ577" t="s">
        <v>74</v>
      </c>
      <c r="AR577" t="s">
        <v>11463</v>
      </c>
      <c r="AS577" t="s">
        <v>11464</v>
      </c>
      <c r="AT577" t="s">
        <v>1809</v>
      </c>
      <c r="AU577">
        <v>2021</v>
      </c>
      <c r="AV577">
        <v>10</v>
      </c>
      <c r="AW577">
        <v>10</v>
      </c>
      <c r="AX577" t="s">
        <v>74</v>
      </c>
      <c r="AY577" t="s">
        <v>74</v>
      </c>
      <c r="AZ577" t="s">
        <v>74</v>
      </c>
      <c r="BA577" t="s">
        <v>74</v>
      </c>
      <c r="BB577" t="s">
        <v>74</v>
      </c>
      <c r="BC577" t="s">
        <v>74</v>
      </c>
      <c r="BD577" t="s">
        <v>11465</v>
      </c>
      <c r="BE577" t="s">
        <v>11466</v>
      </c>
      <c r="BF577" t="str">
        <f>HYPERLINK("http://dx.doi.org/10.1128/MRA.01490-20","http://dx.doi.org/10.1128/MRA.01490-20")</f>
        <v>http://dx.doi.org/10.1128/MRA.01490-20</v>
      </c>
      <c r="BG577" t="s">
        <v>74</v>
      </c>
      <c r="BH577" t="s">
        <v>74</v>
      </c>
      <c r="BI577">
        <v>2</v>
      </c>
      <c r="BJ577" t="s">
        <v>396</v>
      </c>
      <c r="BK577" t="s">
        <v>342</v>
      </c>
      <c r="BL577" t="s">
        <v>396</v>
      </c>
      <c r="BM577" t="s">
        <v>11467</v>
      </c>
      <c r="BN577">
        <v>33707342</v>
      </c>
      <c r="BO577" t="s">
        <v>398</v>
      </c>
      <c r="BP577" t="s">
        <v>74</v>
      </c>
      <c r="BQ577" t="s">
        <v>74</v>
      </c>
      <c r="BR577" t="s">
        <v>104</v>
      </c>
      <c r="BS577" t="s">
        <v>11468</v>
      </c>
      <c r="BT577" t="str">
        <f>HYPERLINK("https%3A%2F%2Fwww.webofscience.com%2Fwos%2Fwoscc%2Ffull-record%2FWOS:000628801300028","View Full Record in Web of Science")</f>
        <v>View Full Record in Web of Science</v>
      </c>
    </row>
    <row r="578" spans="1:72" x14ac:dyDescent="0.15">
      <c r="A578" t="s">
        <v>72</v>
      </c>
      <c r="B578" t="s">
        <v>11469</v>
      </c>
      <c r="C578" t="s">
        <v>74</v>
      </c>
      <c r="D578" t="s">
        <v>74</v>
      </c>
      <c r="E578" t="s">
        <v>74</v>
      </c>
      <c r="F578" t="s">
        <v>11470</v>
      </c>
      <c r="G578" t="s">
        <v>74</v>
      </c>
      <c r="H578" t="s">
        <v>74</v>
      </c>
      <c r="I578" t="s">
        <v>11471</v>
      </c>
      <c r="J578" t="s">
        <v>425</v>
      </c>
      <c r="K578" t="s">
        <v>74</v>
      </c>
      <c r="L578" t="s">
        <v>74</v>
      </c>
      <c r="M578" t="s">
        <v>78</v>
      </c>
      <c r="N578" t="s">
        <v>79</v>
      </c>
      <c r="O578" t="s">
        <v>74</v>
      </c>
      <c r="P578" t="s">
        <v>74</v>
      </c>
      <c r="Q578" t="s">
        <v>74</v>
      </c>
      <c r="R578" t="s">
        <v>74</v>
      </c>
      <c r="S578" t="s">
        <v>74</v>
      </c>
      <c r="T578" t="s">
        <v>11472</v>
      </c>
      <c r="U578" t="s">
        <v>11473</v>
      </c>
      <c r="V578" t="s">
        <v>11474</v>
      </c>
      <c r="W578" t="s">
        <v>11475</v>
      </c>
      <c r="X578" t="s">
        <v>11476</v>
      </c>
      <c r="Y578" t="s">
        <v>11477</v>
      </c>
      <c r="Z578" t="s">
        <v>11478</v>
      </c>
      <c r="AA578" t="s">
        <v>74</v>
      </c>
      <c r="AB578" t="s">
        <v>11479</v>
      </c>
      <c r="AC578" t="s">
        <v>2102</v>
      </c>
      <c r="AD578" t="s">
        <v>2103</v>
      </c>
      <c r="AE578" t="s">
        <v>11480</v>
      </c>
      <c r="AF578" t="s">
        <v>74</v>
      </c>
      <c r="AG578">
        <v>30</v>
      </c>
      <c r="AH578">
        <v>3</v>
      </c>
      <c r="AI578">
        <v>5</v>
      </c>
      <c r="AJ578">
        <v>2</v>
      </c>
      <c r="AK578">
        <v>5</v>
      </c>
      <c r="AL578" t="s">
        <v>335</v>
      </c>
      <c r="AM578" t="s">
        <v>336</v>
      </c>
      <c r="AN578" t="s">
        <v>337</v>
      </c>
      <c r="AO578" t="s">
        <v>74</v>
      </c>
      <c r="AP578" t="s">
        <v>438</v>
      </c>
      <c r="AQ578" t="s">
        <v>74</v>
      </c>
      <c r="AR578" t="s">
        <v>439</v>
      </c>
      <c r="AS578" t="s">
        <v>440</v>
      </c>
      <c r="AT578" t="s">
        <v>1809</v>
      </c>
      <c r="AU578">
        <v>2021</v>
      </c>
      <c r="AV578">
        <v>13</v>
      </c>
      <c r="AW578">
        <v>5</v>
      </c>
      <c r="AX578" t="s">
        <v>74</v>
      </c>
      <c r="AY578" t="s">
        <v>74</v>
      </c>
      <c r="AZ578" t="s">
        <v>74</v>
      </c>
      <c r="BA578" t="s">
        <v>74</v>
      </c>
      <c r="BB578" t="s">
        <v>74</v>
      </c>
      <c r="BC578" t="s">
        <v>74</v>
      </c>
      <c r="BD578">
        <v>997</v>
      </c>
      <c r="BE578" t="s">
        <v>11481</v>
      </c>
      <c r="BF578" t="str">
        <f>HYPERLINK("http://dx.doi.org/10.3390/rs13050997","http://dx.doi.org/10.3390/rs13050997")</f>
        <v>http://dx.doi.org/10.3390/rs13050997</v>
      </c>
      <c r="BG578" t="s">
        <v>74</v>
      </c>
      <c r="BH578" t="s">
        <v>74</v>
      </c>
      <c r="BI578">
        <v>14</v>
      </c>
      <c r="BJ578" t="s">
        <v>442</v>
      </c>
      <c r="BK578" t="s">
        <v>101</v>
      </c>
      <c r="BL578" t="s">
        <v>443</v>
      </c>
      <c r="BM578" t="s">
        <v>11482</v>
      </c>
      <c r="BN578" t="s">
        <v>74</v>
      </c>
      <c r="BO578" t="s">
        <v>317</v>
      </c>
      <c r="BP578" t="s">
        <v>74</v>
      </c>
      <c r="BQ578" t="s">
        <v>74</v>
      </c>
      <c r="BR578" t="s">
        <v>104</v>
      </c>
      <c r="BS578" t="s">
        <v>11483</v>
      </c>
      <c r="BT578" t="str">
        <f>HYPERLINK("https%3A%2F%2Fwww.webofscience.com%2Fwos%2Fwoscc%2Ffull-record%2FWOS:000628494000001","View Full Record in Web of Science")</f>
        <v>View Full Record in Web of Science</v>
      </c>
    </row>
    <row r="579" spans="1:72" x14ac:dyDescent="0.15">
      <c r="A579" t="s">
        <v>72</v>
      </c>
      <c r="B579" t="s">
        <v>11484</v>
      </c>
      <c r="C579" t="s">
        <v>74</v>
      </c>
      <c r="D579" t="s">
        <v>74</v>
      </c>
      <c r="E579" t="s">
        <v>74</v>
      </c>
      <c r="F579" t="s">
        <v>11485</v>
      </c>
      <c r="G579" t="s">
        <v>74</v>
      </c>
      <c r="H579" t="s">
        <v>74</v>
      </c>
      <c r="I579" t="s">
        <v>11486</v>
      </c>
      <c r="J579" t="s">
        <v>11487</v>
      </c>
      <c r="K579" t="s">
        <v>74</v>
      </c>
      <c r="L579" t="s">
        <v>74</v>
      </c>
      <c r="M579" t="s">
        <v>78</v>
      </c>
      <c r="N579" t="s">
        <v>79</v>
      </c>
      <c r="O579" t="s">
        <v>74</v>
      </c>
      <c r="P579" t="s">
        <v>74</v>
      </c>
      <c r="Q579" t="s">
        <v>74</v>
      </c>
      <c r="R579" t="s">
        <v>74</v>
      </c>
      <c r="S579" t="s">
        <v>74</v>
      </c>
      <c r="T579" t="s">
        <v>11488</v>
      </c>
      <c r="U579" t="s">
        <v>11489</v>
      </c>
      <c r="V579" t="s">
        <v>11490</v>
      </c>
      <c r="W579" t="s">
        <v>11491</v>
      </c>
      <c r="X579" t="s">
        <v>11492</v>
      </c>
      <c r="Y579" t="s">
        <v>11493</v>
      </c>
      <c r="Z579" t="s">
        <v>11494</v>
      </c>
      <c r="AA579" t="s">
        <v>74</v>
      </c>
      <c r="AB579" t="s">
        <v>11495</v>
      </c>
      <c r="AC579" t="s">
        <v>11496</v>
      </c>
      <c r="AD579" t="s">
        <v>11497</v>
      </c>
      <c r="AE579" t="s">
        <v>11498</v>
      </c>
      <c r="AF579" t="s">
        <v>74</v>
      </c>
      <c r="AG579">
        <v>31</v>
      </c>
      <c r="AH579">
        <v>26</v>
      </c>
      <c r="AI579">
        <v>33</v>
      </c>
      <c r="AJ579">
        <v>59</v>
      </c>
      <c r="AK579">
        <v>254</v>
      </c>
      <c r="AL579" t="s">
        <v>335</v>
      </c>
      <c r="AM579" t="s">
        <v>336</v>
      </c>
      <c r="AN579" t="s">
        <v>337</v>
      </c>
      <c r="AO579" t="s">
        <v>74</v>
      </c>
      <c r="AP579" t="s">
        <v>11499</v>
      </c>
      <c r="AQ579" t="s">
        <v>74</v>
      </c>
      <c r="AR579" t="s">
        <v>11500</v>
      </c>
      <c r="AS579" t="s">
        <v>11501</v>
      </c>
      <c r="AT579" t="s">
        <v>1809</v>
      </c>
      <c r="AU579">
        <v>2021</v>
      </c>
      <c r="AV579">
        <v>21</v>
      </c>
      <c r="AW579">
        <v>5</v>
      </c>
      <c r="AX579" t="s">
        <v>74</v>
      </c>
      <c r="AY579" t="s">
        <v>74</v>
      </c>
      <c r="AZ579" t="s">
        <v>74</v>
      </c>
      <c r="BA579" t="s">
        <v>74</v>
      </c>
      <c r="BB579" t="s">
        <v>74</v>
      </c>
      <c r="BC579" t="s">
        <v>74</v>
      </c>
      <c r="BD579">
        <v>1722</v>
      </c>
      <c r="BE579" t="s">
        <v>11502</v>
      </c>
      <c r="BF579" t="str">
        <f>HYPERLINK("http://dx.doi.org/10.3390/s21051722","http://dx.doi.org/10.3390/s21051722")</f>
        <v>http://dx.doi.org/10.3390/s21051722</v>
      </c>
      <c r="BG579" t="s">
        <v>74</v>
      </c>
      <c r="BH579" t="s">
        <v>74</v>
      </c>
      <c r="BI579">
        <v>10</v>
      </c>
      <c r="BJ579" t="s">
        <v>11503</v>
      </c>
      <c r="BK579" t="s">
        <v>101</v>
      </c>
      <c r="BL579" t="s">
        <v>11504</v>
      </c>
      <c r="BM579" t="s">
        <v>11505</v>
      </c>
      <c r="BN579">
        <v>33801410</v>
      </c>
      <c r="BO579" t="s">
        <v>558</v>
      </c>
      <c r="BP579" t="s">
        <v>74</v>
      </c>
      <c r="BQ579" t="s">
        <v>74</v>
      </c>
      <c r="BR579" t="s">
        <v>104</v>
      </c>
      <c r="BS579" t="s">
        <v>11506</v>
      </c>
      <c r="BT579" t="str">
        <f>HYPERLINK("https%3A%2F%2Fwww.webofscience.com%2Fwos%2Fwoscc%2Ffull-record%2FWOS:000628636500001","View Full Record in Web of Science")</f>
        <v>View Full Record in Web of Science</v>
      </c>
    </row>
    <row r="580" spans="1:72" x14ac:dyDescent="0.15">
      <c r="A580" t="s">
        <v>72</v>
      </c>
      <c r="B580" t="s">
        <v>11507</v>
      </c>
      <c r="C580" t="s">
        <v>74</v>
      </c>
      <c r="D580" t="s">
        <v>74</v>
      </c>
      <c r="E580" t="s">
        <v>74</v>
      </c>
      <c r="F580" t="s">
        <v>11508</v>
      </c>
      <c r="G580" t="s">
        <v>74</v>
      </c>
      <c r="H580" t="s">
        <v>74</v>
      </c>
      <c r="I580" t="s">
        <v>11509</v>
      </c>
      <c r="J580" t="s">
        <v>11510</v>
      </c>
      <c r="K580" t="s">
        <v>74</v>
      </c>
      <c r="L580" t="s">
        <v>74</v>
      </c>
      <c r="M580" t="s">
        <v>78</v>
      </c>
      <c r="N580" t="s">
        <v>79</v>
      </c>
      <c r="O580" t="s">
        <v>74</v>
      </c>
      <c r="P580" t="s">
        <v>74</v>
      </c>
      <c r="Q580" t="s">
        <v>74</v>
      </c>
      <c r="R580" t="s">
        <v>74</v>
      </c>
      <c r="S580" t="s">
        <v>74</v>
      </c>
      <c r="T580" t="s">
        <v>11511</v>
      </c>
      <c r="U580" t="s">
        <v>11512</v>
      </c>
      <c r="V580" t="s">
        <v>11513</v>
      </c>
      <c r="W580" t="s">
        <v>11514</v>
      </c>
      <c r="X580" t="s">
        <v>11515</v>
      </c>
      <c r="Y580" t="s">
        <v>11516</v>
      </c>
      <c r="Z580" t="s">
        <v>11517</v>
      </c>
      <c r="AA580" t="s">
        <v>11518</v>
      </c>
      <c r="AB580" t="s">
        <v>11519</v>
      </c>
      <c r="AC580" t="s">
        <v>11520</v>
      </c>
      <c r="AD580" t="s">
        <v>11521</v>
      </c>
      <c r="AE580" t="s">
        <v>11522</v>
      </c>
      <c r="AF580" t="s">
        <v>74</v>
      </c>
      <c r="AG580">
        <v>56</v>
      </c>
      <c r="AH580">
        <v>8</v>
      </c>
      <c r="AI580">
        <v>8</v>
      </c>
      <c r="AJ580">
        <v>4</v>
      </c>
      <c r="AK580">
        <v>18</v>
      </c>
      <c r="AL580" t="s">
        <v>335</v>
      </c>
      <c r="AM580" t="s">
        <v>336</v>
      </c>
      <c r="AN580" t="s">
        <v>337</v>
      </c>
      <c r="AO580" t="s">
        <v>74</v>
      </c>
      <c r="AP580" t="s">
        <v>11523</v>
      </c>
      <c r="AQ580" t="s">
        <v>74</v>
      </c>
      <c r="AR580" t="s">
        <v>11524</v>
      </c>
      <c r="AS580" t="s">
        <v>11525</v>
      </c>
      <c r="AT580" t="s">
        <v>1809</v>
      </c>
      <c r="AU580">
        <v>2021</v>
      </c>
      <c r="AV580">
        <v>10</v>
      </c>
      <c r="AW580">
        <v>3</v>
      </c>
      <c r="AX580" t="s">
        <v>74</v>
      </c>
      <c r="AY580" t="s">
        <v>74</v>
      </c>
      <c r="AZ580" t="s">
        <v>74</v>
      </c>
      <c r="BA580" t="s">
        <v>74</v>
      </c>
      <c r="BB580" t="s">
        <v>74</v>
      </c>
      <c r="BC580" t="s">
        <v>74</v>
      </c>
      <c r="BD580">
        <v>410</v>
      </c>
      <c r="BE580" t="s">
        <v>11526</v>
      </c>
      <c r="BF580" t="str">
        <f>HYPERLINK("http://dx.doi.org/10.3390/antiox10030410","http://dx.doi.org/10.3390/antiox10030410")</f>
        <v>http://dx.doi.org/10.3390/antiox10030410</v>
      </c>
      <c r="BG580" t="s">
        <v>74</v>
      </c>
      <c r="BH580" t="s">
        <v>74</v>
      </c>
      <c r="BI580">
        <v>13</v>
      </c>
      <c r="BJ580" t="s">
        <v>11527</v>
      </c>
      <c r="BK580" t="s">
        <v>101</v>
      </c>
      <c r="BL580" t="s">
        <v>11528</v>
      </c>
      <c r="BM580" t="s">
        <v>11529</v>
      </c>
      <c r="BN580">
        <v>33803125</v>
      </c>
      <c r="BO580" t="s">
        <v>558</v>
      </c>
      <c r="BP580" t="s">
        <v>74</v>
      </c>
      <c r="BQ580" t="s">
        <v>74</v>
      </c>
      <c r="BR580" t="s">
        <v>104</v>
      </c>
      <c r="BS580" t="s">
        <v>11530</v>
      </c>
      <c r="BT580" t="str">
        <f>HYPERLINK("https%3A%2F%2Fwww.webofscience.com%2Fwos%2Fwoscc%2Ffull-record%2FWOS:000633345200001","View Full Record in Web of Science")</f>
        <v>View Full Record in Web of Science</v>
      </c>
    </row>
    <row r="581" spans="1:72" x14ac:dyDescent="0.15">
      <c r="A581" t="s">
        <v>72</v>
      </c>
      <c r="B581" t="s">
        <v>11531</v>
      </c>
      <c r="C581" t="s">
        <v>74</v>
      </c>
      <c r="D581" t="s">
        <v>74</v>
      </c>
      <c r="E581" t="s">
        <v>74</v>
      </c>
      <c r="F581" t="s">
        <v>11532</v>
      </c>
      <c r="G581" t="s">
        <v>74</v>
      </c>
      <c r="H581" t="s">
        <v>74</v>
      </c>
      <c r="I581" t="s">
        <v>11533</v>
      </c>
      <c r="J581" t="s">
        <v>11102</v>
      </c>
      <c r="K581" t="s">
        <v>74</v>
      </c>
      <c r="L581" t="s">
        <v>74</v>
      </c>
      <c r="M581" t="s">
        <v>78</v>
      </c>
      <c r="N581" t="s">
        <v>79</v>
      </c>
      <c r="O581" t="s">
        <v>74</v>
      </c>
      <c r="P581" t="s">
        <v>74</v>
      </c>
      <c r="Q581" t="s">
        <v>74</v>
      </c>
      <c r="R581" t="s">
        <v>74</v>
      </c>
      <c r="S581" t="s">
        <v>74</v>
      </c>
      <c r="T581" t="s">
        <v>11534</v>
      </c>
      <c r="U581" t="s">
        <v>74</v>
      </c>
      <c r="V581" t="s">
        <v>11535</v>
      </c>
      <c r="W581" t="s">
        <v>11536</v>
      </c>
      <c r="X581" t="s">
        <v>11537</v>
      </c>
      <c r="Y581" t="s">
        <v>11538</v>
      </c>
      <c r="Z581" t="s">
        <v>11539</v>
      </c>
      <c r="AA581" t="s">
        <v>74</v>
      </c>
      <c r="AB581" t="s">
        <v>11540</v>
      </c>
      <c r="AC581" t="s">
        <v>11541</v>
      </c>
      <c r="AD581" t="s">
        <v>11542</v>
      </c>
      <c r="AE581" t="s">
        <v>11543</v>
      </c>
      <c r="AF581" t="s">
        <v>74</v>
      </c>
      <c r="AG581">
        <v>39</v>
      </c>
      <c r="AH581">
        <v>14</v>
      </c>
      <c r="AI581">
        <v>16</v>
      </c>
      <c r="AJ581">
        <v>9</v>
      </c>
      <c r="AK581">
        <v>51</v>
      </c>
      <c r="AL581" t="s">
        <v>335</v>
      </c>
      <c r="AM581" t="s">
        <v>336</v>
      </c>
      <c r="AN581" t="s">
        <v>337</v>
      </c>
      <c r="AO581" t="s">
        <v>74</v>
      </c>
      <c r="AP581" t="s">
        <v>11115</v>
      </c>
      <c r="AQ581" t="s">
        <v>74</v>
      </c>
      <c r="AR581" t="s">
        <v>11116</v>
      </c>
      <c r="AS581" t="s">
        <v>11117</v>
      </c>
      <c r="AT581" t="s">
        <v>1809</v>
      </c>
      <c r="AU581">
        <v>2021</v>
      </c>
      <c r="AV581">
        <v>19</v>
      </c>
      <c r="AW581">
        <v>3</v>
      </c>
      <c r="AX581" t="s">
        <v>74</v>
      </c>
      <c r="AY581" t="s">
        <v>74</v>
      </c>
      <c r="AZ581" t="s">
        <v>74</v>
      </c>
      <c r="BA581" t="s">
        <v>74</v>
      </c>
      <c r="BB581" t="s">
        <v>74</v>
      </c>
      <c r="BC581" t="s">
        <v>74</v>
      </c>
      <c r="BD581">
        <v>124</v>
      </c>
      <c r="BE581" t="s">
        <v>11544</v>
      </c>
      <c r="BF581" t="str">
        <f>HYPERLINK("http://dx.doi.org/10.3390/md19030124","http://dx.doi.org/10.3390/md19030124")</f>
        <v>http://dx.doi.org/10.3390/md19030124</v>
      </c>
      <c r="BG581" t="s">
        <v>74</v>
      </c>
      <c r="BH581" t="s">
        <v>74</v>
      </c>
      <c r="BI581">
        <v>15</v>
      </c>
      <c r="BJ581" t="s">
        <v>11119</v>
      </c>
      <c r="BK581" t="s">
        <v>101</v>
      </c>
      <c r="BL581" t="s">
        <v>11120</v>
      </c>
      <c r="BM581" t="s">
        <v>11545</v>
      </c>
      <c r="BN581">
        <v>33669109</v>
      </c>
      <c r="BO581" t="s">
        <v>298</v>
      </c>
      <c r="BP581" t="s">
        <v>74</v>
      </c>
      <c r="BQ581" t="s">
        <v>74</v>
      </c>
      <c r="BR581" t="s">
        <v>104</v>
      </c>
      <c r="BS581" t="s">
        <v>11546</v>
      </c>
      <c r="BT581" t="str">
        <f>HYPERLINK("https%3A%2F%2Fwww.webofscience.com%2Fwos%2Fwoscc%2Ffull-record%2FWOS:000633818000001","View Full Record in Web of Science")</f>
        <v>View Full Record in Web of Science</v>
      </c>
    </row>
    <row r="582" spans="1:72" x14ac:dyDescent="0.15">
      <c r="A582" t="s">
        <v>72</v>
      </c>
      <c r="B582" t="s">
        <v>11547</v>
      </c>
      <c r="C582" t="s">
        <v>74</v>
      </c>
      <c r="D582" t="s">
        <v>74</v>
      </c>
      <c r="E582" t="s">
        <v>74</v>
      </c>
      <c r="F582" t="s">
        <v>11548</v>
      </c>
      <c r="G582" t="s">
        <v>74</v>
      </c>
      <c r="H582" t="s">
        <v>74</v>
      </c>
      <c r="I582" t="s">
        <v>11549</v>
      </c>
      <c r="J582" t="s">
        <v>11550</v>
      </c>
      <c r="K582" t="s">
        <v>74</v>
      </c>
      <c r="L582" t="s">
        <v>74</v>
      </c>
      <c r="M582" t="s">
        <v>78</v>
      </c>
      <c r="N582" t="s">
        <v>79</v>
      </c>
      <c r="O582" t="s">
        <v>74</v>
      </c>
      <c r="P582" t="s">
        <v>74</v>
      </c>
      <c r="Q582" t="s">
        <v>74</v>
      </c>
      <c r="R582" t="s">
        <v>74</v>
      </c>
      <c r="S582" t="s">
        <v>74</v>
      </c>
      <c r="T582" t="s">
        <v>11551</v>
      </c>
      <c r="U582" t="s">
        <v>74</v>
      </c>
      <c r="V582" t="s">
        <v>11552</v>
      </c>
      <c r="W582" t="s">
        <v>11553</v>
      </c>
      <c r="X582" t="s">
        <v>11554</v>
      </c>
      <c r="Y582" t="s">
        <v>11555</v>
      </c>
      <c r="Z582" t="s">
        <v>11556</v>
      </c>
      <c r="AA582" t="s">
        <v>11557</v>
      </c>
      <c r="AB582" t="s">
        <v>11558</v>
      </c>
      <c r="AC582" t="s">
        <v>11559</v>
      </c>
      <c r="AD582" t="s">
        <v>11560</v>
      </c>
      <c r="AE582" t="s">
        <v>11561</v>
      </c>
      <c r="AF582" t="s">
        <v>74</v>
      </c>
      <c r="AG582">
        <v>24</v>
      </c>
      <c r="AH582">
        <v>4</v>
      </c>
      <c r="AI582">
        <v>5</v>
      </c>
      <c r="AJ582">
        <v>3</v>
      </c>
      <c r="AK582">
        <v>6</v>
      </c>
      <c r="AL582" t="s">
        <v>335</v>
      </c>
      <c r="AM582" t="s">
        <v>336</v>
      </c>
      <c r="AN582" t="s">
        <v>337</v>
      </c>
      <c r="AO582" t="s">
        <v>74</v>
      </c>
      <c r="AP582" t="s">
        <v>11562</v>
      </c>
      <c r="AQ582" t="s">
        <v>74</v>
      </c>
      <c r="AR582" t="s">
        <v>11563</v>
      </c>
      <c r="AS582" t="s">
        <v>11564</v>
      </c>
      <c r="AT582" t="s">
        <v>1809</v>
      </c>
      <c r="AU582">
        <v>2021</v>
      </c>
      <c r="AV582">
        <v>13</v>
      </c>
      <c r="AW582">
        <v>5</v>
      </c>
      <c r="AX582" t="s">
        <v>74</v>
      </c>
      <c r="AY582" t="s">
        <v>74</v>
      </c>
      <c r="AZ582" t="s">
        <v>74</v>
      </c>
      <c r="BA582" t="s">
        <v>74</v>
      </c>
      <c r="BB582" t="s">
        <v>74</v>
      </c>
      <c r="BC582" t="s">
        <v>74</v>
      </c>
      <c r="BD582">
        <v>731</v>
      </c>
      <c r="BE582" t="s">
        <v>11565</v>
      </c>
      <c r="BF582" t="str">
        <f>HYPERLINK("http://dx.doi.org/10.3390/w13050731","http://dx.doi.org/10.3390/w13050731")</f>
        <v>http://dx.doi.org/10.3390/w13050731</v>
      </c>
      <c r="BG582" t="s">
        <v>74</v>
      </c>
      <c r="BH582" t="s">
        <v>74</v>
      </c>
      <c r="BI582">
        <v>17</v>
      </c>
      <c r="BJ582" t="s">
        <v>11566</v>
      </c>
      <c r="BK582" t="s">
        <v>101</v>
      </c>
      <c r="BL582" t="s">
        <v>11567</v>
      </c>
      <c r="BM582" t="s">
        <v>11568</v>
      </c>
      <c r="BN582" t="s">
        <v>74</v>
      </c>
      <c r="BO582" t="s">
        <v>317</v>
      </c>
      <c r="BP582" t="s">
        <v>74</v>
      </c>
      <c r="BQ582" t="s">
        <v>74</v>
      </c>
      <c r="BR582" t="s">
        <v>104</v>
      </c>
      <c r="BS582" t="s">
        <v>11569</v>
      </c>
      <c r="BT582" t="str">
        <f>HYPERLINK("https%3A%2F%2Fwww.webofscience.com%2Fwos%2Fwoscc%2Ffull-record%2FWOS:000628583000001","View Full Record in Web of Science")</f>
        <v>View Full Record in Web of Science</v>
      </c>
    </row>
    <row r="583" spans="1:72" x14ac:dyDescent="0.15">
      <c r="A583" t="s">
        <v>72</v>
      </c>
      <c r="B583" t="s">
        <v>11570</v>
      </c>
      <c r="C583" t="s">
        <v>74</v>
      </c>
      <c r="D583" t="s">
        <v>74</v>
      </c>
      <c r="E583" t="s">
        <v>74</v>
      </c>
      <c r="F583" t="s">
        <v>11571</v>
      </c>
      <c r="G583" t="s">
        <v>74</v>
      </c>
      <c r="H583" t="s">
        <v>74</v>
      </c>
      <c r="I583" t="s">
        <v>11572</v>
      </c>
      <c r="J583" t="s">
        <v>1761</v>
      </c>
      <c r="K583" t="s">
        <v>74</v>
      </c>
      <c r="L583" t="s">
        <v>74</v>
      </c>
      <c r="M583" t="s">
        <v>78</v>
      </c>
      <c r="N583" t="s">
        <v>79</v>
      </c>
      <c r="O583" t="s">
        <v>74</v>
      </c>
      <c r="P583" t="s">
        <v>74</v>
      </c>
      <c r="Q583" t="s">
        <v>74</v>
      </c>
      <c r="R583" t="s">
        <v>74</v>
      </c>
      <c r="S583" t="s">
        <v>74</v>
      </c>
      <c r="T583" t="s">
        <v>74</v>
      </c>
      <c r="U583" t="s">
        <v>11573</v>
      </c>
      <c r="V583" t="s">
        <v>11574</v>
      </c>
      <c r="W583" t="s">
        <v>11575</v>
      </c>
      <c r="X583" t="s">
        <v>11576</v>
      </c>
      <c r="Y583" t="s">
        <v>11577</v>
      </c>
      <c r="Z583" t="s">
        <v>11578</v>
      </c>
      <c r="AA583" t="s">
        <v>11579</v>
      </c>
      <c r="AB583" t="s">
        <v>11580</v>
      </c>
      <c r="AC583" t="s">
        <v>11581</v>
      </c>
      <c r="AD583" t="s">
        <v>11582</v>
      </c>
      <c r="AE583" t="s">
        <v>11583</v>
      </c>
      <c r="AF583" t="s">
        <v>74</v>
      </c>
      <c r="AG583">
        <v>64</v>
      </c>
      <c r="AH583">
        <v>20</v>
      </c>
      <c r="AI583">
        <v>22</v>
      </c>
      <c r="AJ583">
        <v>2</v>
      </c>
      <c r="AK583">
        <v>17</v>
      </c>
      <c r="AL583" t="s">
        <v>1269</v>
      </c>
      <c r="AM583" t="s">
        <v>1270</v>
      </c>
      <c r="AN583" t="s">
        <v>1271</v>
      </c>
      <c r="AO583" t="s">
        <v>1773</v>
      </c>
      <c r="AP583" t="s">
        <v>1774</v>
      </c>
      <c r="AQ583" t="s">
        <v>74</v>
      </c>
      <c r="AR583" t="s">
        <v>1761</v>
      </c>
      <c r="AS583" t="s">
        <v>1775</v>
      </c>
      <c r="AT583" t="s">
        <v>11445</v>
      </c>
      <c r="AU583">
        <v>2021</v>
      </c>
      <c r="AV583">
        <v>15</v>
      </c>
      <c r="AW583">
        <v>2</v>
      </c>
      <c r="AX583" t="s">
        <v>74</v>
      </c>
      <c r="AY583" t="s">
        <v>74</v>
      </c>
      <c r="AZ583" t="s">
        <v>74</v>
      </c>
      <c r="BA583" t="s">
        <v>74</v>
      </c>
      <c r="BB583">
        <v>1065</v>
      </c>
      <c r="BC583">
        <v>1085</v>
      </c>
      <c r="BD583" t="s">
        <v>74</v>
      </c>
      <c r="BE583" t="s">
        <v>11584</v>
      </c>
      <c r="BF583" t="str">
        <f>HYPERLINK("http://dx.doi.org/10.5194/tc-15-1065-2021","http://dx.doi.org/10.5194/tc-15-1065-2021")</f>
        <v>http://dx.doi.org/10.5194/tc-15-1065-2021</v>
      </c>
      <c r="BG583" t="s">
        <v>74</v>
      </c>
      <c r="BH583" t="s">
        <v>74</v>
      </c>
      <c r="BI583">
        <v>21</v>
      </c>
      <c r="BJ583" t="s">
        <v>1685</v>
      </c>
      <c r="BK583" t="s">
        <v>101</v>
      </c>
      <c r="BL583" t="s">
        <v>1686</v>
      </c>
      <c r="BM583" t="s">
        <v>11585</v>
      </c>
      <c r="BN583" t="s">
        <v>74</v>
      </c>
      <c r="BO583" t="s">
        <v>1280</v>
      </c>
      <c r="BP583" t="s">
        <v>74</v>
      </c>
      <c r="BQ583" t="s">
        <v>74</v>
      </c>
      <c r="BR583" t="s">
        <v>104</v>
      </c>
      <c r="BS583" t="s">
        <v>11586</v>
      </c>
      <c r="BT583" t="str">
        <f>HYPERLINK("https%3A%2F%2Fwww.webofscience.com%2Fwos%2Fwoscc%2Ffull-record%2FWOS:000625879400001","View Full Record in Web of Science")</f>
        <v>View Full Record in Web of Science</v>
      </c>
    </row>
    <row r="584" spans="1:72" x14ac:dyDescent="0.15">
      <c r="A584" t="s">
        <v>72</v>
      </c>
      <c r="B584" t="s">
        <v>11587</v>
      </c>
      <c r="C584" t="s">
        <v>74</v>
      </c>
      <c r="D584" t="s">
        <v>74</v>
      </c>
      <c r="E584" t="s">
        <v>74</v>
      </c>
      <c r="F584" t="s">
        <v>11588</v>
      </c>
      <c r="G584" t="s">
        <v>74</v>
      </c>
      <c r="H584" t="s">
        <v>74</v>
      </c>
      <c r="I584" t="s">
        <v>11589</v>
      </c>
      <c r="J584" t="s">
        <v>1761</v>
      </c>
      <c r="K584" t="s">
        <v>74</v>
      </c>
      <c r="L584" t="s">
        <v>74</v>
      </c>
      <c r="M584" t="s">
        <v>78</v>
      </c>
      <c r="N584" t="s">
        <v>79</v>
      </c>
      <c r="O584" t="s">
        <v>74</v>
      </c>
      <c r="P584" t="s">
        <v>74</v>
      </c>
      <c r="Q584" t="s">
        <v>74</v>
      </c>
      <c r="R584" t="s">
        <v>74</v>
      </c>
      <c r="S584" t="s">
        <v>74</v>
      </c>
      <c r="T584" t="s">
        <v>74</v>
      </c>
      <c r="U584" t="s">
        <v>11590</v>
      </c>
      <c r="V584" t="s">
        <v>11591</v>
      </c>
      <c r="W584" t="s">
        <v>11592</v>
      </c>
      <c r="X584" t="s">
        <v>3544</v>
      </c>
      <c r="Y584" t="s">
        <v>11593</v>
      </c>
      <c r="Z584" t="s">
        <v>11594</v>
      </c>
      <c r="AA584" t="s">
        <v>11595</v>
      </c>
      <c r="AB584" t="s">
        <v>11596</v>
      </c>
      <c r="AC584" t="s">
        <v>11597</v>
      </c>
      <c r="AD584" t="s">
        <v>10674</v>
      </c>
      <c r="AE584" t="s">
        <v>11598</v>
      </c>
      <c r="AF584" t="s">
        <v>74</v>
      </c>
      <c r="AG584">
        <v>42</v>
      </c>
      <c r="AH584">
        <v>3</v>
      </c>
      <c r="AI584">
        <v>3</v>
      </c>
      <c r="AJ584">
        <v>0</v>
      </c>
      <c r="AK584">
        <v>23</v>
      </c>
      <c r="AL584" t="s">
        <v>1269</v>
      </c>
      <c r="AM584" t="s">
        <v>1270</v>
      </c>
      <c r="AN584" t="s">
        <v>1271</v>
      </c>
      <c r="AO584" t="s">
        <v>1773</v>
      </c>
      <c r="AP584" t="s">
        <v>1774</v>
      </c>
      <c r="AQ584" t="s">
        <v>74</v>
      </c>
      <c r="AR584" t="s">
        <v>1761</v>
      </c>
      <c r="AS584" t="s">
        <v>1775</v>
      </c>
      <c r="AT584" t="s">
        <v>11445</v>
      </c>
      <c r="AU584">
        <v>2021</v>
      </c>
      <c r="AV584">
        <v>15</v>
      </c>
      <c r="AW584">
        <v>2</v>
      </c>
      <c r="AX584" t="s">
        <v>74</v>
      </c>
      <c r="AY584" t="s">
        <v>74</v>
      </c>
      <c r="AZ584" t="s">
        <v>74</v>
      </c>
      <c r="BA584" t="s">
        <v>74</v>
      </c>
      <c r="BB584">
        <v>1087</v>
      </c>
      <c r="BC584">
        <v>1095</v>
      </c>
      <c r="BD584" t="s">
        <v>74</v>
      </c>
      <c r="BE584" t="s">
        <v>11599</v>
      </c>
      <c r="BF584" t="str">
        <f>HYPERLINK("http://dx.doi.org/10.5194/tc-15-1087-2021","http://dx.doi.org/10.5194/tc-15-1087-2021")</f>
        <v>http://dx.doi.org/10.5194/tc-15-1087-2021</v>
      </c>
      <c r="BG584" t="s">
        <v>74</v>
      </c>
      <c r="BH584" t="s">
        <v>74</v>
      </c>
      <c r="BI584">
        <v>9</v>
      </c>
      <c r="BJ584" t="s">
        <v>1685</v>
      </c>
      <c r="BK584" t="s">
        <v>101</v>
      </c>
      <c r="BL584" t="s">
        <v>1686</v>
      </c>
      <c r="BM584" t="s">
        <v>11585</v>
      </c>
      <c r="BN584" t="s">
        <v>74</v>
      </c>
      <c r="BO584" t="s">
        <v>1280</v>
      </c>
      <c r="BP584" t="s">
        <v>74</v>
      </c>
      <c r="BQ584" t="s">
        <v>74</v>
      </c>
      <c r="BR584" t="s">
        <v>104</v>
      </c>
      <c r="BS584" t="s">
        <v>11600</v>
      </c>
      <c r="BT584" t="str">
        <f>HYPERLINK("https%3A%2F%2Fwww.webofscience.com%2Fwos%2Fwoscc%2Ffull-record%2FWOS:000625879400002","View Full Record in Web of Science")</f>
        <v>View Full Record in Web of Science</v>
      </c>
    </row>
    <row r="585" spans="1:72" x14ac:dyDescent="0.15">
      <c r="A585" t="s">
        <v>72</v>
      </c>
      <c r="B585" t="s">
        <v>11601</v>
      </c>
      <c r="C585" t="s">
        <v>74</v>
      </c>
      <c r="D585" t="s">
        <v>74</v>
      </c>
      <c r="E585" t="s">
        <v>74</v>
      </c>
      <c r="F585" t="s">
        <v>11602</v>
      </c>
      <c r="G585" t="s">
        <v>74</v>
      </c>
      <c r="H585" t="s">
        <v>74</v>
      </c>
      <c r="I585" t="s">
        <v>11603</v>
      </c>
      <c r="J585" t="s">
        <v>11604</v>
      </c>
      <c r="K585" t="s">
        <v>74</v>
      </c>
      <c r="L585" t="s">
        <v>74</v>
      </c>
      <c r="M585" t="s">
        <v>78</v>
      </c>
      <c r="N585" t="s">
        <v>79</v>
      </c>
      <c r="O585" t="s">
        <v>74</v>
      </c>
      <c r="P585" t="s">
        <v>74</v>
      </c>
      <c r="Q585" t="s">
        <v>74</v>
      </c>
      <c r="R585" t="s">
        <v>74</v>
      </c>
      <c r="S585" t="s">
        <v>74</v>
      </c>
      <c r="T585" t="s">
        <v>74</v>
      </c>
      <c r="U585" t="s">
        <v>11605</v>
      </c>
      <c r="V585" t="s">
        <v>11606</v>
      </c>
      <c r="W585" t="s">
        <v>11607</v>
      </c>
      <c r="X585" t="s">
        <v>11608</v>
      </c>
      <c r="Y585" t="s">
        <v>11609</v>
      </c>
      <c r="Z585" t="s">
        <v>74</v>
      </c>
      <c r="AA585" t="s">
        <v>11610</v>
      </c>
      <c r="AB585" t="s">
        <v>11611</v>
      </c>
      <c r="AC585" t="s">
        <v>11612</v>
      </c>
      <c r="AD585" t="s">
        <v>11613</v>
      </c>
      <c r="AE585" t="s">
        <v>11614</v>
      </c>
      <c r="AF585" t="s">
        <v>74</v>
      </c>
      <c r="AG585">
        <v>32</v>
      </c>
      <c r="AH585">
        <v>12</v>
      </c>
      <c r="AI585">
        <v>13</v>
      </c>
      <c r="AJ585">
        <v>1</v>
      </c>
      <c r="AK585">
        <v>9</v>
      </c>
      <c r="AL585" t="s">
        <v>90</v>
      </c>
      <c r="AM585" t="s">
        <v>91</v>
      </c>
      <c r="AN585" t="s">
        <v>92</v>
      </c>
      <c r="AO585" t="s">
        <v>11615</v>
      </c>
      <c r="AP585" t="s">
        <v>11616</v>
      </c>
      <c r="AQ585" t="s">
        <v>74</v>
      </c>
      <c r="AR585" t="s">
        <v>11604</v>
      </c>
      <c r="AS585" t="s">
        <v>102</v>
      </c>
      <c r="AT585" t="s">
        <v>11445</v>
      </c>
      <c r="AU585">
        <v>2021</v>
      </c>
      <c r="AV585">
        <v>49</v>
      </c>
      <c r="AW585">
        <v>3</v>
      </c>
      <c r="AX585" t="s">
        <v>74</v>
      </c>
      <c r="AY585" t="s">
        <v>74</v>
      </c>
      <c r="AZ585" t="s">
        <v>74</v>
      </c>
      <c r="BA585" t="s">
        <v>74</v>
      </c>
      <c r="BB585">
        <v>278</v>
      </c>
      <c r="BC585">
        <v>282</v>
      </c>
      <c r="BD585" t="s">
        <v>74</v>
      </c>
      <c r="BE585" t="s">
        <v>11617</v>
      </c>
      <c r="BF585" t="str">
        <f>HYPERLINK("http://dx.doi.org/10.1130/G48347.1","http://dx.doi.org/10.1130/G48347.1")</f>
        <v>http://dx.doi.org/10.1130/G48347.1</v>
      </c>
      <c r="BG585" t="s">
        <v>74</v>
      </c>
      <c r="BH585" t="s">
        <v>74</v>
      </c>
      <c r="BI585">
        <v>5</v>
      </c>
      <c r="BJ585" t="s">
        <v>102</v>
      </c>
      <c r="BK585" t="s">
        <v>101</v>
      </c>
      <c r="BL585" t="s">
        <v>102</v>
      </c>
      <c r="BM585" t="s">
        <v>11618</v>
      </c>
      <c r="BN585" t="s">
        <v>74</v>
      </c>
      <c r="BO585" t="s">
        <v>74</v>
      </c>
      <c r="BP585" t="s">
        <v>74</v>
      </c>
      <c r="BQ585" t="s">
        <v>74</v>
      </c>
      <c r="BR585" t="s">
        <v>104</v>
      </c>
      <c r="BS585" t="s">
        <v>11619</v>
      </c>
      <c r="BT585" t="str">
        <f>HYPERLINK("https%3A%2F%2Fwww.webofscience.com%2Fwos%2Fwoscc%2Ffull-record%2FWOS:000623882300009","View Full Record in Web of Science")</f>
        <v>View Full Record in Web of Science</v>
      </c>
    </row>
    <row r="586" spans="1:72" x14ac:dyDescent="0.15">
      <c r="A586" t="s">
        <v>72</v>
      </c>
      <c r="B586" t="s">
        <v>11620</v>
      </c>
      <c r="C586" t="s">
        <v>74</v>
      </c>
      <c r="D586" t="s">
        <v>74</v>
      </c>
      <c r="E586" t="s">
        <v>74</v>
      </c>
      <c r="F586" t="s">
        <v>11621</v>
      </c>
      <c r="G586" t="s">
        <v>74</v>
      </c>
      <c r="H586" t="s">
        <v>74</v>
      </c>
      <c r="I586" t="s">
        <v>11622</v>
      </c>
      <c r="J586" t="s">
        <v>1235</v>
      </c>
      <c r="K586" t="s">
        <v>74</v>
      </c>
      <c r="L586" t="s">
        <v>74</v>
      </c>
      <c r="M586" t="s">
        <v>78</v>
      </c>
      <c r="N586" t="s">
        <v>79</v>
      </c>
      <c r="O586" t="s">
        <v>74</v>
      </c>
      <c r="P586" t="s">
        <v>74</v>
      </c>
      <c r="Q586" t="s">
        <v>74</v>
      </c>
      <c r="R586" t="s">
        <v>74</v>
      </c>
      <c r="S586" t="s">
        <v>74</v>
      </c>
      <c r="T586" t="s">
        <v>11623</v>
      </c>
      <c r="U586" t="s">
        <v>11624</v>
      </c>
      <c r="V586" t="s">
        <v>11625</v>
      </c>
      <c r="W586" t="s">
        <v>11626</v>
      </c>
      <c r="X586" t="s">
        <v>11627</v>
      </c>
      <c r="Y586" t="s">
        <v>11628</v>
      </c>
      <c r="Z586" t="s">
        <v>11629</v>
      </c>
      <c r="AA586" t="s">
        <v>11630</v>
      </c>
      <c r="AB586" t="s">
        <v>11631</v>
      </c>
      <c r="AC586" t="s">
        <v>11632</v>
      </c>
      <c r="AD586" t="s">
        <v>11633</v>
      </c>
      <c r="AE586" t="s">
        <v>11634</v>
      </c>
      <c r="AF586" t="s">
        <v>74</v>
      </c>
      <c r="AG586">
        <v>81</v>
      </c>
      <c r="AH586">
        <v>6</v>
      </c>
      <c r="AI586">
        <v>7</v>
      </c>
      <c r="AJ586">
        <v>3</v>
      </c>
      <c r="AK586">
        <v>16</v>
      </c>
      <c r="AL586" t="s">
        <v>166</v>
      </c>
      <c r="AM586" t="s">
        <v>192</v>
      </c>
      <c r="AN586" t="s">
        <v>193</v>
      </c>
      <c r="AO586" t="s">
        <v>1248</v>
      </c>
      <c r="AP586" t="s">
        <v>1249</v>
      </c>
      <c r="AQ586" t="s">
        <v>74</v>
      </c>
      <c r="AR586" t="s">
        <v>1235</v>
      </c>
      <c r="AS586" t="s">
        <v>1250</v>
      </c>
      <c r="AT586" t="s">
        <v>127</v>
      </c>
      <c r="AU586">
        <v>2021</v>
      </c>
      <c r="AV586">
        <v>848</v>
      </c>
      <c r="AW586">
        <v>8</v>
      </c>
      <c r="AX586" t="s">
        <v>74</v>
      </c>
      <c r="AY586" t="s">
        <v>74</v>
      </c>
      <c r="AZ586" t="s">
        <v>74</v>
      </c>
      <c r="BA586" t="s">
        <v>74</v>
      </c>
      <c r="BB586">
        <v>1837</v>
      </c>
      <c r="BC586">
        <v>1857</v>
      </c>
      <c r="BD586" t="s">
        <v>74</v>
      </c>
      <c r="BE586" t="s">
        <v>11635</v>
      </c>
      <c r="BF586" t="str">
        <f>HYPERLINK("http://dx.doi.org/10.1007/s10750-021-04557-2","http://dx.doi.org/10.1007/s10750-021-04557-2")</f>
        <v>http://dx.doi.org/10.1007/s10750-021-04557-2</v>
      </c>
      <c r="BG586" t="s">
        <v>74</v>
      </c>
      <c r="BH586" t="s">
        <v>6407</v>
      </c>
      <c r="BI586">
        <v>21</v>
      </c>
      <c r="BJ586" t="s">
        <v>494</v>
      </c>
      <c r="BK586" t="s">
        <v>101</v>
      </c>
      <c r="BL586" t="s">
        <v>494</v>
      </c>
      <c r="BM586" t="s">
        <v>11636</v>
      </c>
      <c r="BN586" t="s">
        <v>74</v>
      </c>
      <c r="BO586" t="s">
        <v>496</v>
      </c>
      <c r="BP586" t="s">
        <v>74</v>
      </c>
      <c r="BQ586" t="s">
        <v>74</v>
      </c>
      <c r="BR586" t="s">
        <v>104</v>
      </c>
      <c r="BS586" t="s">
        <v>11637</v>
      </c>
      <c r="BT586" t="str">
        <f>HYPERLINK("https%3A%2F%2Fwww.webofscience.com%2Fwos%2Fwoscc%2Ffull-record%2FWOS:000623718100001","View Full Record in Web of Science")</f>
        <v>View Full Record in Web of Science</v>
      </c>
    </row>
    <row r="587" spans="1:72" x14ac:dyDescent="0.15">
      <c r="A587" t="s">
        <v>72</v>
      </c>
      <c r="B587" t="s">
        <v>11638</v>
      </c>
      <c r="C587" t="s">
        <v>74</v>
      </c>
      <c r="D587" t="s">
        <v>74</v>
      </c>
      <c r="E587" t="s">
        <v>74</v>
      </c>
      <c r="F587" t="s">
        <v>11639</v>
      </c>
      <c r="G587" t="s">
        <v>74</v>
      </c>
      <c r="H587" t="s">
        <v>74</v>
      </c>
      <c r="I587" t="s">
        <v>11640</v>
      </c>
      <c r="J587" t="s">
        <v>11487</v>
      </c>
      <c r="K587" t="s">
        <v>74</v>
      </c>
      <c r="L587" t="s">
        <v>74</v>
      </c>
      <c r="M587" t="s">
        <v>78</v>
      </c>
      <c r="N587" t="s">
        <v>79</v>
      </c>
      <c r="O587" t="s">
        <v>74</v>
      </c>
      <c r="P587" t="s">
        <v>74</v>
      </c>
      <c r="Q587" t="s">
        <v>74</v>
      </c>
      <c r="R587" t="s">
        <v>74</v>
      </c>
      <c r="S587" t="s">
        <v>74</v>
      </c>
      <c r="T587" t="s">
        <v>11641</v>
      </c>
      <c r="U587" t="s">
        <v>74</v>
      </c>
      <c r="V587" t="s">
        <v>11642</v>
      </c>
      <c r="W587" t="s">
        <v>11643</v>
      </c>
      <c r="X587" t="s">
        <v>11644</v>
      </c>
      <c r="Y587" t="s">
        <v>11645</v>
      </c>
      <c r="Z587" t="s">
        <v>11646</v>
      </c>
      <c r="AA587" t="s">
        <v>11647</v>
      </c>
      <c r="AB587" t="s">
        <v>11648</v>
      </c>
      <c r="AC587" t="s">
        <v>11649</v>
      </c>
      <c r="AD587" t="s">
        <v>11650</v>
      </c>
      <c r="AE587" t="s">
        <v>11651</v>
      </c>
      <c r="AF587" t="s">
        <v>74</v>
      </c>
      <c r="AG587">
        <v>21</v>
      </c>
      <c r="AH587">
        <v>2</v>
      </c>
      <c r="AI587">
        <v>2</v>
      </c>
      <c r="AJ587">
        <v>6</v>
      </c>
      <c r="AK587">
        <v>17</v>
      </c>
      <c r="AL587" t="s">
        <v>335</v>
      </c>
      <c r="AM587" t="s">
        <v>336</v>
      </c>
      <c r="AN587" t="s">
        <v>337</v>
      </c>
      <c r="AO587" t="s">
        <v>74</v>
      </c>
      <c r="AP587" t="s">
        <v>11499</v>
      </c>
      <c r="AQ587" t="s">
        <v>74</v>
      </c>
      <c r="AR587" t="s">
        <v>11500</v>
      </c>
      <c r="AS587" t="s">
        <v>11501</v>
      </c>
      <c r="AT587" t="s">
        <v>1809</v>
      </c>
      <c r="AU587">
        <v>2021</v>
      </c>
      <c r="AV587">
        <v>21</v>
      </c>
      <c r="AW587">
        <v>5</v>
      </c>
      <c r="AX587" t="s">
        <v>74</v>
      </c>
      <c r="AY587" t="s">
        <v>74</v>
      </c>
      <c r="AZ587" t="s">
        <v>74</v>
      </c>
      <c r="BA587" t="s">
        <v>74</v>
      </c>
      <c r="BB587" t="s">
        <v>74</v>
      </c>
      <c r="BC587" t="s">
        <v>74</v>
      </c>
      <c r="BD587">
        <v>1729</v>
      </c>
      <c r="BE587" t="s">
        <v>11652</v>
      </c>
      <c r="BF587" t="str">
        <f>HYPERLINK("http://dx.doi.org/10.3390/s21051729","http://dx.doi.org/10.3390/s21051729")</f>
        <v>http://dx.doi.org/10.3390/s21051729</v>
      </c>
      <c r="BG587" t="s">
        <v>74</v>
      </c>
      <c r="BH587" t="s">
        <v>74</v>
      </c>
      <c r="BI587">
        <v>10</v>
      </c>
      <c r="BJ587" t="s">
        <v>11503</v>
      </c>
      <c r="BK587" t="s">
        <v>101</v>
      </c>
      <c r="BL587" t="s">
        <v>11504</v>
      </c>
      <c r="BM587" t="s">
        <v>11653</v>
      </c>
      <c r="BN587">
        <v>33802271</v>
      </c>
      <c r="BO587" t="s">
        <v>558</v>
      </c>
      <c r="BP587" t="s">
        <v>74</v>
      </c>
      <c r="BQ587" t="s">
        <v>74</v>
      </c>
      <c r="BR587" t="s">
        <v>104</v>
      </c>
      <c r="BS587" t="s">
        <v>11654</v>
      </c>
      <c r="BT587" t="str">
        <f>HYPERLINK("https%3A%2F%2Fwww.webofscience.com%2Fwos%2Fwoscc%2Ffull-record%2FWOS:000628666200001","View Full Record in Web of Science")</f>
        <v>View Full Record in Web of Science</v>
      </c>
    </row>
    <row r="588" spans="1:72" x14ac:dyDescent="0.15">
      <c r="A588" t="s">
        <v>72</v>
      </c>
      <c r="B588" t="s">
        <v>11655</v>
      </c>
      <c r="C588" t="s">
        <v>74</v>
      </c>
      <c r="D588" t="s">
        <v>74</v>
      </c>
      <c r="E588" t="s">
        <v>74</v>
      </c>
      <c r="F588" t="s">
        <v>11656</v>
      </c>
      <c r="G588" t="s">
        <v>74</v>
      </c>
      <c r="H588" t="s">
        <v>74</v>
      </c>
      <c r="I588" t="s">
        <v>11657</v>
      </c>
      <c r="J588" t="s">
        <v>4013</v>
      </c>
      <c r="K588" t="s">
        <v>74</v>
      </c>
      <c r="L588" t="s">
        <v>74</v>
      </c>
      <c r="M588" t="s">
        <v>78</v>
      </c>
      <c r="N588" t="s">
        <v>79</v>
      </c>
      <c r="O588" t="s">
        <v>74</v>
      </c>
      <c r="P588" t="s">
        <v>74</v>
      </c>
      <c r="Q588" t="s">
        <v>74</v>
      </c>
      <c r="R588" t="s">
        <v>74</v>
      </c>
      <c r="S588" t="s">
        <v>74</v>
      </c>
      <c r="T588" t="s">
        <v>11658</v>
      </c>
      <c r="U588" t="s">
        <v>11659</v>
      </c>
      <c r="V588" t="s">
        <v>11660</v>
      </c>
      <c r="W588" t="s">
        <v>11661</v>
      </c>
      <c r="X588" t="s">
        <v>11662</v>
      </c>
      <c r="Y588" t="s">
        <v>11663</v>
      </c>
      <c r="Z588" t="s">
        <v>11664</v>
      </c>
      <c r="AA588" t="s">
        <v>11665</v>
      </c>
      <c r="AB588" t="s">
        <v>11666</v>
      </c>
      <c r="AC588" t="s">
        <v>11667</v>
      </c>
      <c r="AD588" t="s">
        <v>11668</v>
      </c>
      <c r="AE588" t="s">
        <v>11669</v>
      </c>
      <c r="AF588" t="s">
        <v>74</v>
      </c>
      <c r="AG588">
        <v>90</v>
      </c>
      <c r="AH588">
        <v>6</v>
      </c>
      <c r="AI588">
        <v>6</v>
      </c>
      <c r="AJ588">
        <v>0</v>
      </c>
      <c r="AK588">
        <v>2</v>
      </c>
      <c r="AL588" t="s">
        <v>1058</v>
      </c>
      <c r="AM588" t="s">
        <v>891</v>
      </c>
      <c r="AN588" t="s">
        <v>1059</v>
      </c>
      <c r="AO588" t="s">
        <v>4026</v>
      </c>
      <c r="AP588" t="s">
        <v>4027</v>
      </c>
      <c r="AQ588" t="s">
        <v>74</v>
      </c>
      <c r="AR588" t="s">
        <v>4028</v>
      </c>
      <c r="AS588" t="s">
        <v>4029</v>
      </c>
      <c r="AT588" t="s">
        <v>1809</v>
      </c>
      <c r="AU588">
        <v>2021</v>
      </c>
      <c r="AV588">
        <v>106</v>
      </c>
      <c r="AW588" t="s">
        <v>74</v>
      </c>
      <c r="AX588" t="s">
        <v>74</v>
      </c>
      <c r="AY588" t="s">
        <v>74</v>
      </c>
      <c r="AZ588" t="s">
        <v>74</v>
      </c>
      <c r="BA588" t="s">
        <v>74</v>
      </c>
      <c r="BB588" t="s">
        <v>74</v>
      </c>
      <c r="BC588" t="s">
        <v>74</v>
      </c>
      <c r="BD588">
        <v>103062</v>
      </c>
      <c r="BE588" t="s">
        <v>11670</v>
      </c>
      <c r="BF588" t="str">
        <f>HYPERLINK("http://dx.doi.org/10.1016/j.jsames.2020.103062","http://dx.doi.org/10.1016/j.jsames.2020.103062")</f>
        <v>http://dx.doi.org/10.1016/j.jsames.2020.103062</v>
      </c>
      <c r="BG588" t="s">
        <v>74</v>
      </c>
      <c r="BH588" t="s">
        <v>74</v>
      </c>
      <c r="BI588">
        <v>17</v>
      </c>
      <c r="BJ588" t="s">
        <v>100</v>
      </c>
      <c r="BK588" t="s">
        <v>101</v>
      </c>
      <c r="BL588" t="s">
        <v>102</v>
      </c>
      <c r="BM588" t="s">
        <v>11671</v>
      </c>
      <c r="BN588" t="s">
        <v>74</v>
      </c>
      <c r="BO588" t="s">
        <v>74</v>
      </c>
      <c r="BP588" t="s">
        <v>74</v>
      </c>
      <c r="BQ588" t="s">
        <v>74</v>
      </c>
      <c r="BR588" t="s">
        <v>104</v>
      </c>
      <c r="BS588" t="s">
        <v>11672</v>
      </c>
      <c r="BT588" t="str">
        <f>HYPERLINK("https%3A%2F%2Fwww.webofscience.com%2Fwos%2Fwoscc%2Ffull-record%2FWOS:000612228200001","View Full Record in Web of Science")</f>
        <v>View Full Record in Web of Science</v>
      </c>
    </row>
    <row r="589" spans="1:72" x14ac:dyDescent="0.15">
      <c r="A589" t="s">
        <v>72</v>
      </c>
      <c r="B589" t="s">
        <v>11673</v>
      </c>
      <c r="C589" t="s">
        <v>74</v>
      </c>
      <c r="D589" t="s">
        <v>74</v>
      </c>
      <c r="E589" t="s">
        <v>74</v>
      </c>
      <c r="F589" t="s">
        <v>11674</v>
      </c>
      <c r="G589" t="s">
        <v>74</v>
      </c>
      <c r="H589" t="s">
        <v>74</v>
      </c>
      <c r="I589" t="s">
        <v>11675</v>
      </c>
      <c r="J589" t="s">
        <v>11676</v>
      </c>
      <c r="K589" t="s">
        <v>74</v>
      </c>
      <c r="L589" t="s">
        <v>74</v>
      </c>
      <c r="M589" t="s">
        <v>78</v>
      </c>
      <c r="N589" t="s">
        <v>79</v>
      </c>
      <c r="O589" t="s">
        <v>74</v>
      </c>
      <c r="P589" t="s">
        <v>74</v>
      </c>
      <c r="Q589" t="s">
        <v>74</v>
      </c>
      <c r="R589" t="s">
        <v>74</v>
      </c>
      <c r="S589" t="s">
        <v>74</v>
      </c>
      <c r="T589" t="s">
        <v>11677</v>
      </c>
      <c r="U589" t="s">
        <v>11678</v>
      </c>
      <c r="V589" t="s">
        <v>11679</v>
      </c>
      <c r="W589" t="s">
        <v>11680</v>
      </c>
      <c r="X589" t="s">
        <v>5506</v>
      </c>
      <c r="Y589" t="s">
        <v>11681</v>
      </c>
      <c r="Z589" t="s">
        <v>11682</v>
      </c>
      <c r="AA589" t="s">
        <v>11683</v>
      </c>
      <c r="AB589" t="s">
        <v>11684</v>
      </c>
      <c r="AC589" t="s">
        <v>11685</v>
      </c>
      <c r="AD589" t="s">
        <v>11686</v>
      </c>
      <c r="AE589" t="s">
        <v>11687</v>
      </c>
      <c r="AF589" t="s">
        <v>74</v>
      </c>
      <c r="AG589">
        <v>44</v>
      </c>
      <c r="AH589">
        <v>5</v>
      </c>
      <c r="AI589">
        <v>5</v>
      </c>
      <c r="AJ589">
        <v>2</v>
      </c>
      <c r="AK589">
        <v>10</v>
      </c>
      <c r="AL589" t="s">
        <v>576</v>
      </c>
      <c r="AM589" t="s">
        <v>577</v>
      </c>
      <c r="AN589" t="s">
        <v>578</v>
      </c>
      <c r="AO589" t="s">
        <v>11688</v>
      </c>
      <c r="AP589" t="s">
        <v>11689</v>
      </c>
      <c r="AQ589" t="s">
        <v>74</v>
      </c>
      <c r="AR589" t="s">
        <v>11690</v>
      </c>
      <c r="AS589" t="s">
        <v>11691</v>
      </c>
      <c r="AT589" t="s">
        <v>1809</v>
      </c>
      <c r="AU589">
        <v>2021</v>
      </c>
      <c r="AV589">
        <v>122</v>
      </c>
      <c r="AW589" t="s">
        <v>74</v>
      </c>
      <c r="AX589" t="s">
        <v>74</v>
      </c>
      <c r="AY589" t="s">
        <v>74</v>
      </c>
      <c r="AZ589" t="s">
        <v>74</v>
      </c>
      <c r="BA589" t="s">
        <v>74</v>
      </c>
      <c r="BB589" t="s">
        <v>74</v>
      </c>
      <c r="BC589" t="s">
        <v>74</v>
      </c>
      <c r="BD589">
        <v>107262</v>
      </c>
      <c r="BE589" t="s">
        <v>11692</v>
      </c>
      <c r="BF589" t="str">
        <f>HYPERLINK("http://dx.doi.org/10.1016/j.ecolind.2020.107262","http://dx.doi.org/10.1016/j.ecolind.2020.107262")</f>
        <v>http://dx.doi.org/10.1016/j.ecolind.2020.107262</v>
      </c>
      <c r="BG589" t="s">
        <v>74</v>
      </c>
      <c r="BH589" t="s">
        <v>74</v>
      </c>
      <c r="BI589">
        <v>9</v>
      </c>
      <c r="BJ589" t="s">
        <v>11693</v>
      </c>
      <c r="BK589" t="s">
        <v>101</v>
      </c>
      <c r="BL589" t="s">
        <v>1439</v>
      </c>
      <c r="BM589" t="s">
        <v>11694</v>
      </c>
      <c r="BN589" t="s">
        <v>74</v>
      </c>
      <c r="BO589" t="s">
        <v>5570</v>
      </c>
      <c r="BP589" t="s">
        <v>74</v>
      </c>
      <c r="BQ589" t="s">
        <v>74</v>
      </c>
      <c r="BR589" t="s">
        <v>104</v>
      </c>
      <c r="BS589" t="s">
        <v>11695</v>
      </c>
      <c r="BT589" t="str">
        <f>HYPERLINK("https%3A%2F%2Fwww.webofscience.com%2Fwos%2Fwoscc%2Ffull-record%2FWOS:000613232500008","View Full Record in Web of Science")</f>
        <v>View Full Record in Web of Science</v>
      </c>
    </row>
    <row r="590" spans="1:72" x14ac:dyDescent="0.15">
      <c r="A590" t="s">
        <v>72</v>
      </c>
      <c r="B590" t="s">
        <v>11696</v>
      </c>
      <c r="C590" t="s">
        <v>74</v>
      </c>
      <c r="D590" t="s">
        <v>74</v>
      </c>
      <c r="E590" t="s">
        <v>74</v>
      </c>
      <c r="F590" t="s">
        <v>11697</v>
      </c>
      <c r="G590" t="s">
        <v>74</v>
      </c>
      <c r="H590" t="s">
        <v>74</v>
      </c>
      <c r="I590" t="s">
        <v>11698</v>
      </c>
      <c r="J590" t="s">
        <v>11699</v>
      </c>
      <c r="K590" t="s">
        <v>74</v>
      </c>
      <c r="L590" t="s">
        <v>74</v>
      </c>
      <c r="M590" t="s">
        <v>78</v>
      </c>
      <c r="N590" t="s">
        <v>79</v>
      </c>
      <c r="O590" t="s">
        <v>74</v>
      </c>
      <c r="P590" t="s">
        <v>74</v>
      </c>
      <c r="Q590" t="s">
        <v>74</v>
      </c>
      <c r="R590" t="s">
        <v>74</v>
      </c>
      <c r="S590" t="s">
        <v>74</v>
      </c>
      <c r="T590" t="s">
        <v>11700</v>
      </c>
      <c r="U590" t="s">
        <v>74</v>
      </c>
      <c r="V590" t="s">
        <v>11701</v>
      </c>
      <c r="W590" t="s">
        <v>11702</v>
      </c>
      <c r="X590" t="s">
        <v>11703</v>
      </c>
      <c r="Y590" t="s">
        <v>11704</v>
      </c>
      <c r="Z590" t="s">
        <v>11705</v>
      </c>
      <c r="AA590" t="s">
        <v>11706</v>
      </c>
      <c r="AB590" t="s">
        <v>11707</v>
      </c>
      <c r="AC590" t="s">
        <v>11708</v>
      </c>
      <c r="AD590" t="s">
        <v>4769</v>
      </c>
      <c r="AE590" t="s">
        <v>11709</v>
      </c>
      <c r="AF590" t="s">
        <v>74</v>
      </c>
      <c r="AG590">
        <v>88</v>
      </c>
      <c r="AH590">
        <v>7</v>
      </c>
      <c r="AI590">
        <v>8</v>
      </c>
      <c r="AJ590">
        <v>3</v>
      </c>
      <c r="AK590">
        <v>16</v>
      </c>
      <c r="AL590" t="s">
        <v>11710</v>
      </c>
      <c r="AM590" t="s">
        <v>11711</v>
      </c>
      <c r="AN590" t="s">
        <v>11712</v>
      </c>
      <c r="AO590" t="s">
        <v>11713</v>
      </c>
      <c r="AP590" t="s">
        <v>11714</v>
      </c>
      <c r="AQ590" t="s">
        <v>74</v>
      </c>
      <c r="AR590" t="s">
        <v>11715</v>
      </c>
      <c r="AS590" t="s">
        <v>11716</v>
      </c>
      <c r="AT590" t="s">
        <v>11445</v>
      </c>
      <c r="AU590">
        <v>2021</v>
      </c>
      <c r="AV590">
        <v>182</v>
      </c>
      <c r="AW590">
        <v>3</v>
      </c>
      <c r="AX590" t="s">
        <v>74</v>
      </c>
      <c r="AY590" t="s">
        <v>74</v>
      </c>
      <c r="AZ590" t="s">
        <v>74</v>
      </c>
      <c r="BA590" t="s">
        <v>74</v>
      </c>
      <c r="BB590">
        <v>185</v>
      </c>
      <c r="BC590">
        <v>197</v>
      </c>
      <c r="BD590" t="s">
        <v>74</v>
      </c>
      <c r="BE590" t="s">
        <v>11717</v>
      </c>
      <c r="BF590" t="str">
        <f>HYPERLINK("http://dx.doi.org/10.1086/712427","http://dx.doi.org/10.1086/712427")</f>
        <v>http://dx.doi.org/10.1086/712427</v>
      </c>
      <c r="BG590" t="s">
        <v>74</v>
      </c>
      <c r="BH590" t="s">
        <v>6407</v>
      </c>
      <c r="BI590">
        <v>13</v>
      </c>
      <c r="BJ590" t="s">
        <v>2508</v>
      </c>
      <c r="BK590" t="s">
        <v>101</v>
      </c>
      <c r="BL590" t="s">
        <v>2508</v>
      </c>
      <c r="BM590" t="s">
        <v>11718</v>
      </c>
      <c r="BN590" t="s">
        <v>74</v>
      </c>
      <c r="BO590" t="s">
        <v>74</v>
      </c>
      <c r="BP590" t="s">
        <v>74</v>
      </c>
      <c r="BQ590" t="s">
        <v>74</v>
      </c>
      <c r="BR590" t="s">
        <v>104</v>
      </c>
      <c r="BS590" t="s">
        <v>11719</v>
      </c>
      <c r="BT590" t="str">
        <f>HYPERLINK("https%3A%2F%2Fwww.webofscience.com%2Fwos%2Fwoscc%2Ffull-record%2FWOS:000615958300001","View Full Record in Web of Science")</f>
        <v>View Full Record in Web of Science</v>
      </c>
    </row>
    <row r="591" spans="1:72" x14ac:dyDescent="0.15">
      <c r="A591" t="s">
        <v>72</v>
      </c>
      <c r="B591" t="s">
        <v>11720</v>
      </c>
      <c r="C591" t="s">
        <v>74</v>
      </c>
      <c r="D591" t="s">
        <v>74</v>
      </c>
      <c r="E591" t="s">
        <v>74</v>
      </c>
      <c r="F591" t="s">
        <v>11721</v>
      </c>
      <c r="G591" t="s">
        <v>74</v>
      </c>
      <c r="H591" t="s">
        <v>74</v>
      </c>
      <c r="I591" t="s">
        <v>11722</v>
      </c>
      <c r="J591" t="s">
        <v>5417</v>
      </c>
      <c r="K591" t="s">
        <v>74</v>
      </c>
      <c r="L591" t="s">
        <v>74</v>
      </c>
      <c r="M591" t="s">
        <v>78</v>
      </c>
      <c r="N591" t="s">
        <v>79</v>
      </c>
      <c r="O591" t="s">
        <v>74</v>
      </c>
      <c r="P591" t="s">
        <v>74</v>
      </c>
      <c r="Q591" t="s">
        <v>74</v>
      </c>
      <c r="R591" t="s">
        <v>74</v>
      </c>
      <c r="S591" t="s">
        <v>74</v>
      </c>
      <c r="T591" t="s">
        <v>11723</v>
      </c>
      <c r="U591" t="s">
        <v>11724</v>
      </c>
      <c r="V591" t="s">
        <v>11725</v>
      </c>
      <c r="W591" t="s">
        <v>11726</v>
      </c>
      <c r="X591" t="s">
        <v>74</v>
      </c>
      <c r="Y591" t="s">
        <v>11727</v>
      </c>
      <c r="Z591" t="s">
        <v>11728</v>
      </c>
      <c r="AA591" t="s">
        <v>11729</v>
      </c>
      <c r="AB591" t="s">
        <v>11730</v>
      </c>
      <c r="AC591" t="s">
        <v>11731</v>
      </c>
      <c r="AD591" t="s">
        <v>11028</v>
      </c>
      <c r="AE591" t="s">
        <v>11732</v>
      </c>
      <c r="AF591" t="s">
        <v>74</v>
      </c>
      <c r="AG591">
        <v>41</v>
      </c>
      <c r="AH591">
        <v>3</v>
      </c>
      <c r="AI591">
        <v>3</v>
      </c>
      <c r="AJ591">
        <v>0</v>
      </c>
      <c r="AK591">
        <v>3</v>
      </c>
      <c r="AL591" t="s">
        <v>335</v>
      </c>
      <c r="AM591" t="s">
        <v>336</v>
      </c>
      <c r="AN591" t="s">
        <v>337</v>
      </c>
      <c r="AO591" t="s">
        <v>74</v>
      </c>
      <c r="AP591" t="s">
        <v>5430</v>
      </c>
      <c r="AQ591" t="s">
        <v>74</v>
      </c>
      <c r="AR591" t="s">
        <v>5431</v>
      </c>
      <c r="AS591" t="s">
        <v>5432</v>
      </c>
      <c r="AT591" t="s">
        <v>1809</v>
      </c>
      <c r="AU591">
        <v>2021</v>
      </c>
      <c r="AV591">
        <v>12</v>
      </c>
      <c r="AW591">
        <v>3</v>
      </c>
      <c r="AX591" t="s">
        <v>74</v>
      </c>
      <c r="AY591" t="s">
        <v>74</v>
      </c>
      <c r="AZ591" t="s">
        <v>74</v>
      </c>
      <c r="BA591" t="s">
        <v>74</v>
      </c>
      <c r="BB591" t="s">
        <v>74</v>
      </c>
      <c r="BC591" t="s">
        <v>74</v>
      </c>
      <c r="BD591">
        <v>408</v>
      </c>
      <c r="BE591" t="s">
        <v>11733</v>
      </c>
      <c r="BF591" t="str">
        <f>HYPERLINK("http://dx.doi.org/10.3390/atmos12030408","http://dx.doi.org/10.3390/atmos12030408")</f>
        <v>http://dx.doi.org/10.3390/atmos12030408</v>
      </c>
      <c r="BG591" t="s">
        <v>74</v>
      </c>
      <c r="BH591" t="s">
        <v>74</v>
      </c>
      <c r="BI591">
        <v>29</v>
      </c>
      <c r="BJ591" t="s">
        <v>199</v>
      </c>
      <c r="BK591" t="s">
        <v>101</v>
      </c>
      <c r="BL591" t="s">
        <v>200</v>
      </c>
      <c r="BM591" t="s">
        <v>11734</v>
      </c>
      <c r="BN591" t="s">
        <v>74</v>
      </c>
      <c r="BO591" t="s">
        <v>558</v>
      </c>
      <c r="BP591" t="s">
        <v>74</v>
      </c>
      <c r="BQ591" t="s">
        <v>74</v>
      </c>
      <c r="BR591" t="s">
        <v>104</v>
      </c>
      <c r="BS591" t="s">
        <v>11735</v>
      </c>
      <c r="BT591" t="str">
        <f>HYPERLINK("https%3A%2F%2Fwww.webofscience.com%2Fwos%2Fwoscc%2Ffull-record%2FWOS:000633325800001","View Full Record in Web of Science")</f>
        <v>View Full Record in Web of Science</v>
      </c>
    </row>
    <row r="592" spans="1:72" x14ac:dyDescent="0.15">
      <c r="A592" t="s">
        <v>72</v>
      </c>
      <c r="B592" t="s">
        <v>11736</v>
      </c>
      <c r="C592" t="s">
        <v>74</v>
      </c>
      <c r="D592" t="s">
        <v>74</v>
      </c>
      <c r="E592" t="s">
        <v>74</v>
      </c>
      <c r="F592" t="s">
        <v>11737</v>
      </c>
      <c r="G592" t="s">
        <v>74</v>
      </c>
      <c r="H592" t="s">
        <v>74</v>
      </c>
      <c r="I592" t="s">
        <v>11738</v>
      </c>
      <c r="J592" t="s">
        <v>6128</v>
      </c>
      <c r="K592" t="s">
        <v>74</v>
      </c>
      <c r="L592" t="s">
        <v>74</v>
      </c>
      <c r="M592" t="s">
        <v>78</v>
      </c>
      <c r="N592" t="s">
        <v>79</v>
      </c>
      <c r="O592" t="s">
        <v>74</v>
      </c>
      <c r="P592" t="s">
        <v>74</v>
      </c>
      <c r="Q592" t="s">
        <v>74</v>
      </c>
      <c r="R592" t="s">
        <v>74</v>
      </c>
      <c r="S592" t="s">
        <v>74</v>
      </c>
      <c r="T592" t="s">
        <v>11739</v>
      </c>
      <c r="U592" t="s">
        <v>11740</v>
      </c>
      <c r="V592" t="s">
        <v>11741</v>
      </c>
      <c r="W592" t="s">
        <v>11742</v>
      </c>
      <c r="X592" t="s">
        <v>11743</v>
      </c>
      <c r="Y592" t="s">
        <v>11744</v>
      </c>
      <c r="Z592" t="s">
        <v>11745</v>
      </c>
      <c r="AA592" t="s">
        <v>11746</v>
      </c>
      <c r="AB592" t="s">
        <v>11747</v>
      </c>
      <c r="AC592" t="s">
        <v>11748</v>
      </c>
      <c r="AD592" t="s">
        <v>11749</v>
      </c>
      <c r="AE592" t="s">
        <v>11750</v>
      </c>
      <c r="AF592" t="s">
        <v>74</v>
      </c>
      <c r="AG592">
        <v>74</v>
      </c>
      <c r="AH592">
        <v>17</v>
      </c>
      <c r="AI592">
        <v>19</v>
      </c>
      <c r="AJ592">
        <v>4</v>
      </c>
      <c r="AK592">
        <v>26</v>
      </c>
      <c r="AL592" t="s">
        <v>917</v>
      </c>
      <c r="AM592" t="s">
        <v>390</v>
      </c>
      <c r="AN592" t="s">
        <v>918</v>
      </c>
      <c r="AO592" t="s">
        <v>6141</v>
      </c>
      <c r="AP592" t="s">
        <v>6142</v>
      </c>
      <c r="AQ592" t="s">
        <v>74</v>
      </c>
      <c r="AR592" t="s">
        <v>6143</v>
      </c>
      <c r="AS592" t="s">
        <v>6144</v>
      </c>
      <c r="AT592" t="s">
        <v>1809</v>
      </c>
      <c r="AU592">
        <v>2021</v>
      </c>
      <c r="AV592">
        <v>35</v>
      </c>
      <c r="AW592">
        <v>3</v>
      </c>
      <c r="AX592" t="s">
        <v>74</v>
      </c>
      <c r="AY592" t="s">
        <v>74</v>
      </c>
      <c r="AZ592" t="s">
        <v>74</v>
      </c>
      <c r="BA592" t="s">
        <v>74</v>
      </c>
      <c r="BB592" t="s">
        <v>74</v>
      </c>
      <c r="BC592" t="s">
        <v>74</v>
      </c>
      <c r="BD592" t="s">
        <v>11751</v>
      </c>
      <c r="BE592" t="s">
        <v>11752</v>
      </c>
      <c r="BF592" t="str">
        <f>HYPERLINK("http://dx.doi.org/10.1029/2020GB006651","http://dx.doi.org/10.1029/2020GB006651")</f>
        <v>http://dx.doi.org/10.1029/2020GB006651</v>
      </c>
      <c r="BG592" t="s">
        <v>74</v>
      </c>
      <c r="BH592" t="s">
        <v>74</v>
      </c>
      <c r="BI592">
        <v>24</v>
      </c>
      <c r="BJ592" t="s">
        <v>6147</v>
      </c>
      <c r="BK592" t="s">
        <v>101</v>
      </c>
      <c r="BL592" t="s">
        <v>6148</v>
      </c>
      <c r="BM592" t="s">
        <v>11753</v>
      </c>
      <c r="BN592" t="s">
        <v>74</v>
      </c>
      <c r="BO592" t="s">
        <v>148</v>
      </c>
      <c r="BP592" t="s">
        <v>74</v>
      </c>
      <c r="BQ592" t="s">
        <v>74</v>
      </c>
      <c r="BR592" t="s">
        <v>104</v>
      </c>
      <c r="BS592" t="s">
        <v>11754</v>
      </c>
      <c r="BT592" t="str">
        <f>HYPERLINK("https%3A%2F%2Fwww.webofscience.com%2Fwos%2Fwoscc%2Ffull-record%2FWOS:000635221000005","View Full Record in Web of Science")</f>
        <v>View Full Record in Web of Science</v>
      </c>
    </row>
    <row r="593" spans="1:72" x14ac:dyDescent="0.15">
      <c r="A593" t="s">
        <v>72</v>
      </c>
      <c r="B593" t="s">
        <v>11755</v>
      </c>
      <c r="C593" t="s">
        <v>74</v>
      </c>
      <c r="D593" t="s">
        <v>74</v>
      </c>
      <c r="E593" t="s">
        <v>74</v>
      </c>
      <c r="F593" t="s">
        <v>11756</v>
      </c>
      <c r="G593" t="s">
        <v>74</v>
      </c>
      <c r="H593" t="s">
        <v>74</v>
      </c>
      <c r="I593" t="s">
        <v>11757</v>
      </c>
      <c r="J593" t="s">
        <v>11079</v>
      </c>
      <c r="K593" t="s">
        <v>74</v>
      </c>
      <c r="L593" t="s">
        <v>74</v>
      </c>
      <c r="M593" t="s">
        <v>78</v>
      </c>
      <c r="N593" t="s">
        <v>79</v>
      </c>
      <c r="O593" t="s">
        <v>74</v>
      </c>
      <c r="P593" t="s">
        <v>74</v>
      </c>
      <c r="Q593" t="s">
        <v>74</v>
      </c>
      <c r="R593" t="s">
        <v>74</v>
      </c>
      <c r="S593" t="s">
        <v>74</v>
      </c>
      <c r="T593" t="s">
        <v>74</v>
      </c>
      <c r="U593" t="s">
        <v>11758</v>
      </c>
      <c r="V593" t="s">
        <v>11759</v>
      </c>
      <c r="W593" t="s">
        <v>11760</v>
      </c>
      <c r="X593" t="s">
        <v>11761</v>
      </c>
      <c r="Y593" t="s">
        <v>11762</v>
      </c>
      <c r="Z593" t="s">
        <v>11763</v>
      </c>
      <c r="AA593" t="s">
        <v>74</v>
      </c>
      <c r="AB593" t="s">
        <v>11764</v>
      </c>
      <c r="AC593" t="s">
        <v>11765</v>
      </c>
      <c r="AD593" t="s">
        <v>11766</v>
      </c>
      <c r="AE593" t="s">
        <v>11767</v>
      </c>
      <c r="AF593" t="s">
        <v>74</v>
      </c>
      <c r="AG593">
        <v>55</v>
      </c>
      <c r="AH593">
        <v>4</v>
      </c>
      <c r="AI593">
        <v>4</v>
      </c>
      <c r="AJ593">
        <v>1</v>
      </c>
      <c r="AK593">
        <v>8</v>
      </c>
      <c r="AL593" t="s">
        <v>917</v>
      </c>
      <c r="AM593" t="s">
        <v>390</v>
      </c>
      <c r="AN593" t="s">
        <v>918</v>
      </c>
      <c r="AO593" t="s">
        <v>74</v>
      </c>
      <c r="AP593" t="s">
        <v>11092</v>
      </c>
      <c r="AQ593" t="s">
        <v>74</v>
      </c>
      <c r="AR593" t="s">
        <v>11093</v>
      </c>
      <c r="AS593" t="s">
        <v>11094</v>
      </c>
      <c r="AT593" t="s">
        <v>1809</v>
      </c>
      <c r="AU593">
        <v>2021</v>
      </c>
      <c r="AV593">
        <v>13</v>
      </c>
      <c r="AW593">
        <v>3</v>
      </c>
      <c r="AX593" t="s">
        <v>74</v>
      </c>
      <c r="AY593" t="s">
        <v>74</v>
      </c>
      <c r="AZ593" t="s">
        <v>74</v>
      </c>
      <c r="BA593" t="s">
        <v>74</v>
      </c>
      <c r="BB593" t="s">
        <v>74</v>
      </c>
      <c r="BC593" t="s">
        <v>74</v>
      </c>
      <c r="BD593" t="s">
        <v>11768</v>
      </c>
      <c r="BE593" t="s">
        <v>11769</v>
      </c>
      <c r="BF593" t="str">
        <f>HYPERLINK("http://dx.doi.org/10.1029/2020MS002269","http://dx.doi.org/10.1029/2020MS002269")</f>
        <v>http://dx.doi.org/10.1029/2020MS002269</v>
      </c>
      <c r="BG593" t="s">
        <v>74</v>
      </c>
      <c r="BH593" t="s">
        <v>74</v>
      </c>
      <c r="BI593">
        <v>31</v>
      </c>
      <c r="BJ593" t="s">
        <v>129</v>
      </c>
      <c r="BK593" t="s">
        <v>101</v>
      </c>
      <c r="BL593" t="s">
        <v>129</v>
      </c>
      <c r="BM593" t="s">
        <v>11097</v>
      </c>
      <c r="BN593" t="s">
        <v>74</v>
      </c>
      <c r="BO593" t="s">
        <v>317</v>
      </c>
      <c r="BP593" t="s">
        <v>74</v>
      </c>
      <c r="BQ593" t="s">
        <v>74</v>
      </c>
      <c r="BR593" t="s">
        <v>104</v>
      </c>
      <c r="BS593" t="s">
        <v>11770</v>
      </c>
      <c r="BT593" t="str">
        <f>HYPERLINK("https%3A%2F%2Fwww.webofscience.com%2Fwos%2Fwoscc%2Ffull-record%2FWOS:000635263700005","View Full Record in Web of Science")</f>
        <v>View Full Record in Web of Science</v>
      </c>
    </row>
    <row r="594" spans="1:72" x14ac:dyDescent="0.15">
      <c r="A594" t="s">
        <v>72</v>
      </c>
      <c r="B594" t="s">
        <v>11771</v>
      </c>
      <c r="C594" t="s">
        <v>74</v>
      </c>
      <c r="D594" t="s">
        <v>74</v>
      </c>
      <c r="E594" t="s">
        <v>74</v>
      </c>
      <c r="F594" t="s">
        <v>11772</v>
      </c>
      <c r="G594" t="s">
        <v>74</v>
      </c>
      <c r="H594" t="s">
        <v>74</v>
      </c>
      <c r="I594" t="s">
        <v>11773</v>
      </c>
      <c r="J594" t="s">
        <v>5615</v>
      </c>
      <c r="K594" t="s">
        <v>74</v>
      </c>
      <c r="L594" t="s">
        <v>74</v>
      </c>
      <c r="M594" t="s">
        <v>78</v>
      </c>
      <c r="N594" t="s">
        <v>79</v>
      </c>
      <c r="O594" t="s">
        <v>74</v>
      </c>
      <c r="P594" t="s">
        <v>74</v>
      </c>
      <c r="Q594" t="s">
        <v>74</v>
      </c>
      <c r="R594" t="s">
        <v>74</v>
      </c>
      <c r="S594" t="s">
        <v>74</v>
      </c>
      <c r="T594" t="s">
        <v>11774</v>
      </c>
      <c r="U594" t="s">
        <v>11775</v>
      </c>
      <c r="V594" t="s">
        <v>11776</v>
      </c>
      <c r="W594" t="s">
        <v>11777</v>
      </c>
      <c r="X594" t="s">
        <v>11778</v>
      </c>
      <c r="Y594" t="s">
        <v>11779</v>
      </c>
      <c r="Z594" t="s">
        <v>11780</v>
      </c>
      <c r="AA594" t="s">
        <v>11781</v>
      </c>
      <c r="AB594" t="s">
        <v>11782</v>
      </c>
      <c r="AC594" t="s">
        <v>11783</v>
      </c>
      <c r="AD594" t="s">
        <v>11784</v>
      </c>
      <c r="AE594" t="s">
        <v>11785</v>
      </c>
      <c r="AF594" t="s">
        <v>74</v>
      </c>
      <c r="AG594">
        <v>35</v>
      </c>
      <c r="AH594">
        <v>12</v>
      </c>
      <c r="AI594">
        <v>15</v>
      </c>
      <c r="AJ594">
        <v>1</v>
      </c>
      <c r="AK594">
        <v>10</v>
      </c>
      <c r="AL594" t="s">
        <v>335</v>
      </c>
      <c r="AM594" t="s">
        <v>336</v>
      </c>
      <c r="AN594" t="s">
        <v>337</v>
      </c>
      <c r="AO594" t="s">
        <v>74</v>
      </c>
      <c r="AP594" t="s">
        <v>5628</v>
      </c>
      <c r="AQ594" t="s">
        <v>74</v>
      </c>
      <c r="AR594" t="s">
        <v>5629</v>
      </c>
      <c r="AS594" t="s">
        <v>5630</v>
      </c>
      <c r="AT594" t="s">
        <v>1809</v>
      </c>
      <c r="AU594">
        <v>2021</v>
      </c>
      <c r="AV594">
        <v>9</v>
      </c>
      <c r="AW594">
        <v>3</v>
      </c>
      <c r="AX594" t="s">
        <v>74</v>
      </c>
      <c r="AY594" t="s">
        <v>74</v>
      </c>
      <c r="AZ594" t="s">
        <v>74</v>
      </c>
      <c r="BA594" t="s">
        <v>74</v>
      </c>
      <c r="BB594" t="s">
        <v>74</v>
      </c>
      <c r="BC594" t="s">
        <v>74</v>
      </c>
      <c r="BD594">
        <v>256</v>
      </c>
      <c r="BE594" t="s">
        <v>11786</v>
      </c>
      <c r="BF594" t="str">
        <f>HYPERLINK("http://dx.doi.org/10.3390/jmse9030256","http://dx.doi.org/10.3390/jmse9030256")</f>
        <v>http://dx.doi.org/10.3390/jmse9030256</v>
      </c>
      <c r="BG594" t="s">
        <v>74</v>
      </c>
      <c r="BH594" t="s">
        <v>74</v>
      </c>
      <c r="BI594">
        <v>15</v>
      </c>
      <c r="BJ594" t="s">
        <v>5632</v>
      </c>
      <c r="BK594" t="s">
        <v>101</v>
      </c>
      <c r="BL594" t="s">
        <v>5633</v>
      </c>
      <c r="BM594" t="s">
        <v>11787</v>
      </c>
      <c r="BN594" t="s">
        <v>74</v>
      </c>
      <c r="BO594" t="s">
        <v>317</v>
      </c>
      <c r="BP594" t="s">
        <v>74</v>
      </c>
      <c r="BQ594" t="s">
        <v>74</v>
      </c>
      <c r="BR594" t="s">
        <v>104</v>
      </c>
      <c r="BS594" t="s">
        <v>11788</v>
      </c>
      <c r="BT594" t="str">
        <f>HYPERLINK("https%3A%2F%2Fwww.webofscience.com%2Fwos%2Fwoscc%2Ffull-record%2FWOS:000633766400001","View Full Record in Web of Science")</f>
        <v>View Full Record in Web of Science</v>
      </c>
    </row>
    <row r="595" spans="1:72" x14ac:dyDescent="0.15">
      <c r="A595" t="s">
        <v>72</v>
      </c>
      <c r="B595" t="s">
        <v>11789</v>
      </c>
      <c r="C595" t="s">
        <v>74</v>
      </c>
      <c r="D595" t="s">
        <v>74</v>
      </c>
      <c r="E595" t="s">
        <v>74</v>
      </c>
      <c r="F595" t="s">
        <v>11790</v>
      </c>
      <c r="G595" t="s">
        <v>74</v>
      </c>
      <c r="H595" t="s">
        <v>74</v>
      </c>
      <c r="I595" t="s">
        <v>11791</v>
      </c>
      <c r="J595" t="s">
        <v>11792</v>
      </c>
      <c r="K595" t="s">
        <v>74</v>
      </c>
      <c r="L595" t="s">
        <v>74</v>
      </c>
      <c r="M595" t="s">
        <v>78</v>
      </c>
      <c r="N595" t="s">
        <v>79</v>
      </c>
      <c r="O595" t="s">
        <v>74</v>
      </c>
      <c r="P595" t="s">
        <v>74</v>
      </c>
      <c r="Q595" t="s">
        <v>74</v>
      </c>
      <c r="R595" t="s">
        <v>74</v>
      </c>
      <c r="S595" t="s">
        <v>74</v>
      </c>
      <c r="T595" t="s">
        <v>11793</v>
      </c>
      <c r="U595" t="s">
        <v>11794</v>
      </c>
      <c r="V595" t="s">
        <v>11795</v>
      </c>
      <c r="W595" t="s">
        <v>11796</v>
      </c>
      <c r="X595" t="s">
        <v>11797</v>
      </c>
      <c r="Y595" t="s">
        <v>11798</v>
      </c>
      <c r="Z595" t="s">
        <v>11799</v>
      </c>
      <c r="AA595" t="s">
        <v>11800</v>
      </c>
      <c r="AB595" t="s">
        <v>11801</v>
      </c>
      <c r="AC595" t="s">
        <v>11802</v>
      </c>
      <c r="AD595" t="s">
        <v>11803</v>
      </c>
      <c r="AE595" t="s">
        <v>11804</v>
      </c>
      <c r="AF595" t="s">
        <v>74</v>
      </c>
      <c r="AG595">
        <v>94</v>
      </c>
      <c r="AH595">
        <v>14</v>
      </c>
      <c r="AI595">
        <v>14</v>
      </c>
      <c r="AJ595">
        <v>1</v>
      </c>
      <c r="AK595">
        <v>13</v>
      </c>
      <c r="AL595" t="s">
        <v>8038</v>
      </c>
      <c r="AM595" t="s">
        <v>8039</v>
      </c>
      <c r="AN595" t="s">
        <v>8040</v>
      </c>
      <c r="AO595" t="s">
        <v>11805</v>
      </c>
      <c r="AP595" t="s">
        <v>11806</v>
      </c>
      <c r="AQ595" t="s">
        <v>74</v>
      </c>
      <c r="AR595" t="s">
        <v>11807</v>
      </c>
      <c r="AS595" t="s">
        <v>11808</v>
      </c>
      <c r="AT595" t="s">
        <v>1809</v>
      </c>
      <c r="AU595">
        <v>2021</v>
      </c>
      <c r="AV595">
        <v>156</v>
      </c>
      <c r="AW595" t="s">
        <v>74</v>
      </c>
      <c r="AX595" t="s">
        <v>74</v>
      </c>
      <c r="AY595" t="s">
        <v>74</v>
      </c>
      <c r="AZ595" t="s">
        <v>74</v>
      </c>
      <c r="BA595" t="s">
        <v>74</v>
      </c>
      <c r="BB595" t="s">
        <v>74</v>
      </c>
      <c r="BC595" t="s">
        <v>74</v>
      </c>
      <c r="BD595">
        <v>107039</v>
      </c>
      <c r="BE595" t="s">
        <v>11809</v>
      </c>
      <c r="BF595" t="str">
        <f>HYPERLINK("http://dx.doi.org/10.1016/j.ympev.2020.107039","http://dx.doi.org/10.1016/j.ympev.2020.107039")</f>
        <v>http://dx.doi.org/10.1016/j.ympev.2020.107039</v>
      </c>
      <c r="BG595" t="s">
        <v>74</v>
      </c>
      <c r="BH595" t="s">
        <v>74</v>
      </c>
      <c r="BI595">
        <v>11</v>
      </c>
      <c r="BJ595" t="s">
        <v>11810</v>
      </c>
      <c r="BK595" t="s">
        <v>101</v>
      </c>
      <c r="BL595" t="s">
        <v>11810</v>
      </c>
      <c r="BM595" t="s">
        <v>11811</v>
      </c>
      <c r="BN595">
        <v>33310059</v>
      </c>
      <c r="BO595" t="s">
        <v>398</v>
      </c>
      <c r="BP595" t="s">
        <v>74</v>
      </c>
      <c r="BQ595" t="s">
        <v>74</v>
      </c>
      <c r="BR595" t="s">
        <v>104</v>
      </c>
      <c r="BS595" t="s">
        <v>11812</v>
      </c>
      <c r="BT595" t="str">
        <f>HYPERLINK("https%3A%2F%2Fwww.webofscience.com%2Fwos%2Fwoscc%2Ffull-record%2FWOS:000612817100005","View Full Record in Web of Science")</f>
        <v>View Full Record in Web of Science</v>
      </c>
    </row>
    <row r="596" spans="1:72" x14ac:dyDescent="0.15">
      <c r="A596" t="s">
        <v>72</v>
      </c>
      <c r="B596" t="s">
        <v>11813</v>
      </c>
      <c r="C596" t="s">
        <v>74</v>
      </c>
      <c r="D596" t="s">
        <v>74</v>
      </c>
      <c r="E596" t="s">
        <v>74</v>
      </c>
      <c r="F596" t="s">
        <v>11814</v>
      </c>
      <c r="G596" t="s">
        <v>74</v>
      </c>
      <c r="H596" t="s">
        <v>74</v>
      </c>
      <c r="I596" t="s">
        <v>11815</v>
      </c>
      <c r="J596" t="s">
        <v>403</v>
      </c>
      <c r="K596" t="s">
        <v>74</v>
      </c>
      <c r="L596" t="s">
        <v>74</v>
      </c>
      <c r="M596" t="s">
        <v>78</v>
      </c>
      <c r="N596" t="s">
        <v>79</v>
      </c>
      <c r="O596" t="s">
        <v>74</v>
      </c>
      <c r="P596" t="s">
        <v>74</v>
      </c>
      <c r="Q596" t="s">
        <v>74</v>
      </c>
      <c r="R596" t="s">
        <v>74</v>
      </c>
      <c r="S596" t="s">
        <v>74</v>
      </c>
      <c r="T596" t="s">
        <v>11816</v>
      </c>
      <c r="U596" t="s">
        <v>11817</v>
      </c>
      <c r="V596" t="s">
        <v>11818</v>
      </c>
      <c r="W596" t="s">
        <v>11819</v>
      </c>
      <c r="X596" t="s">
        <v>11820</v>
      </c>
      <c r="Y596" t="s">
        <v>11821</v>
      </c>
      <c r="Z596" t="s">
        <v>11822</v>
      </c>
      <c r="AA596" t="s">
        <v>11823</v>
      </c>
      <c r="AB596" t="s">
        <v>11824</v>
      </c>
      <c r="AC596" t="s">
        <v>11825</v>
      </c>
      <c r="AD596" t="s">
        <v>11826</v>
      </c>
      <c r="AE596" t="s">
        <v>11827</v>
      </c>
      <c r="AF596" t="s">
        <v>74</v>
      </c>
      <c r="AG596">
        <v>61</v>
      </c>
      <c r="AH596">
        <v>5</v>
      </c>
      <c r="AI596">
        <v>5</v>
      </c>
      <c r="AJ596">
        <v>1</v>
      </c>
      <c r="AK596">
        <v>10</v>
      </c>
      <c r="AL596" t="s">
        <v>413</v>
      </c>
      <c r="AM596" t="s">
        <v>167</v>
      </c>
      <c r="AN596" t="s">
        <v>414</v>
      </c>
      <c r="AO596" t="s">
        <v>415</v>
      </c>
      <c r="AP596" t="s">
        <v>416</v>
      </c>
      <c r="AQ596" t="s">
        <v>74</v>
      </c>
      <c r="AR596" t="s">
        <v>417</v>
      </c>
      <c r="AS596" t="s">
        <v>418</v>
      </c>
      <c r="AT596" t="s">
        <v>1809</v>
      </c>
      <c r="AU596">
        <v>2021</v>
      </c>
      <c r="AV596">
        <v>61</v>
      </c>
      <c r="AW596">
        <v>2</v>
      </c>
      <c r="AX596" t="s">
        <v>74</v>
      </c>
      <c r="AY596" t="s">
        <v>74</v>
      </c>
      <c r="AZ596" t="s">
        <v>74</v>
      </c>
      <c r="BA596" t="s">
        <v>74</v>
      </c>
      <c r="BB596">
        <v>204</v>
      </c>
      <c r="BC596">
        <v>219</v>
      </c>
      <c r="BD596" t="s">
        <v>74</v>
      </c>
      <c r="BE596" t="s">
        <v>11828</v>
      </c>
      <c r="BF596" t="str">
        <f>HYPERLINK("http://dx.doi.org/10.1134/S0001437021020053","http://dx.doi.org/10.1134/S0001437021020053")</f>
        <v>http://dx.doi.org/10.1134/S0001437021020053</v>
      </c>
      <c r="BG596" t="s">
        <v>74</v>
      </c>
      <c r="BH596" t="s">
        <v>74</v>
      </c>
      <c r="BI596">
        <v>16</v>
      </c>
      <c r="BJ596" t="s">
        <v>369</v>
      </c>
      <c r="BK596" t="s">
        <v>101</v>
      </c>
      <c r="BL596" t="s">
        <v>369</v>
      </c>
      <c r="BM596" t="s">
        <v>10567</v>
      </c>
      <c r="BN596" t="s">
        <v>74</v>
      </c>
      <c r="BO596" t="s">
        <v>74</v>
      </c>
      <c r="BP596" t="s">
        <v>74</v>
      </c>
      <c r="BQ596" t="s">
        <v>74</v>
      </c>
      <c r="BR596" t="s">
        <v>104</v>
      </c>
      <c r="BS596" t="s">
        <v>11829</v>
      </c>
      <c r="BT596" t="str">
        <f>HYPERLINK("https%3A%2F%2Fwww.webofscience.com%2Fwos%2Fwoscc%2Ffull-record%2FWOS:000646943500006","View Full Record in Web of Science")</f>
        <v>View Full Record in Web of Science</v>
      </c>
    </row>
    <row r="597" spans="1:72" x14ac:dyDescent="0.15">
      <c r="A597" t="s">
        <v>72</v>
      </c>
      <c r="B597" t="s">
        <v>11830</v>
      </c>
      <c r="C597" t="s">
        <v>74</v>
      </c>
      <c r="D597" t="s">
        <v>74</v>
      </c>
      <c r="E597" t="s">
        <v>74</v>
      </c>
      <c r="F597" t="s">
        <v>11831</v>
      </c>
      <c r="G597" t="s">
        <v>74</v>
      </c>
      <c r="H597" t="s">
        <v>74</v>
      </c>
      <c r="I597" t="s">
        <v>11832</v>
      </c>
      <c r="J597" t="s">
        <v>11833</v>
      </c>
      <c r="K597" t="s">
        <v>74</v>
      </c>
      <c r="L597" t="s">
        <v>74</v>
      </c>
      <c r="M597" t="s">
        <v>78</v>
      </c>
      <c r="N597" t="s">
        <v>1074</v>
      </c>
      <c r="O597" t="s">
        <v>74</v>
      </c>
      <c r="P597" t="s">
        <v>74</v>
      </c>
      <c r="Q597" t="s">
        <v>74</v>
      </c>
      <c r="R597" t="s">
        <v>74</v>
      </c>
      <c r="S597" t="s">
        <v>74</v>
      </c>
      <c r="T597" t="s">
        <v>11834</v>
      </c>
      <c r="U597" t="s">
        <v>11835</v>
      </c>
      <c r="V597" t="s">
        <v>11836</v>
      </c>
      <c r="W597" t="s">
        <v>11837</v>
      </c>
      <c r="X597" t="s">
        <v>11838</v>
      </c>
      <c r="Y597" t="s">
        <v>11839</v>
      </c>
      <c r="Z597" t="s">
        <v>11840</v>
      </c>
      <c r="AA597" t="s">
        <v>74</v>
      </c>
      <c r="AB597" t="s">
        <v>11841</v>
      </c>
      <c r="AC597" t="s">
        <v>74</v>
      </c>
      <c r="AD597" t="s">
        <v>74</v>
      </c>
      <c r="AE597" t="s">
        <v>74</v>
      </c>
      <c r="AF597" t="s">
        <v>74</v>
      </c>
      <c r="AG597">
        <v>130</v>
      </c>
      <c r="AH597">
        <v>16</v>
      </c>
      <c r="AI597">
        <v>16</v>
      </c>
      <c r="AJ597">
        <v>5</v>
      </c>
      <c r="AK597">
        <v>6</v>
      </c>
      <c r="AL597" t="s">
        <v>335</v>
      </c>
      <c r="AM597" t="s">
        <v>336</v>
      </c>
      <c r="AN597" t="s">
        <v>337</v>
      </c>
      <c r="AO597" t="s">
        <v>74</v>
      </c>
      <c r="AP597" t="s">
        <v>11842</v>
      </c>
      <c r="AQ597" t="s">
        <v>74</v>
      </c>
      <c r="AR597" t="s">
        <v>11843</v>
      </c>
      <c r="AS597" t="s">
        <v>11844</v>
      </c>
      <c r="AT597" t="s">
        <v>1809</v>
      </c>
      <c r="AU597">
        <v>2021</v>
      </c>
      <c r="AV597">
        <v>2</v>
      </c>
      <c r="AW597">
        <v>1</v>
      </c>
      <c r="AX597" t="s">
        <v>74</v>
      </c>
      <c r="AY597" t="s">
        <v>74</v>
      </c>
      <c r="AZ597" t="s">
        <v>74</v>
      </c>
      <c r="BA597" t="s">
        <v>74</v>
      </c>
      <c r="BB597">
        <v>1</v>
      </c>
      <c r="BC597">
        <v>25</v>
      </c>
      <c r="BD597" t="s">
        <v>74</v>
      </c>
      <c r="BE597" t="s">
        <v>11845</v>
      </c>
      <c r="BF597" t="str">
        <f>HYPERLINK("http://dx.doi.org/10.3390/oceans2010001","http://dx.doi.org/10.3390/oceans2010001")</f>
        <v>http://dx.doi.org/10.3390/oceans2010001</v>
      </c>
      <c r="BG597" t="s">
        <v>74</v>
      </c>
      <c r="BH597" t="s">
        <v>74</v>
      </c>
      <c r="BI597">
        <v>25</v>
      </c>
      <c r="BJ597" t="s">
        <v>1391</v>
      </c>
      <c r="BK597" t="s">
        <v>342</v>
      </c>
      <c r="BL597" t="s">
        <v>1391</v>
      </c>
      <c r="BM597" t="s">
        <v>11846</v>
      </c>
      <c r="BN597" t="s">
        <v>74</v>
      </c>
      <c r="BO597" t="s">
        <v>298</v>
      </c>
      <c r="BP597" t="s">
        <v>74</v>
      </c>
      <c r="BQ597" t="s">
        <v>74</v>
      </c>
      <c r="BR597" t="s">
        <v>104</v>
      </c>
      <c r="BS597" t="s">
        <v>11847</v>
      </c>
      <c r="BT597" t="str">
        <f>HYPERLINK("https%3A%2F%2Fwww.webofscience.com%2Fwos%2Fwoscc%2Ffull-record%2FWOS:001008182200001","View Full Record in Web of Science")</f>
        <v>View Full Record in Web of Science</v>
      </c>
    </row>
    <row r="598" spans="1:72" x14ac:dyDescent="0.15">
      <c r="A598" t="s">
        <v>72</v>
      </c>
      <c r="B598" t="s">
        <v>11848</v>
      </c>
      <c r="C598" t="s">
        <v>74</v>
      </c>
      <c r="D598" t="s">
        <v>74</v>
      </c>
      <c r="E598" t="s">
        <v>74</v>
      </c>
      <c r="F598" t="s">
        <v>11849</v>
      </c>
      <c r="G598" t="s">
        <v>74</v>
      </c>
      <c r="H598" t="s">
        <v>74</v>
      </c>
      <c r="I598" t="s">
        <v>11850</v>
      </c>
      <c r="J598" t="s">
        <v>4271</v>
      </c>
      <c r="K598" t="s">
        <v>74</v>
      </c>
      <c r="L598" t="s">
        <v>74</v>
      </c>
      <c r="M598" t="s">
        <v>78</v>
      </c>
      <c r="N598" t="s">
        <v>79</v>
      </c>
      <c r="O598" t="s">
        <v>74</v>
      </c>
      <c r="P598" t="s">
        <v>74</v>
      </c>
      <c r="Q598" t="s">
        <v>74</v>
      </c>
      <c r="R598" t="s">
        <v>74</v>
      </c>
      <c r="S598" t="s">
        <v>74</v>
      </c>
      <c r="T598" t="s">
        <v>74</v>
      </c>
      <c r="U598" t="s">
        <v>11851</v>
      </c>
      <c r="V598" t="s">
        <v>11852</v>
      </c>
      <c r="W598" t="s">
        <v>11853</v>
      </c>
      <c r="X598" t="s">
        <v>11854</v>
      </c>
      <c r="Y598" t="s">
        <v>11855</v>
      </c>
      <c r="Z598" t="s">
        <v>11856</v>
      </c>
      <c r="AA598" t="s">
        <v>11857</v>
      </c>
      <c r="AB598" t="s">
        <v>11858</v>
      </c>
      <c r="AC598" t="s">
        <v>11859</v>
      </c>
      <c r="AD598" t="s">
        <v>11860</v>
      </c>
      <c r="AE598" t="s">
        <v>11861</v>
      </c>
      <c r="AF598" t="s">
        <v>74</v>
      </c>
      <c r="AG598">
        <v>48</v>
      </c>
      <c r="AH598">
        <v>38</v>
      </c>
      <c r="AI598">
        <v>40</v>
      </c>
      <c r="AJ598">
        <v>4</v>
      </c>
      <c r="AK598">
        <v>25</v>
      </c>
      <c r="AL598" t="s">
        <v>4283</v>
      </c>
      <c r="AM598" t="s">
        <v>390</v>
      </c>
      <c r="AN598" t="s">
        <v>4284</v>
      </c>
      <c r="AO598" t="s">
        <v>4285</v>
      </c>
      <c r="AP598" t="s">
        <v>74</v>
      </c>
      <c r="AQ598" t="s">
        <v>74</v>
      </c>
      <c r="AR598" t="s">
        <v>4286</v>
      </c>
      <c r="AS598" t="s">
        <v>4287</v>
      </c>
      <c r="AT598" t="s">
        <v>1809</v>
      </c>
      <c r="AU598">
        <v>2021</v>
      </c>
      <c r="AV598">
        <v>7</v>
      </c>
      <c r="AW598">
        <v>10</v>
      </c>
      <c r="AX598" t="s">
        <v>74</v>
      </c>
      <c r="AY598" t="s">
        <v>74</v>
      </c>
      <c r="AZ598" t="s">
        <v>74</v>
      </c>
      <c r="BA598" t="s">
        <v>74</v>
      </c>
      <c r="BB598" t="s">
        <v>74</v>
      </c>
      <c r="BC598" t="s">
        <v>74</v>
      </c>
      <c r="BD598" t="s">
        <v>11862</v>
      </c>
      <c r="BE598" t="s">
        <v>11863</v>
      </c>
      <c r="BF598" t="str">
        <f>HYPERLINK("http://dx.doi.org/10.1126/sciadv.abd7225","http://dx.doi.org/10.1126/sciadv.abd7225")</f>
        <v>http://dx.doi.org/10.1126/sciadv.abd7225</v>
      </c>
      <c r="BG598" t="s">
        <v>74</v>
      </c>
      <c r="BH598" t="s">
        <v>74</v>
      </c>
      <c r="BI598">
        <v>12</v>
      </c>
      <c r="BJ598" t="s">
        <v>555</v>
      </c>
      <c r="BK598" t="s">
        <v>1038</v>
      </c>
      <c r="BL598" t="s">
        <v>556</v>
      </c>
      <c r="BM598" t="s">
        <v>11864</v>
      </c>
      <c r="BN598">
        <v>33658194</v>
      </c>
      <c r="BO598" t="s">
        <v>11865</v>
      </c>
      <c r="BP598" t="s">
        <v>74</v>
      </c>
      <c r="BQ598" t="s">
        <v>74</v>
      </c>
      <c r="BR598" t="s">
        <v>104</v>
      </c>
      <c r="BS598" t="s">
        <v>11866</v>
      </c>
      <c r="BT598" t="str">
        <f>HYPERLINK("https%3A%2F%2Fwww.webofscience.com%2Fwos%2Fwoscc%2Ffull-record%2FWOS:000625411900005","View Full Record in Web of Science")</f>
        <v>View Full Record in Web of Science</v>
      </c>
    </row>
    <row r="599" spans="1:72" x14ac:dyDescent="0.15">
      <c r="A599" t="s">
        <v>72</v>
      </c>
      <c r="B599" t="s">
        <v>11867</v>
      </c>
      <c r="C599" t="s">
        <v>74</v>
      </c>
      <c r="D599" t="s">
        <v>74</v>
      </c>
      <c r="E599" t="s">
        <v>74</v>
      </c>
      <c r="F599" t="s">
        <v>11868</v>
      </c>
      <c r="G599" t="s">
        <v>74</v>
      </c>
      <c r="H599" t="s">
        <v>74</v>
      </c>
      <c r="I599" t="s">
        <v>11869</v>
      </c>
      <c r="J599" t="s">
        <v>3119</v>
      </c>
      <c r="K599" t="s">
        <v>74</v>
      </c>
      <c r="L599" t="s">
        <v>74</v>
      </c>
      <c r="M599" t="s">
        <v>78</v>
      </c>
      <c r="N599" t="s">
        <v>79</v>
      </c>
      <c r="O599" t="s">
        <v>74</v>
      </c>
      <c r="P599" t="s">
        <v>74</v>
      </c>
      <c r="Q599" t="s">
        <v>74</v>
      </c>
      <c r="R599" t="s">
        <v>74</v>
      </c>
      <c r="S599" t="s">
        <v>74</v>
      </c>
      <c r="T599" t="s">
        <v>11870</v>
      </c>
      <c r="U599" t="s">
        <v>11871</v>
      </c>
      <c r="V599" t="s">
        <v>11872</v>
      </c>
      <c r="W599" t="s">
        <v>11873</v>
      </c>
      <c r="X599" t="s">
        <v>11874</v>
      </c>
      <c r="Y599" t="s">
        <v>11875</v>
      </c>
      <c r="Z599" t="s">
        <v>11876</v>
      </c>
      <c r="AA599" t="s">
        <v>11877</v>
      </c>
      <c r="AB599" t="s">
        <v>11878</v>
      </c>
      <c r="AC599" t="s">
        <v>11879</v>
      </c>
      <c r="AD599" t="s">
        <v>11880</v>
      </c>
      <c r="AE599" t="s">
        <v>11881</v>
      </c>
      <c r="AF599" t="s">
        <v>74</v>
      </c>
      <c r="AG599">
        <v>76</v>
      </c>
      <c r="AH599">
        <v>6</v>
      </c>
      <c r="AI599">
        <v>7</v>
      </c>
      <c r="AJ599">
        <v>0</v>
      </c>
      <c r="AK599">
        <v>14</v>
      </c>
      <c r="AL599" t="s">
        <v>1058</v>
      </c>
      <c r="AM599" t="s">
        <v>891</v>
      </c>
      <c r="AN599" t="s">
        <v>1059</v>
      </c>
      <c r="AO599" t="s">
        <v>3132</v>
      </c>
      <c r="AP599" t="s">
        <v>3133</v>
      </c>
      <c r="AQ599" t="s">
        <v>74</v>
      </c>
      <c r="AR599" t="s">
        <v>3119</v>
      </c>
      <c r="AS599" t="s">
        <v>3134</v>
      </c>
      <c r="AT599" t="s">
        <v>1809</v>
      </c>
      <c r="AU599">
        <v>2021</v>
      </c>
      <c r="AV599">
        <v>267</v>
      </c>
      <c r="AW599" t="s">
        <v>74</v>
      </c>
      <c r="AX599" t="s">
        <v>74</v>
      </c>
      <c r="AY599" t="s">
        <v>74</v>
      </c>
      <c r="AZ599" t="s">
        <v>74</v>
      </c>
      <c r="BA599" t="s">
        <v>74</v>
      </c>
      <c r="BB599" t="s">
        <v>74</v>
      </c>
      <c r="BC599" t="s">
        <v>74</v>
      </c>
      <c r="BD599">
        <v>129335</v>
      </c>
      <c r="BE599" t="s">
        <v>11882</v>
      </c>
      <c r="BF599" t="str">
        <f>HYPERLINK("http://dx.doi.org/10.1016/j.chemosphere.2020.129335","http://dx.doi.org/10.1016/j.chemosphere.2020.129335")</f>
        <v>http://dx.doi.org/10.1016/j.chemosphere.2020.129335</v>
      </c>
      <c r="BG599" t="s">
        <v>74</v>
      </c>
      <c r="BH599" t="s">
        <v>74</v>
      </c>
      <c r="BI599">
        <v>13</v>
      </c>
      <c r="BJ599" t="s">
        <v>224</v>
      </c>
      <c r="BK599" t="s">
        <v>101</v>
      </c>
      <c r="BL599" t="s">
        <v>225</v>
      </c>
      <c r="BM599" t="s">
        <v>11883</v>
      </c>
      <c r="BN599">
        <v>33352366</v>
      </c>
      <c r="BO599" t="s">
        <v>74</v>
      </c>
      <c r="BP599" t="s">
        <v>74</v>
      </c>
      <c r="BQ599" t="s">
        <v>74</v>
      </c>
      <c r="BR599" t="s">
        <v>104</v>
      </c>
      <c r="BS599" t="s">
        <v>11884</v>
      </c>
      <c r="BT599" t="str">
        <f>HYPERLINK("https%3A%2F%2Fwww.webofscience.com%2Fwos%2Fwoscc%2Ffull-record%2FWOS:000608802100129","View Full Record in Web of Science")</f>
        <v>View Full Record in Web of Science</v>
      </c>
    </row>
    <row r="600" spans="1:72" x14ac:dyDescent="0.15">
      <c r="A600" t="s">
        <v>72</v>
      </c>
      <c r="B600" t="s">
        <v>11885</v>
      </c>
      <c r="C600" t="s">
        <v>74</v>
      </c>
      <c r="D600" t="s">
        <v>74</v>
      </c>
      <c r="E600" t="s">
        <v>74</v>
      </c>
      <c r="F600" t="s">
        <v>11886</v>
      </c>
      <c r="G600" t="s">
        <v>74</v>
      </c>
      <c r="H600" t="s">
        <v>74</v>
      </c>
      <c r="I600" t="s">
        <v>11887</v>
      </c>
      <c r="J600" t="s">
        <v>11888</v>
      </c>
      <c r="K600" t="s">
        <v>74</v>
      </c>
      <c r="L600" t="s">
        <v>74</v>
      </c>
      <c r="M600" t="s">
        <v>78</v>
      </c>
      <c r="N600" t="s">
        <v>79</v>
      </c>
      <c r="O600" t="s">
        <v>74</v>
      </c>
      <c r="P600" t="s">
        <v>74</v>
      </c>
      <c r="Q600" t="s">
        <v>74</v>
      </c>
      <c r="R600" t="s">
        <v>74</v>
      </c>
      <c r="S600" t="s">
        <v>74</v>
      </c>
      <c r="T600" t="s">
        <v>74</v>
      </c>
      <c r="U600" t="s">
        <v>11889</v>
      </c>
      <c r="V600" t="s">
        <v>11890</v>
      </c>
      <c r="W600" t="s">
        <v>11891</v>
      </c>
      <c r="X600" t="s">
        <v>11892</v>
      </c>
      <c r="Y600" t="s">
        <v>11893</v>
      </c>
      <c r="Z600" t="s">
        <v>11894</v>
      </c>
      <c r="AA600" t="s">
        <v>74</v>
      </c>
      <c r="AB600" t="s">
        <v>11895</v>
      </c>
      <c r="AC600" t="s">
        <v>11896</v>
      </c>
      <c r="AD600" t="s">
        <v>11897</v>
      </c>
      <c r="AE600" t="s">
        <v>11898</v>
      </c>
      <c r="AF600" t="s">
        <v>74</v>
      </c>
      <c r="AG600">
        <v>78</v>
      </c>
      <c r="AH600">
        <v>3</v>
      </c>
      <c r="AI600">
        <v>3</v>
      </c>
      <c r="AJ600">
        <v>0</v>
      </c>
      <c r="AK600">
        <v>7</v>
      </c>
      <c r="AL600" t="s">
        <v>166</v>
      </c>
      <c r="AM600" t="s">
        <v>167</v>
      </c>
      <c r="AN600" t="s">
        <v>168</v>
      </c>
      <c r="AO600" t="s">
        <v>11899</v>
      </c>
      <c r="AP600" t="s">
        <v>11900</v>
      </c>
      <c r="AQ600" t="s">
        <v>74</v>
      </c>
      <c r="AR600" t="s">
        <v>11901</v>
      </c>
      <c r="AS600" t="s">
        <v>11902</v>
      </c>
      <c r="AT600" t="s">
        <v>1809</v>
      </c>
      <c r="AU600">
        <v>2021</v>
      </c>
      <c r="AV600">
        <v>41</v>
      </c>
      <c r="AW600">
        <v>1</v>
      </c>
      <c r="AX600" t="s">
        <v>74</v>
      </c>
      <c r="AY600" t="s">
        <v>74</v>
      </c>
      <c r="AZ600" t="s">
        <v>74</v>
      </c>
      <c r="BA600" t="s">
        <v>74</v>
      </c>
      <c r="BB600" t="s">
        <v>74</v>
      </c>
      <c r="BC600" t="s">
        <v>74</v>
      </c>
      <c r="BD600">
        <v>2</v>
      </c>
      <c r="BE600" t="s">
        <v>11903</v>
      </c>
      <c r="BF600" t="str">
        <f>HYPERLINK("http://dx.doi.org/10.1007/s00367-020-00677-1","http://dx.doi.org/10.1007/s00367-020-00677-1")</f>
        <v>http://dx.doi.org/10.1007/s00367-020-00677-1</v>
      </c>
      <c r="BG600" t="s">
        <v>74</v>
      </c>
      <c r="BH600" t="s">
        <v>74</v>
      </c>
      <c r="BI600">
        <v>21</v>
      </c>
      <c r="BJ600" t="s">
        <v>7955</v>
      </c>
      <c r="BK600" t="s">
        <v>101</v>
      </c>
      <c r="BL600" t="s">
        <v>7956</v>
      </c>
      <c r="BM600" t="s">
        <v>11904</v>
      </c>
      <c r="BN600" t="s">
        <v>74</v>
      </c>
      <c r="BO600" t="s">
        <v>2543</v>
      </c>
      <c r="BP600" t="s">
        <v>74</v>
      </c>
      <c r="BQ600" t="s">
        <v>74</v>
      </c>
      <c r="BR600" t="s">
        <v>104</v>
      </c>
      <c r="BS600" t="s">
        <v>11905</v>
      </c>
      <c r="BT600" t="str">
        <f>HYPERLINK("https%3A%2F%2Fwww.webofscience.com%2Fwos%2Fwoscc%2Ffull-record%2FWOS:000607934000001","View Full Record in Web of Science")</f>
        <v>View Full Record in Web of Science</v>
      </c>
    </row>
    <row r="601" spans="1:72" x14ac:dyDescent="0.15">
      <c r="A601" t="s">
        <v>72</v>
      </c>
      <c r="B601" t="s">
        <v>11906</v>
      </c>
      <c r="C601" t="s">
        <v>74</v>
      </c>
      <c r="D601" t="s">
        <v>74</v>
      </c>
      <c r="E601" t="s">
        <v>74</v>
      </c>
      <c r="F601" t="s">
        <v>11907</v>
      </c>
      <c r="G601" t="s">
        <v>74</v>
      </c>
      <c r="H601" t="s">
        <v>74</v>
      </c>
      <c r="I601" t="s">
        <v>11908</v>
      </c>
      <c r="J601" t="s">
        <v>563</v>
      </c>
      <c r="K601" t="s">
        <v>74</v>
      </c>
      <c r="L601" t="s">
        <v>74</v>
      </c>
      <c r="M601" t="s">
        <v>78</v>
      </c>
      <c r="N601" t="s">
        <v>79</v>
      </c>
      <c r="O601" t="s">
        <v>74</v>
      </c>
      <c r="P601" t="s">
        <v>74</v>
      </c>
      <c r="Q601" t="s">
        <v>74</v>
      </c>
      <c r="R601" t="s">
        <v>74</v>
      </c>
      <c r="S601" t="s">
        <v>74</v>
      </c>
      <c r="T601" t="s">
        <v>11909</v>
      </c>
      <c r="U601" t="s">
        <v>11910</v>
      </c>
      <c r="V601" t="s">
        <v>11911</v>
      </c>
      <c r="W601" t="s">
        <v>11912</v>
      </c>
      <c r="X601" t="s">
        <v>11913</v>
      </c>
      <c r="Y601" t="s">
        <v>11914</v>
      </c>
      <c r="Z601" t="s">
        <v>11915</v>
      </c>
      <c r="AA601" t="s">
        <v>11916</v>
      </c>
      <c r="AB601" t="s">
        <v>11917</v>
      </c>
      <c r="AC601" t="s">
        <v>11918</v>
      </c>
      <c r="AD601" t="s">
        <v>11919</v>
      </c>
      <c r="AE601" t="s">
        <v>11920</v>
      </c>
      <c r="AF601" t="s">
        <v>74</v>
      </c>
      <c r="AG601">
        <v>67</v>
      </c>
      <c r="AH601">
        <v>4</v>
      </c>
      <c r="AI601">
        <v>4</v>
      </c>
      <c r="AJ601">
        <v>12</v>
      </c>
      <c r="AK601">
        <v>50</v>
      </c>
      <c r="AL601" t="s">
        <v>576</v>
      </c>
      <c r="AM601" t="s">
        <v>577</v>
      </c>
      <c r="AN601" t="s">
        <v>578</v>
      </c>
      <c r="AO601" t="s">
        <v>579</v>
      </c>
      <c r="AP601" t="s">
        <v>580</v>
      </c>
      <c r="AQ601" t="s">
        <v>74</v>
      </c>
      <c r="AR601" t="s">
        <v>581</v>
      </c>
      <c r="AS601" t="s">
        <v>582</v>
      </c>
      <c r="AT601" t="s">
        <v>11445</v>
      </c>
      <c r="AU601">
        <v>2021</v>
      </c>
      <c r="AV601">
        <v>758</v>
      </c>
      <c r="AW601" t="s">
        <v>74</v>
      </c>
      <c r="AX601" t="s">
        <v>74</v>
      </c>
      <c r="AY601" t="s">
        <v>74</v>
      </c>
      <c r="AZ601" t="s">
        <v>74</v>
      </c>
      <c r="BA601" t="s">
        <v>74</v>
      </c>
      <c r="BB601" t="s">
        <v>74</v>
      </c>
      <c r="BC601" t="s">
        <v>74</v>
      </c>
      <c r="BD601">
        <v>143947</v>
      </c>
      <c r="BE601" t="s">
        <v>11921</v>
      </c>
      <c r="BF601" t="str">
        <f>HYPERLINK("http://dx.doi.org/10.1016/j.scitotenv.2020.143947","http://dx.doi.org/10.1016/j.scitotenv.2020.143947")</f>
        <v>http://dx.doi.org/10.1016/j.scitotenv.2020.143947</v>
      </c>
      <c r="BG601" t="s">
        <v>74</v>
      </c>
      <c r="BH601" t="s">
        <v>74</v>
      </c>
      <c r="BI601">
        <v>16</v>
      </c>
      <c r="BJ601" t="s">
        <v>224</v>
      </c>
      <c r="BK601" t="s">
        <v>101</v>
      </c>
      <c r="BL601" t="s">
        <v>225</v>
      </c>
      <c r="BM601" t="s">
        <v>11922</v>
      </c>
      <c r="BN601">
        <v>33338791</v>
      </c>
      <c r="BO601" t="s">
        <v>74</v>
      </c>
      <c r="BP601" t="s">
        <v>74</v>
      </c>
      <c r="BQ601" t="s">
        <v>74</v>
      </c>
      <c r="BR601" t="s">
        <v>104</v>
      </c>
      <c r="BS601" t="s">
        <v>11923</v>
      </c>
      <c r="BT601" t="str">
        <f>HYPERLINK("https%3A%2F%2Fwww.webofscience.com%2Fwos%2Fwoscc%2Ffull-record%2FWOS:000605623800128","View Full Record in Web of Science")</f>
        <v>View Full Record in Web of Science</v>
      </c>
    </row>
    <row r="602" spans="1:72" x14ac:dyDescent="0.15">
      <c r="A602" t="s">
        <v>72</v>
      </c>
      <c r="B602" t="s">
        <v>11924</v>
      </c>
      <c r="C602" t="s">
        <v>74</v>
      </c>
      <c r="D602" t="s">
        <v>74</v>
      </c>
      <c r="E602" t="s">
        <v>74</v>
      </c>
      <c r="F602" t="s">
        <v>11925</v>
      </c>
      <c r="G602" t="s">
        <v>74</v>
      </c>
      <c r="H602" t="s">
        <v>74</v>
      </c>
      <c r="I602" t="s">
        <v>11926</v>
      </c>
      <c r="J602" t="s">
        <v>11927</v>
      </c>
      <c r="K602" t="s">
        <v>74</v>
      </c>
      <c r="L602" t="s">
        <v>74</v>
      </c>
      <c r="M602" t="s">
        <v>78</v>
      </c>
      <c r="N602" t="s">
        <v>79</v>
      </c>
      <c r="O602" t="s">
        <v>74</v>
      </c>
      <c r="P602" t="s">
        <v>74</v>
      </c>
      <c r="Q602" t="s">
        <v>74</v>
      </c>
      <c r="R602" t="s">
        <v>74</v>
      </c>
      <c r="S602" t="s">
        <v>74</v>
      </c>
      <c r="T602" t="s">
        <v>11928</v>
      </c>
      <c r="U602" t="s">
        <v>11929</v>
      </c>
      <c r="V602" t="s">
        <v>11930</v>
      </c>
      <c r="W602" t="s">
        <v>11931</v>
      </c>
      <c r="X602" t="s">
        <v>11932</v>
      </c>
      <c r="Y602" t="s">
        <v>11933</v>
      </c>
      <c r="Z602" t="s">
        <v>11934</v>
      </c>
      <c r="AA602" t="s">
        <v>11935</v>
      </c>
      <c r="AB602" t="s">
        <v>11936</v>
      </c>
      <c r="AC602" t="s">
        <v>11937</v>
      </c>
      <c r="AD602" t="s">
        <v>11938</v>
      </c>
      <c r="AE602" t="s">
        <v>11939</v>
      </c>
      <c r="AF602" t="s">
        <v>74</v>
      </c>
      <c r="AG602">
        <v>32</v>
      </c>
      <c r="AH602">
        <v>4</v>
      </c>
      <c r="AI602">
        <v>5</v>
      </c>
      <c r="AJ602">
        <v>7</v>
      </c>
      <c r="AK602">
        <v>44</v>
      </c>
      <c r="AL602" t="s">
        <v>576</v>
      </c>
      <c r="AM602" t="s">
        <v>577</v>
      </c>
      <c r="AN602" t="s">
        <v>578</v>
      </c>
      <c r="AO602" t="s">
        <v>11940</v>
      </c>
      <c r="AP602" t="s">
        <v>11941</v>
      </c>
      <c r="AQ602" t="s">
        <v>74</v>
      </c>
      <c r="AR602" t="s">
        <v>11927</v>
      </c>
      <c r="AS602" t="s">
        <v>11942</v>
      </c>
      <c r="AT602" t="s">
        <v>11445</v>
      </c>
      <c r="AU602">
        <v>2021</v>
      </c>
      <c r="AV602">
        <v>224</v>
      </c>
      <c r="AW602" t="s">
        <v>74</v>
      </c>
      <c r="AX602" t="s">
        <v>74</v>
      </c>
      <c r="AY602" t="s">
        <v>74</v>
      </c>
      <c r="AZ602" t="s">
        <v>74</v>
      </c>
      <c r="BA602" t="s">
        <v>74</v>
      </c>
      <c r="BB602" t="s">
        <v>74</v>
      </c>
      <c r="BC602" t="s">
        <v>74</v>
      </c>
      <c r="BD602">
        <v>121775</v>
      </c>
      <c r="BE602" t="s">
        <v>11943</v>
      </c>
      <c r="BF602" t="str">
        <f>HYPERLINK("http://dx.doi.org/10.1016/j.talanta.2020.121775","http://dx.doi.org/10.1016/j.talanta.2020.121775")</f>
        <v>http://dx.doi.org/10.1016/j.talanta.2020.121775</v>
      </c>
      <c r="BG602" t="s">
        <v>74</v>
      </c>
      <c r="BH602" t="s">
        <v>74</v>
      </c>
      <c r="BI602">
        <v>9</v>
      </c>
      <c r="BJ602" t="s">
        <v>11944</v>
      </c>
      <c r="BK602" t="s">
        <v>101</v>
      </c>
      <c r="BL602" t="s">
        <v>11945</v>
      </c>
      <c r="BM602" t="s">
        <v>11946</v>
      </c>
      <c r="BN602">
        <v>33379010</v>
      </c>
      <c r="BO602" t="s">
        <v>74</v>
      </c>
      <c r="BP602" t="s">
        <v>74</v>
      </c>
      <c r="BQ602" t="s">
        <v>74</v>
      </c>
      <c r="BR602" t="s">
        <v>104</v>
      </c>
      <c r="BS602" t="s">
        <v>11947</v>
      </c>
      <c r="BT602" t="str">
        <f>HYPERLINK("https%3A%2F%2Fwww.webofscience.com%2Fwos%2Fwoscc%2Ffull-record%2FWOS:000600787800014","View Full Record in Web of Science")</f>
        <v>View Full Record in Web of Science</v>
      </c>
    </row>
    <row r="603" spans="1:72" x14ac:dyDescent="0.15">
      <c r="A603" t="s">
        <v>72</v>
      </c>
      <c r="B603" t="s">
        <v>11948</v>
      </c>
      <c r="C603" t="s">
        <v>74</v>
      </c>
      <c r="D603" t="s">
        <v>74</v>
      </c>
      <c r="E603" t="s">
        <v>74</v>
      </c>
      <c r="F603" t="s">
        <v>11949</v>
      </c>
      <c r="G603" t="s">
        <v>74</v>
      </c>
      <c r="H603" t="s">
        <v>74</v>
      </c>
      <c r="I603" t="s">
        <v>11950</v>
      </c>
      <c r="J603" t="s">
        <v>11927</v>
      </c>
      <c r="K603" t="s">
        <v>74</v>
      </c>
      <c r="L603" t="s">
        <v>74</v>
      </c>
      <c r="M603" t="s">
        <v>78</v>
      </c>
      <c r="N603" t="s">
        <v>79</v>
      </c>
      <c r="O603" t="s">
        <v>74</v>
      </c>
      <c r="P603" t="s">
        <v>74</v>
      </c>
      <c r="Q603" t="s">
        <v>74</v>
      </c>
      <c r="R603" t="s">
        <v>74</v>
      </c>
      <c r="S603" t="s">
        <v>74</v>
      </c>
      <c r="T603" t="s">
        <v>11951</v>
      </c>
      <c r="U603" t="s">
        <v>11952</v>
      </c>
      <c r="V603" t="s">
        <v>11953</v>
      </c>
      <c r="W603" t="s">
        <v>11954</v>
      </c>
      <c r="X603" t="s">
        <v>11955</v>
      </c>
      <c r="Y603" t="s">
        <v>11956</v>
      </c>
      <c r="Z603" t="s">
        <v>11957</v>
      </c>
      <c r="AA603" t="s">
        <v>11958</v>
      </c>
      <c r="AB603" t="s">
        <v>11959</v>
      </c>
      <c r="AC603" t="s">
        <v>11960</v>
      </c>
      <c r="AD603" t="s">
        <v>11961</v>
      </c>
      <c r="AE603" t="s">
        <v>11962</v>
      </c>
      <c r="AF603" t="s">
        <v>74</v>
      </c>
      <c r="AG603">
        <v>46</v>
      </c>
      <c r="AH603">
        <v>13</v>
      </c>
      <c r="AI603">
        <v>15</v>
      </c>
      <c r="AJ603">
        <v>3</v>
      </c>
      <c r="AK603">
        <v>44</v>
      </c>
      <c r="AL603" t="s">
        <v>576</v>
      </c>
      <c r="AM603" t="s">
        <v>577</v>
      </c>
      <c r="AN603" t="s">
        <v>578</v>
      </c>
      <c r="AO603" t="s">
        <v>11940</v>
      </c>
      <c r="AP603" t="s">
        <v>11941</v>
      </c>
      <c r="AQ603" t="s">
        <v>74</v>
      </c>
      <c r="AR603" t="s">
        <v>11927</v>
      </c>
      <c r="AS603" t="s">
        <v>11942</v>
      </c>
      <c r="AT603" t="s">
        <v>11445</v>
      </c>
      <c r="AU603">
        <v>2021</v>
      </c>
      <c r="AV603">
        <v>224</v>
      </c>
      <c r="AW603" t="s">
        <v>74</v>
      </c>
      <c r="AX603" t="s">
        <v>74</v>
      </c>
      <c r="AY603" t="s">
        <v>74</v>
      </c>
      <c r="AZ603" t="s">
        <v>74</v>
      </c>
      <c r="BA603" t="s">
        <v>74</v>
      </c>
      <c r="BB603" t="s">
        <v>74</v>
      </c>
      <c r="BC603" t="s">
        <v>74</v>
      </c>
      <c r="BD603">
        <v>121891</v>
      </c>
      <c r="BE603" t="s">
        <v>11963</v>
      </c>
      <c r="BF603" t="str">
        <f>HYPERLINK("http://dx.doi.org/10.1016/j.talanta.2020.121891","http://dx.doi.org/10.1016/j.talanta.2020.121891")</f>
        <v>http://dx.doi.org/10.1016/j.talanta.2020.121891</v>
      </c>
      <c r="BG603" t="s">
        <v>74</v>
      </c>
      <c r="BH603" t="s">
        <v>74</v>
      </c>
      <c r="BI603">
        <v>9</v>
      </c>
      <c r="BJ603" t="s">
        <v>11944</v>
      </c>
      <c r="BK603" t="s">
        <v>101</v>
      </c>
      <c r="BL603" t="s">
        <v>11945</v>
      </c>
      <c r="BM603" t="s">
        <v>11946</v>
      </c>
      <c r="BN603">
        <v>33379099</v>
      </c>
      <c r="BO603" t="s">
        <v>74</v>
      </c>
      <c r="BP603" t="s">
        <v>74</v>
      </c>
      <c r="BQ603" t="s">
        <v>74</v>
      </c>
      <c r="BR603" t="s">
        <v>104</v>
      </c>
      <c r="BS603" t="s">
        <v>11964</v>
      </c>
      <c r="BT603" t="str">
        <f>HYPERLINK("https%3A%2F%2Fwww.webofscience.com%2Fwos%2Fwoscc%2Ffull-record%2FWOS:000600787800103","View Full Record in Web of Science")</f>
        <v>View Full Record in Web of Science</v>
      </c>
    </row>
    <row r="604" spans="1:72" x14ac:dyDescent="0.15">
      <c r="A604" t="s">
        <v>72</v>
      </c>
      <c r="B604" t="s">
        <v>11965</v>
      </c>
      <c r="C604" t="s">
        <v>74</v>
      </c>
      <c r="D604" t="s">
        <v>74</v>
      </c>
      <c r="E604" t="s">
        <v>74</v>
      </c>
      <c r="F604" t="s">
        <v>11966</v>
      </c>
      <c r="G604" t="s">
        <v>74</v>
      </c>
      <c r="H604" t="s">
        <v>74</v>
      </c>
      <c r="I604" t="s">
        <v>11967</v>
      </c>
      <c r="J604" t="s">
        <v>11968</v>
      </c>
      <c r="K604" t="s">
        <v>74</v>
      </c>
      <c r="L604" t="s">
        <v>74</v>
      </c>
      <c r="M604" t="s">
        <v>78</v>
      </c>
      <c r="N604" t="s">
        <v>79</v>
      </c>
      <c r="O604" t="s">
        <v>74</v>
      </c>
      <c r="P604" t="s">
        <v>74</v>
      </c>
      <c r="Q604" t="s">
        <v>74</v>
      </c>
      <c r="R604" t="s">
        <v>74</v>
      </c>
      <c r="S604" t="s">
        <v>74</v>
      </c>
      <c r="T604" t="s">
        <v>11969</v>
      </c>
      <c r="U604" t="s">
        <v>11970</v>
      </c>
      <c r="V604" t="s">
        <v>11971</v>
      </c>
      <c r="W604" t="s">
        <v>11972</v>
      </c>
      <c r="X604" t="s">
        <v>11973</v>
      </c>
      <c r="Y604" t="s">
        <v>11974</v>
      </c>
      <c r="Z604" t="s">
        <v>11975</v>
      </c>
      <c r="AA604" t="s">
        <v>11976</v>
      </c>
      <c r="AB604" t="s">
        <v>11977</v>
      </c>
      <c r="AC604" t="s">
        <v>11978</v>
      </c>
      <c r="AD604" t="s">
        <v>11979</v>
      </c>
      <c r="AE604" t="s">
        <v>11980</v>
      </c>
      <c r="AF604" t="s">
        <v>74</v>
      </c>
      <c r="AG604">
        <v>63</v>
      </c>
      <c r="AH604">
        <v>52</v>
      </c>
      <c r="AI604">
        <v>59</v>
      </c>
      <c r="AJ604">
        <v>14</v>
      </c>
      <c r="AK604">
        <v>107</v>
      </c>
      <c r="AL604" t="s">
        <v>576</v>
      </c>
      <c r="AM604" t="s">
        <v>577</v>
      </c>
      <c r="AN604" t="s">
        <v>578</v>
      </c>
      <c r="AO604" t="s">
        <v>11981</v>
      </c>
      <c r="AP604" t="s">
        <v>11982</v>
      </c>
      <c r="AQ604" t="s">
        <v>74</v>
      </c>
      <c r="AR604" t="s">
        <v>11983</v>
      </c>
      <c r="AS604" t="s">
        <v>11984</v>
      </c>
      <c r="AT604" t="s">
        <v>1809</v>
      </c>
      <c r="AU604">
        <v>2021</v>
      </c>
      <c r="AV604">
        <v>71</v>
      </c>
      <c r="AW604" t="s">
        <v>74</v>
      </c>
      <c r="AX604" t="s">
        <v>74</v>
      </c>
      <c r="AY604" t="s">
        <v>74</v>
      </c>
      <c r="AZ604" t="s">
        <v>74</v>
      </c>
      <c r="BA604" t="s">
        <v>74</v>
      </c>
      <c r="BB604" t="s">
        <v>74</v>
      </c>
      <c r="BC604" t="s">
        <v>74</v>
      </c>
      <c r="BD604">
        <v>105364</v>
      </c>
      <c r="BE604" t="s">
        <v>11985</v>
      </c>
      <c r="BF604" t="str">
        <f>HYPERLINK("http://dx.doi.org/10.1016/j.ultsonch.2020.105364","http://dx.doi.org/10.1016/j.ultsonch.2020.105364")</f>
        <v>http://dx.doi.org/10.1016/j.ultsonch.2020.105364</v>
      </c>
      <c r="BG604" t="s">
        <v>74</v>
      </c>
      <c r="BH604" t="s">
        <v>74</v>
      </c>
      <c r="BI604">
        <v>11</v>
      </c>
      <c r="BJ604" t="s">
        <v>11986</v>
      </c>
      <c r="BK604" t="s">
        <v>101</v>
      </c>
      <c r="BL604" t="s">
        <v>11987</v>
      </c>
      <c r="BM604" t="s">
        <v>11988</v>
      </c>
      <c r="BN604">
        <v>33125962</v>
      </c>
      <c r="BO604" t="s">
        <v>298</v>
      </c>
      <c r="BP604" t="s">
        <v>74</v>
      </c>
      <c r="BQ604" t="s">
        <v>74</v>
      </c>
      <c r="BR604" t="s">
        <v>104</v>
      </c>
      <c r="BS604" t="s">
        <v>11989</v>
      </c>
      <c r="BT604" t="str">
        <f>HYPERLINK("https%3A%2F%2Fwww.webofscience.com%2Fwos%2Fwoscc%2Ffull-record%2FWOS:000605592400012","View Full Record in Web of Science")</f>
        <v>View Full Record in Web of Science</v>
      </c>
    </row>
    <row r="605" spans="1:72" x14ac:dyDescent="0.15">
      <c r="A605" t="s">
        <v>72</v>
      </c>
      <c r="B605" t="s">
        <v>11990</v>
      </c>
      <c r="C605" t="s">
        <v>74</v>
      </c>
      <c r="D605" t="s">
        <v>74</v>
      </c>
      <c r="E605" t="s">
        <v>74</v>
      </c>
      <c r="F605" t="s">
        <v>11991</v>
      </c>
      <c r="G605" t="s">
        <v>74</v>
      </c>
      <c r="H605" t="s">
        <v>74</v>
      </c>
      <c r="I605" t="s">
        <v>11992</v>
      </c>
      <c r="J605" t="s">
        <v>904</v>
      </c>
      <c r="K605" t="s">
        <v>74</v>
      </c>
      <c r="L605" t="s">
        <v>74</v>
      </c>
      <c r="M605" t="s">
        <v>78</v>
      </c>
      <c r="N605" t="s">
        <v>79</v>
      </c>
      <c r="O605" t="s">
        <v>74</v>
      </c>
      <c r="P605" t="s">
        <v>74</v>
      </c>
      <c r="Q605" t="s">
        <v>74</v>
      </c>
      <c r="R605" t="s">
        <v>74</v>
      </c>
      <c r="S605" t="s">
        <v>74</v>
      </c>
      <c r="T605" t="s">
        <v>11993</v>
      </c>
      <c r="U605" t="s">
        <v>11994</v>
      </c>
      <c r="V605" t="s">
        <v>11995</v>
      </c>
      <c r="W605" t="s">
        <v>11996</v>
      </c>
      <c r="X605" t="s">
        <v>11997</v>
      </c>
      <c r="Y605" t="s">
        <v>11998</v>
      </c>
      <c r="Z605" t="s">
        <v>11999</v>
      </c>
      <c r="AA605" t="s">
        <v>12000</v>
      </c>
      <c r="AB605" t="s">
        <v>12001</v>
      </c>
      <c r="AC605" t="s">
        <v>12002</v>
      </c>
      <c r="AD605" t="s">
        <v>12003</v>
      </c>
      <c r="AE605" t="s">
        <v>12004</v>
      </c>
      <c r="AF605" t="s">
        <v>74</v>
      </c>
      <c r="AG605">
        <v>30</v>
      </c>
      <c r="AH605">
        <v>15</v>
      </c>
      <c r="AI605">
        <v>15</v>
      </c>
      <c r="AJ605">
        <v>1</v>
      </c>
      <c r="AK605">
        <v>16</v>
      </c>
      <c r="AL605" t="s">
        <v>917</v>
      </c>
      <c r="AM605" t="s">
        <v>390</v>
      </c>
      <c r="AN605" t="s">
        <v>918</v>
      </c>
      <c r="AO605" t="s">
        <v>919</v>
      </c>
      <c r="AP605" t="s">
        <v>920</v>
      </c>
      <c r="AQ605" t="s">
        <v>74</v>
      </c>
      <c r="AR605" t="s">
        <v>921</v>
      </c>
      <c r="AS605" t="s">
        <v>922</v>
      </c>
      <c r="AT605" t="s">
        <v>12005</v>
      </c>
      <c r="AU605">
        <v>2021</v>
      </c>
      <c r="AV605">
        <v>48</v>
      </c>
      <c r="AW605">
        <v>4</v>
      </c>
      <c r="AX605" t="s">
        <v>74</v>
      </c>
      <c r="AY605" t="s">
        <v>74</v>
      </c>
      <c r="AZ605" t="s">
        <v>74</v>
      </c>
      <c r="BA605" t="s">
        <v>74</v>
      </c>
      <c r="BB605" t="s">
        <v>74</v>
      </c>
      <c r="BC605" t="s">
        <v>74</v>
      </c>
      <c r="BD605" t="s">
        <v>12006</v>
      </c>
      <c r="BE605" t="s">
        <v>12007</v>
      </c>
      <c r="BF605" t="str">
        <f>HYPERLINK("http://dx.doi.org/10.1029/2020GL091487","http://dx.doi.org/10.1029/2020GL091487")</f>
        <v>http://dx.doi.org/10.1029/2020GL091487</v>
      </c>
      <c r="BG605" t="s">
        <v>74</v>
      </c>
      <c r="BH605" t="s">
        <v>74</v>
      </c>
      <c r="BI605">
        <v>9</v>
      </c>
      <c r="BJ605" t="s">
        <v>100</v>
      </c>
      <c r="BK605" t="s">
        <v>101</v>
      </c>
      <c r="BL605" t="s">
        <v>102</v>
      </c>
      <c r="BM605" t="s">
        <v>12008</v>
      </c>
      <c r="BN605" t="s">
        <v>74</v>
      </c>
      <c r="BO605" t="s">
        <v>10496</v>
      </c>
      <c r="BP605" t="s">
        <v>74</v>
      </c>
      <c r="BQ605" t="s">
        <v>74</v>
      </c>
      <c r="BR605" t="s">
        <v>104</v>
      </c>
      <c r="BS605" t="s">
        <v>12009</v>
      </c>
      <c r="BT605" t="str">
        <f>HYPERLINK("https%3A%2F%2Fwww.webofscience.com%2Fwos%2Fwoscc%2Ffull-record%2FWOS:000623802900043","View Full Record in Web of Science")</f>
        <v>View Full Record in Web of Science</v>
      </c>
    </row>
    <row r="606" spans="1:72" x14ac:dyDescent="0.15">
      <c r="A606" t="s">
        <v>12010</v>
      </c>
      <c r="B606" t="s">
        <v>12011</v>
      </c>
      <c r="C606" t="s">
        <v>74</v>
      </c>
      <c r="D606" t="s">
        <v>74</v>
      </c>
      <c r="E606" t="s">
        <v>74</v>
      </c>
      <c r="F606" t="s">
        <v>12012</v>
      </c>
      <c r="G606" t="s">
        <v>74</v>
      </c>
      <c r="H606" t="s">
        <v>74</v>
      </c>
      <c r="I606" t="s">
        <v>12013</v>
      </c>
      <c r="J606" t="s">
        <v>12014</v>
      </c>
      <c r="K606" t="s">
        <v>74</v>
      </c>
      <c r="L606" t="s">
        <v>74</v>
      </c>
      <c r="M606" t="s">
        <v>78</v>
      </c>
      <c r="N606" t="s">
        <v>12015</v>
      </c>
      <c r="O606" t="s">
        <v>12016</v>
      </c>
      <c r="P606" t="s">
        <v>12017</v>
      </c>
      <c r="Q606" t="s">
        <v>2940</v>
      </c>
      <c r="R606" t="s">
        <v>74</v>
      </c>
      <c r="S606" t="s">
        <v>74</v>
      </c>
      <c r="T606" t="s">
        <v>12018</v>
      </c>
      <c r="U606" t="s">
        <v>74</v>
      </c>
      <c r="V606" t="s">
        <v>12019</v>
      </c>
      <c r="W606" t="s">
        <v>12020</v>
      </c>
      <c r="X606" t="s">
        <v>12021</v>
      </c>
      <c r="Y606" t="s">
        <v>12022</v>
      </c>
      <c r="Z606" t="s">
        <v>12023</v>
      </c>
      <c r="AA606" t="s">
        <v>74</v>
      </c>
      <c r="AB606" t="s">
        <v>74</v>
      </c>
      <c r="AC606" t="s">
        <v>74</v>
      </c>
      <c r="AD606" t="s">
        <v>74</v>
      </c>
      <c r="AE606" t="s">
        <v>74</v>
      </c>
      <c r="AF606" t="s">
        <v>74</v>
      </c>
      <c r="AG606">
        <v>4</v>
      </c>
      <c r="AH606">
        <v>0</v>
      </c>
      <c r="AI606">
        <v>0</v>
      </c>
      <c r="AJ606">
        <v>0</v>
      </c>
      <c r="AK606">
        <v>1</v>
      </c>
      <c r="AL606" t="s">
        <v>576</v>
      </c>
      <c r="AM606" t="s">
        <v>577</v>
      </c>
      <c r="AN606" t="s">
        <v>578</v>
      </c>
      <c r="AO606" t="s">
        <v>12024</v>
      </c>
      <c r="AP606" t="s">
        <v>74</v>
      </c>
      <c r="AQ606" t="s">
        <v>74</v>
      </c>
      <c r="AR606" t="s">
        <v>12025</v>
      </c>
      <c r="AS606" t="s">
        <v>12026</v>
      </c>
      <c r="AT606" t="s">
        <v>74</v>
      </c>
      <c r="AU606">
        <v>2021</v>
      </c>
      <c r="AV606">
        <v>37</v>
      </c>
      <c r="AW606" t="s">
        <v>74</v>
      </c>
      <c r="AX606">
        <v>2</v>
      </c>
      <c r="AY606" t="s">
        <v>74</v>
      </c>
      <c r="AZ606" t="s">
        <v>803</v>
      </c>
      <c r="BA606" t="s">
        <v>74</v>
      </c>
      <c r="BB606">
        <v>284</v>
      </c>
      <c r="BC606">
        <v>293</v>
      </c>
      <c r="BD606" t="s">
        <v>74</v>
      </c>
      <c r="BE606" t="s">
        <v>12027</v>
      </c>
      <c r="BF606" t="str">
        <f>HYPERLINK("http://dx.doi.org/10.1016/j.matpr.2020.05.243","http://dx.doi.org/10.1016/j.matpr.2020.05.243")</f>
        <v>http://dx.doi.org/10.1016/j.matpr.2020.05.243</v>
      </c>
      <c r="BG606" t="s">
        <v>74</v>
      </c>
      <c r="BH606" t="s">
        <v>12028</v>
      </c>
      <c r="BI606">
        <v>10</v>
      </c>
      <c r="BJ606" t="s">
        <v>12029</v>
      </c>
      <c r="BK606" t="s">
        <v>12030</v>
      </c>
      <c r="BL606" t="s">
        <v>12031</v>
      </c>
      <c r="BM606" t="s">
        <v>12032</v>
      </c>
      <c r="BN606" t="s">
        <v>74</v>
      </c>
      <c r="BO606" t="s">
        <v>74</v>
      </c>
      <c r="BP606" t="s">
        <v>74</v>
      </c>
      <c r="BQ606" t="s">
        <v>74</v>
      </c>
      <c r="BR606" t="s">
        <v>104</v>
      </c>
      <c r="BS606" t="s">
        <v>12033</v>
      </c>
      <c r="BT606" t="str">
        <f>HYPERLINK("https%3A%2F%2Fwww.webofscience.com%2Fwos%2Fwoscc%2Ffull-record%2FWOS:000624316000046","View Full Record in Web of Science")</f>
        <v>View Full Record in Web of Science</v>
      </c>
    </row>
    <row r="607" spans="1:72" x14ac:dyDescent="0.15">
      <c r="A607" t="s">
        <v>72</v>
      </c>
      <c r="B607" t="s">
        <v>12034</v>
      </c>
      <c r="C607" t="s">
        <v>74</v>
      </c>
      <c r="D607" t="s">
        <v>74</v>
      </c>
      <c r="E607" t="s">
        <v>74</v>
      </c>
      <c r="F607" t="s">
        <v>12035</v>
      </c>
      <c r="G607" t="s">
        <v>74</v>
      </c>
      <c r="H607" t="s">
        <v>74</v>
      </c>
      <c r="I607" t="s">
        <v>12036</v>
      </c>
      <c r="J607" t="s">
        <v>904</v>
      </c>
      <c r="K607" t="s">
        <v>74</v>
      </c>
      <c r="L607" t="s">
        <v>74</v>
      </c>
      <c r="M607" t="s">
        <v>78</v>
      </c>
      <c r="N607" t="s">
        <v>79</v>
      </c>
      <c r="O607" t="s">
        <v>74</v>
      </c>
      <c r="P607" t="s">
        <v>74</v>
      </c>
      <c r="Q607" t="s">
        <v>74</v>
      </c>
      <c r="R607" t="s">
        <v>74</v>
      </c>
      <c r="S607" t="s">
        <v>74</v>
      </c>
      <c r="T607" t="s">
        <v>12037</v>
      </c>
      <c r="U607" t="s">
        <v>12038</v>
      </c>
      <c r="V607" t="s">
        <v>12039</v>
      </c>
      <c r="W607" t="s">
        <v>12040</v>
      </c>
      <c r="X607" t="s">
        <v>11997</v>
      </c>
      <c r="Y607" t="s">
        <v>11998</v>
      </c>
      <c r="Z607" t="s">
        <v>11999</v>
      </c>
      <c r="AA607" t="s">
        <v>12041</v>
      </c>
      <c r="AB607" t="s">
        <v>12042</v>
      </c>
      <c r="AC607" t="s">
        <v>12043</v>
      </c>
      <c r="AD607" t="s">
        <v>12044</v>
      </c>
      <c r="AE607" t="s">
        <v>12045</v>
      </c>
      <c r="AF607" t="s">
        <v>74</v>
      </c>
      <c r="AG607">
        <v>108</v>
      </c>
      <c r="AH607">
        <v>58</v>
      </c>
      <c r="AI607">
        <v>61</v>
      </c>
      <c r="AJ607">
        <v>2</v>
      </c>
      <c r="AK607">
        <v>39</v>
      </c>
      <c r="AL607" t="s">
        <v>917</v>
      </c>
      <c r="AM607" t="s">
        <v>390</v>
      </c>
      <c r="AN607" t="s">
        <v>918</v>
      </c>
      <c r="AO607" t="s">
        <v>919</v>
      </c>
      <c r="AP607" t="s">
        <v>920</v>
      </c>
      <c r="AQ607" t="s">
        <v>74</v>
      </c>
      <c r="AR607" t="s">
        <v>921</v>
      </c>
      <c r="AS607" t="s">
        <v>922</v>
      </c>
      <c r="AT607" t="s">
        <v>12005</v>
      </c>
      <c r="AU607">
        <v>2021</v>
      </c>
      <c r="AV607">
        <v>48</v>
      </c>
      <c r="AW607">
        <v>4</v>
      </c>
      <c r="AX607" t="s">
        <v>74</v>
      </c>
      <c r="AY607" t="s">
        <v>74</v>
      </c>
      <c r="AZ607" t="s">
        <v>74</v>
      </c>
      <c r="BA607" t="s">
        <v>74</v>
      </c>
      <c r="BB607" t="s">
        <v>74</v>
      </c>
      <c r="BC607" t="s">
        <v>74</v>
      </c>
      <c r="BD607" t="s">
        <v>12046</v>
      </c>
      <c r="BE607" t="s">
        <v>12047</v>
      </c>
      <c r="BF607" t="str">
        <f>HYPERLINK("http://dx.doi.org/10.1029/2020GL090849","http://dx.doi.org/10.1029/2020GL090849")</f>
        <v>http://dx.doi.org/10.1029/2020GL090849</v>
      </c>
      <c r="BG607" t="s">
        <v>74</v>
      </c>
      <c r="BH607" t="s">
        <v>74</v>
      </c>
      <c r="BI607">
        <v>13</v>
      </c>
      <c r="BJ607" t="s">
        <v>100</v>
      </c>
      <c r="BK607" t="s">
        <v>101</v>
      </c>
      <c r="BL607" t="s">
        <v>102</v>
      </c>
      <c r="BM607" t="s">
        <v>12008</v>
      </c>
      <c r="BN607" t="s">
        <v>74</v>
      </c>
      <c r="BO607" t="s">
        <v>927</v>
      </c>
      <c r="BP607" t="s">
        <v>74</v>
      </c>
      <c r="BQ607" t="s">
        <v>74</v>
      </c>
      <c r="BR607" t="s">
        <v>104</v>
      </c>
      <c r="BS607" t="s">
        <v>12048</v>
      </c>
      <c r="BT607" t="str">
        <f>HYPERLINK("https%3A%2F%2Fwww.webofscience.com%2Fwos%2Fwoscc%2Ffull-record%2FWOS:000623802900036","View Full Record in Web of Science")</f>
        <v>View Full Record in Web of Science</v>
      </c>
    </row>
    <row r="608" spans="1:72" x14ac:dyDescent="0.15">
      <c r="A608" t="s">
        <v>72</v>
      </c>
      <c r="B608" t="s">
        <v>12049</v>
      </c>
      <c r="C608" t="s">
        <v>74</v>
      </c>
      <c r="D608" t="s">
        <v>74</v>
      </c>
      <c r="E608" t="s">
        <v>74</v>
      </c>
      <c r="F608" t="s">
        <v>12050</v>
      </c>
      <c r="G608" t="s">
        <v>74</v>
      </c>
      <c r="H608" t="s">
        <v>74</v>
      </c>
      <c r="I608" t="s">
        <v>12051</v>
      </c>
      <c r="J608" t="s">
        <v>904</v>
      </c>
      <c r="K608" t="s">
        <v>74</v>
      </c>
      <c r="L608" t="s">
        <v>74</v>
      </c>
      <c r="M608" t="s">
        <v>78</v>
      </c>
      <c r="N608" t="s">
        <v>79</v>
      </c>
      <c r="O608" t="s">
        <v>74</v>
      </c>
      <c r="P608" t="s">
        <v>74</v>
      </c>
      <c r="Q608" t="s">
        <v>74</v>
      </c>
      <c r="R608" t="s">
        <v>74</v>
      </c>
      <c r="S608" t="s">
        <v>74</v>
      </c>
      <c r="T608" t="s">
        <v>74</v>
      </c>
      <c r="U608" t="s">
        <v>12052</v>
      </c>
      <c r="V608" t="s">
        <v>12053</v>
      </c>
      <c r="W608" t="s">
        <v>12054</v>
      </c>
      <c r="X608" t="s">
        <v>12055</v>
      </c>
      <c r="Y608" t="s">
        <v>12056</v>
      </c>
      <c r="Z608" t="s">
        <v>12057</v>
      </c>
      <c r="AA608" t="s">
        <v>12058</v>
      </c>
      <c r="AB608" t="s">
        <v>12059</v>
      </c>
      <c r="AC608" t="s">
        <v>74</v>
      </c>
      <c r="AD608" t="s">
        <v>74</v>
      </c>
      <c r="AE608" t="s">
        <v>74</v>
      </c>
      <c r="AF608" t="s">
        <v>74</v>
      </c>
      <c r="AG608">
        <v>73</v>
      </c>
      <c r="AH608">
        <v>7</v>
      </c>
      <c r="AI608">
        <v>7</v>
      </c>
      <c r="AJ608">
        <v>0</v>
      </c>
      <c r="AK608">
        <v>13</v>
      </c>
      <c r="AL608" t="s">
        <v>917</v>
      </c>
      <c r="AM608" t="s">
        <v>390</v>
      </c>
      <c r="AN608" t="s">
        <v>918</v>
      </c>
      <c r="AO608" t="s">
        <v>919</v>
      </c>
      <c r="AP608" t="s">
        <v>920</v>
      </c>
      <c r="AQ608" t="s">
        <v>74</v>
      </c>
      <c r="AR608" t="s">
        <v>921</v>
      </c>
      <c r="AS608" t="s">
        <v>922</v>
      </c>
      <c r="AT608" t="s">
        <v>12005</v>
      </c>
      <c r="AU608">
        <v>2021</v>
      </c>
      <c r="AV608">
        <v>48</v>
      </c>
      <c r="AW608">
        <v>4</v>
      </c>
      <c r="AX608" t="s">
        <v>74</v>
      </c>
      <c r="AY608" t="s">
        <v>74</v>
      </c>
      <c r="AZ608" t="s">
        <v>74</v>
      </c>
      <c r="BA608" t="s">
        <v>74</v>
      </c>
      <c r="BB608" t="s">
        <v>74</v>
      </c>
      <c r="BC608" t="s">
        <v>74</v>
      </c>
      <c r="BD608" t="s">
        <v>12060</v>
      </c>
      <c r="BE608" t="s">
        <v>12061</v>
      </c>
      <c r="BF608" t="str">
        <f>HYPERLINK("http://dx.doi.org/10.1029/2020GL091576","http://dx.doi.org/10.1029/2020GL091576")</f>
        <v>http://dx.doi.org/10.1029/2020GL091576</v>
      </c>
      <c r="BG608" t="s">
        <v>74</v>
      </c>
      <c r="BH608" t="s">
        <v>74</v>
      </c>
      <c r="BI608">
        <v>11</v>
      </c>
      <c r="BJ608" t="s">
        <v>100</v>
      </c>
      <c r="BK608" t="s">
        <v>101</v>
      </c>
      <c r="BL608" t="s">
        <v>102</v>
      </c>
      <c r="BM608" t="s">
        <v>12008</v>
      </c>
      <c r="BN608" t="s">
        <v>74</v>
      </c>
      <c r="BO608" t="s">
        <v>74</v>
      </c>
      <c r="BP608" t="s">
        <v>74</v>
      </c>
      <c r="BQ608" t="s">
        <v>74</v>
      </c>
      <c r="BR608" t="s">
        <v>104</v>
      </c>
      <c r="BS608" t="s">
        <v>12062</v>
      </c>
      <c r="BT608" t="str">
        <f>HYPERLINK("https%3A%2F%2Fwww.webofscience.com%2Fwos%2Fwoscc%2Ffull-record%2FWOS:000623802900064","View Full Record in Web of Science")</f>
        <v>View Full Record in Web of Science</v>
      </c>
    </row>
    <row r="609" spans="1:72" x14ac:dyDescent="0.15">
      <c r="A609" t="s">
        <v>72</v>
      </c>
      <c r="B609" t="s">
        <v>12063</v>
      </c>
      <c r="C609" t="s">
        <v>74</v>
      </c>
      <c r="D609" t="s">
        <v>74</v>
      </c>
      <c r="E609" t="s">
        <v>74</v>
      </c>
      <c r="F609" t="s">
        <v>12064</v>
      </c>
      <c r="G609" t="s">
        <v>74</v>
      </c>
      <c r="H609" t="s">
        <v>74</v>
      </c>
      <c r="I609" t="s">
        <v>12065</v>
      </c>
      <c r="J609" t="s">
        <v>904</v>
      </c>
      <c r="K609" t="s">
        <v>74</v>
      </c>
      <c r="L609" t="s">
        <v>74</v>
      </c>
      <c r="M609" t="s">
        <v>78</v>
      </c>
      <c r="N609" t="s">
        <v>79</v>
      </c>
      <c r="O609" t="s">
        <v>74</v>
      </c>
      <c r="P609" t="s">
        <v>74</v>
      </c>
      <c r="Q609" t="s">
        <v>74</v>
      </c>
      <c r="R609" t="s">
        <v>74</v>
      </c>
      <c r="S609" t="s">
        <v>74</v>
      </c>
      <c r="T609" t="s">
        <v>12066</v>
      </c>
      <c r="U609" t="s">
        <v>74</v>
      </c>
      <c r="V609" t="s">
        <v>12067</v>
      </c>
      <c r="W609" t="s">
        <v>12068</v>
      </c>
      <c r="X609" t="s">
        <v>12069</v>
      </c>
      <c r="Y609" t="s">
        <v>12070</v>
      </c>
      <c r="Z609" t="s">
        <v>7037</v>
      </c>
      <c r="AA609" t="s">
        <v>12071</v>
      </c>
      <c r="AB609" t="s">
        <v>12072</v>
      </c>
      <c r="AC609" t="s">
        <v>12073</v>
      </c>
      <c r="AD609" t="s">
        <v>12074</v>
      </c>
      <c r="AE609" t="s">
        <v>12075</v>
      </c>
      <c r="AF609" t="s">
        <v>74</v>
      </c>
      <c r="AG609">
        <v>31</v>
      </c>
      <c r="AH609">
        <v>8</v>
      </c>
      <c r="AI609">
        <v>10</v>
      </c>
      <c r="AJ609">
        <v>7</v>
      </c>
      <c r="AK609">
        <v>20</v>
      </c>
      <c r="AL609" t="s">
        <v>917</v>
      </c>
      <c r="AM609" t="s">
        <v>390</v>
      </c>
      <c r="AN609" t="s">
        <v>918</v>
      </c>
      <c r="AO609" t="s">
        <v>919</v>
      </c>
      <c r="AP609" t="s">
        <v>920</v>
      </c>
      <c r="AQ609" t="s">
        <v>74</v>
      </c>
      <c r="AR609" t="s">
        <v>921</v>
      </c>
      <c r="AS609" t="s">
        <v>922</v>
      </c>
      <c r="AT609" t="s">
        <v>12005</v>
      </c>
      <c r="AU609">
        <v>2021</v>
      </c>
      <c r="AV609">
        <v>48</v>
      </c>
      <c r="AW609">
        <v>4</v>
      </c>
      <c r="AX609" t="s">
        <v>74</v>
      </c>
      <c r="AY609" t="s">
        <v>74</v>
      </c>
      <c r="AZ609" t="s">
        <v>74</v>
      </c>
      <c r="BA609" t="s">
        <v>74</v>
      </c>
      <c r="BB609" t="s">
        <v>74</v>
      </c>
      <c r="BC609" t="s">
        <v>74</v>
      </c>
      <c r="BD609" t="s">
        <v>12076</v>
      </c>
      <c r="BE609" t="s">
        <v>12077</v>
      </c>
      <c r="BF609" t="str">
        <f>HYPERLINK("http://dx.doi.org/10.1029/2020GL089957","http://dx.doi.org/10.1029/2020GL089957")</f>
        <v>http://dx.doi.org/10.1029/2020GL089957</v>
      </c>
      <c r="BG609" t="s">
        <v>74</v>
      </c>
      <c r="BH609" t="s">
        <v>74</v>
      </c>
      <c r="BI609">
        <v>10</v>
      </c>
      <c r="BJ609" t="s">
        <v>100</v>
      </c>
      <c r="BK609" t="s">
        <v>101</v>
      </c>
      <c r="BL609" t="s">
        <v>102</v>
      </c>
      <c r="BM609" t="s">
        <v>12008</v>
      </c>
      <c r="BN609" t="s">
        <v>74</v>
      </c>
      <c r="BO609" t="s">
        <v>74</v>
      </c>
      <c r="BP609" t="s">
        <v>74</v>
      </c>
      <c r="BQ609" t="s">
        <v>74</v>
      </c>
      <c r="BR609" t="s">
        <v>104</v>
      </c>
      <c r="BS609" t="s">
        <v>12078</v>
      </c>
      <c r="BT609" t="str">
        <f>HYPERLINK("https%3A%2F%2Fwww.webofscience.com%2Fwos%2Fwoscc%2Ffull-record%2FWOS:000623802900026","View Full Record in Web of Science")</f>
        <v>View Full Record in Web of Science</v>
      </c>
    </row>
    <row r="610" spans="1:72" x14ac:dyDescent="0.15">
      <c r="A610" t="s">
        <v>72</v>
      </c>
      <c r="B610" t="s">
        <v>12079</v>
      </c>
      <c r="C610" t="s">
        <v>74</v>
      </c>
      <c r="D610" t="s">
        <v>74</v>
      </c>
      <c r="E610" t="s">
        <v>74</v>
      </c>
      <c r="F610" t="s">
        <v>12080</v>
      </c>
      <c r="G610" t="s">
        <v>74</v>
      </c>
      <c r="H610" t="s">
        <v>74</v>
      </c>
      <c r="I610" t="s">
        <v>12081</v>
      </c>
      <c r="J610" t="s">
        <v>904</v>
      </c>
      <c r="K610" t="s">
        <v>74</v>
      </c>
      <c r="L610" t="s">
        <v>74</v>
      </c>
      <c r="M610" t="s">
        <v>78</v>
      </c>
      <c r="N610" t="s">
        <v>79</v>
      </c>
      <c r="O610" t="s">
        <v>74</v>
      </c>
      <c r="P610" t="s">
        <v>74</v>
      </c>
      <c r="Q610" t="s">
        <v>74</v>
      </c>
      <c r="R610" t="s">
        <v>74</v>
      </c>
      <c r="S610" t="s">
        <v>74</v>
      </c>
      <c r="T610" t="s">
        <v>12082</v>
      </c>
      <c r="U610" t="s">
        <v>12083</v>
      </c>
      <c r="V610" t="s">
        <v>12084</v>
      </c>
      <c r="W610" t="s">
        <v>12085</v>
      </c>
      <c r="X610" t="s">
        <v>12086</v>
      </c>
      <c r="Y610" t="s">
        <v>12087</v>
      </c>
      <c r="Z610" t="s">
        <v>12088</v>
      </c>
      <c r="AA610" t="s">
        <v>74</v>
      </c>
      <c r="AB610" t="s">
        <v>12089</v>
      </c>
      <c r="AC610" t="s">
        <v>12090</v>
      </c>
      <c r="AD610" t="s">
        <v>12091</v>
      </c>
      <c r="AE610" t="s">
        <v>12092</v>
      </c>
      <c r="AF610" t="s">
        <v>74</v>
      </c>
      <c r="AG610">
        <v>39</v>
      </c>
      <c r="AH610">
        <v>6</v>
      </c>
      <c r="AI610">
        <v>6</v>
      </c>
      <c r="AJ610">
        <v>2</v>
      </c>
      <c r="AK610">
        <v>12</v>
      </c>
      <c r="AL610" t="s">
        <v>917</v>
      </c>
      <c r="AM610" t="s">
        <v>390</v>
      </c>
      <c r="AN610" t="s">
        <v>918</v>
      </c>
      <c r="AO610" t="s">
        <v>919</v>
      </c>
      <c r="AP610" t="s">
        <v>920</v>
      </c>
      <c r="AQ610" t="s">
        <v>74</v>
      </c>
      <c r="AR610" t="s">
        <v>921</v>
      </c>
      <c r="AS610" t="s">
        <v>922</v>
      </c>
      <c r="AT610" t="s">
        <v>12005</v>
      </c>
      <c r="AU610">
        <v>2021</v>
      </c>
      <c r="AV610">
        <v>48</v>
      </c>
      <c r="AW610">
        <v>4</v>
      </c>
      <c r="AX610" t="s">
        <v>74</v>
      </c>
      <c r="AY610" t="s">
        <v>74</v>
      </c>
      <c r="AZ610" t="s">
        <v>74</v>
      </c>
      <c r="BA610" t="s">
        <v>74</v>
      </c>
      <c r="BB610" t="s">
        <v>74</v>
      </c>
      <c r="BC610" t="s">
        <v>74</v>
      </c>
      <c r="BD610" t="s">
        <v>12093</v>
      </c>
      <c r="BE610" t="s">
        <v>12094</v>
      </c>
      <c r="BF610" t="str">
        <f>HYPERLINK("http://dx.doi.org/10.1029/2020GL090896","http://dx.doi.org/10.1029/2020GL090896")</f>
        <v>http://dx.doi.org/10.1029/2020GL090896</v>
      </c>
      <c r="BG610" t="s">
        <v>74</v>
      </c>
      <c r="BH610" t="s">
        <v>74</v>
      </c>
      <c r="BI610">
        <v>9</v>
      </c>
      <c r="BJ610" t="s">
        <v>100</v>
      </c>
      <c r="BK610" t="s">
        <v>101</v>
      </c>
      <c r="BL610" t="s">
        <v>102</v>
      </c>
      <c r="BM610" t="s">
        <v>12008</v>
      </c>
      <c r="BN610" t="s">
        <v>74</v>
      </c>
      <c r="BO610" t="s">
        <v>227</v>
      </c>
      <c r="BP610" t="s">
        <v>74</v>
      </c>
      <c r="BQ610" t="s">
        <v>74</v>
      </c>
      <c r="BR610" t="s">
        <v>104</v>
      </c>
      <c r="BS610" t="s">
        <v>12095</v>
      </c>
      <c r="BT610" t="str">
        <f>HYPERLINK("https%3A%2F%2Fwww.webofscience.com%2Fwos%2Fwoscc%2Ffull-record%2FWOS:000623802900066","View Full Record in Web of Science")</f>
        <v>View Full Record in Web of Science</v>
      </c>
    </row>
    <row r="611" spans="1:72" x14ac:dyDescent="0.15">
      <c r="A611" t="s">
        <v>72</v>
      </c>
      <c r="B611" t="s">
        <v>12096</v>
      </c>
      <c r="C611" t="s">
        <v>74</v>
      </c>
      <c r="D611" t="s">
        <v>74</v>
      </c>
      <c r="E611" t="s">
        <v>74</v>
      </c>
      <c r="F611" t="s">
        <v>12097</v>
      </c>
      <c r="G611" t="s">
        <v>74</v>
      </c>
      <c r="H611" t="s">
        <v>74</v>
      </c>
      <c r="I611" t="s">
        <v>12098</v>
      </c>
      <c r="J611" t="s">
        <v>1833</v>
      </c>
      <c r="K611" t="s">
        <v>74</v>
      </c>
      <c r="L611" t="s">
        <v>74</v>
      </c>
      <c r="M611" t="s">
        <v>78</v>
      </c>
      <c r="N611" t="s">
        <v>79</v>
      </c>
      <c r="O611" t="s">
        <v>74</v>
      </c>
      <c r="P611" t="s">
        <v>74</v>
      </c>
      <c r="Q611" t="s">
        <v>74</v>
      </c>
      <c r="R611" t="s">
        <v>74</v>
      </c>
      <c r="S611" t="s">
        <v>74</v>
      </c>
      <c r="T611" t="s">
        <v>74</v>
      </c>
      <c r="U611" t="s">
        <v>12099</v>
      </c>
      <c r="V611" t="s">
        <v>12100</v>
      </c>
      <c r="W611" t="s">
        <v>12101</v>
      </c>
      <c r="X611" t="s">
        <v>12102</v>
      </c>
      <c r="Y611" t="s">
        <v>12103</v>
      </c>
      <c r="Z611" t="s">
        <v>12104</v>
      </c>
      <c r="AA611" t="s">
        <v>12105</v>
      </c>
      <c r="AB611" t="s">
        <v>12106</v>
      </c>
      <c r="AC611" t="s">
        <v>12107</v>
      </c>
      <c r="AD611" t="s">
        <v>12108</v>
      </c>
      <c r="AE611" t="s">
        <v>12109</v>
      </c>
      <c r="AF611" t="s">
        <v>74</v>
      </c>
      <c r="AG611">
        <v>51</v>
      </c>
      <c r="AH611">
        <v>4</v>
      </c>
      <c r="AI611">
        <v>4</v>
      </c>
      <c r="AJ611">
        <v>2</v>
      </c>
      <c r="AK611">
        <v>3</v>
      </c>
      <c r="AL611" t="s">
        <v>917</v>
      </c>
      <c r="AM611" t="s">
        <v>390</v>
      </c>
      <c r="AN611" t="s">
        <v>918</v>
      </c>
      <c r="AO611" t="s">
        <v>1846</v>
      </c>
      <c r="AP611" t="s">
        <v>1847</v>
      </c>
      <c r="AQ611" t="s">
        <v>74</v>
      </c>
      <c r="AR611" t="s">
        <v>1848</v>
      </c>
      <c r="AS611" t="s">
        <v>1849</v>
      </c>
      <c r="AT611" t="s">
        <v>12110</v>
      </c>
      <c r="AU611">
        <v>2021</v>
      </c>
      <c r="AV611">
        <v>126</v>
      </c>
      <c r="AW611">
        <v>4</v>
      </c>
      <c r="AX611" t="s">
        <v>74</v>
      </c>
      <c r="AY611" t="s">
        <v>74</v>
      </c>
      <c r="AZ611" t="s">
        <v>74</v>
      </c>
      <c r="BA611" t="s">
        <v>74</v>
      </c>
      <c r="BB611" t="s">
        <v>74</v>
      </c>
      <c r="BC611" t="s">
        <v>74</v>
      </c>
      <c r="BD611" t="s">
        <v>12111</v>
      </c>
      <c r="BE611" t="s">
        <v>12112</v>
      </c>
      <c r="BF611" t="str">
        <f>HYPERLINK("http://dx.doi.org/10.1029/2020JD033748","http://dx.doi.org/10.1029/2020JD033748")</f>
        <v>http://dx.doi.org/10.1029/2020JD033748</v>
      </c>
      <c r="BG611" t="s">
        <v>74</v>
      </c>
      <c r="BH611" t="s">
        <v>74</v>
      </c>
      <c r="BI611">
        <v>22</v>
      </c>
      <c r="BJ611" t="s">
        <v>129</v>
      </c>
      <c r="BK611" t="s">
        <v>101</v>
      </c>
      <c r="BL611" t="s">
        <v>129</v>
      </c>
      <c r="BM611" t="s">
        <v>12113</v>
      </c>
      <c r="BN611" t="s">
        <v>74</v>
      </c>
      <c r="BO611" t="s">
        <v>1095</v>
      </c>
      <c r="BP611" t="s">
        <v>74</v>
      </c>
      <c r="BQ611" t="s">
        <v>74</v>
      </c>
      <c r="BR611" t="s">
        <v>104</v>
      </c>
      <c r="BS611" t="s">
        <v>12114</v>
      </c>
      <c r="BT611" t="str">
        <f>HYPERLINK("https%3A%2F%2Fwww.webofscience.com%2Fwos%2Fwoscc%2Ffull-record%2FWOS:000624348900049","View Full Record in Web of Science")</f>
        <v>View Full Record in Web of Science</v>
      </c>
    </row>
    <row r="612" spans="1:72" x14ac:dyDescent="0.15">
      <c r="A612" t="s">
        <v>72</v>
      </c>
      <c r="B612" t="s">
        <v>12115</v>
      </c>
      <c r="C612" t="s">
        <v>74</v>
      </c>
      <c r="D612" t="s">
        <v>74</v>
      </c>
      <c r="E612" t="s">
        <v>74</v>
      </c>
      <c r="F612" t="s">
        <v>12116</v>
      </c>
      <c r="G612" t="s">
        <v>74</v>
      </c>
      <c r="H612" t="s">
        <v>74</v>
      </c>
      <c r="I612" t="s">
        <v>12117</v>
      </c>
      <c r="J612" t="s">
        <v>668</v>
      </c>
      <c r="K612" t="s">
        <v>74</v>
      </c>
      <c r="L612" t="s">
        <v>74</v>
      </c>
      <c r="M612" t="s">
        <v>78</v>
      </c>
      <c r="N612" t="s">
        <v>1074</v>
      </c>
      <c r="O612" t="s">
        <v>74</v>
      </c>
      <c r="P612" t="s">
        <v>74</v>
      </c>
      <c r="Q612" t="s">
        <v>74</v>
      </c>
      <c r="R612" t="s">
        <v>74</v>
      </c>
      <c r="S612" t="s">
        <v>74</v>
      </c>
      <c r="T612" t="s">
        <v>12118</v>
      </c>
      <c r="U612" t="s">
        <v>12119</v>
      </c>
      <c r="V612" t="s">
        <v>12120</v>
      </c>
      <c r="W612" t="s">
        <v>12121</v>
      </c>
      <c r="X612" t="s">
        <v>12122</v>
      </c>
      <c r="Y612" t="s">
        <v>12123</v>
      </c>
      <c r="Z612" t="s">
        <v>12124</v>
      </c>
      <c r="AA612" t="s">
        <v>12125</v>
      </c>
      <c r="AB612" t="s">
        <v>12126</v>
      </c>
      <c r="AC612" t="s">
        <v>12127</v>
      </c>
      <c r="AD612" t="s">
        <v>12128</v>
      </c>
      <c r="AE612" t="s">
        <v>12129</v>
      </c>
      <c r="AF612" t="s">
        <v>74</v>
      </c>
      <c r="AG612">
        <v>168</v>
      </c>
      <c r="AH612">
        <v>36</v>
      </c>
      <c r="AI612">
        <v>37</v>
      </c>
      <c r="AJ612">
        <v>5</v>
      </c>
      <c r="AK612">
        <v>77</v>
      </c>
      <c r="AL612" t="s">
        <v>576</v>
      </c>
      <c r="AM612" t="s">
        <v>577</v>
      </c>
      <c r="AN612" t="s">
        <v>578</v>
      </c>
      <c r="AO612" t="s">
        <v>681</v>
      </c>
      <c r="AP612" t="s">
        <v>682</v>
      </c>
      <c r="AQ612" t="s">
        <v>74</v>
      </c>
      <c r="AR612" t="s">
        <v>683</v>
      </c>
      <c r="AS612" t="s">
        <v>684</v>
      </c>
      <c r="AT612" t="s">
        <v>552</v>
      </c>
      <c r="AU612">
        <v>2021</v>
      </c>
      <c r="AV612">
        <v>177</v>
      </c>
      <c r="AW612" t="s">
        <v>74</v>
      </c>
      <c r="AX612" t="s">
        <v>74</v>
      </c>
      <c r="AY612" t="s">
        <v>74</v>
      </c>
      <c r="AZ612" t="s">
        <v>74</v>
      </c>
      <c r="BA612" t="s">
        <v>74</v>
      </c>
      <c r="BB612">
        <v>559</v>
      </c>
      <c r="BC612">
        <v>577</v>
      </c>
      <c r="BD612" t="s">
        <v>74</v>
      </c>
      <c r="BE612" t="s">
        <v>12130</v>
      </c>
      <c r="BF612" t="str">
        <f>HYPERLINK("http://dx.doi.org/10.1016/j.ijbiomac.2021.02.101","http://dx.doi.org/10.1016/j.ijbiomac.2021.02.101")</f>
        <v>http://dx.doi.org/10.1016/j.ijbiomac.2021.02.101</v>
      </c>
      <c r="BG612" t="s">
        <v>74</v>
      </c>
      <c r="BH612" t="s">
        <v>12028</v>
      </c>
      <c r="BI612">
        <v>19</v>
      </c>
      <c r="BJ612" t="s">
        <v>687</v>
      </c>
      <c r="BK612" t="s">
        <v>101</v>
      </c>
      <c r="BL612" t="s">
        <v>688</v>
      </c>
      <c r="BM612" t="s">
        <v>12131</v>
      </c>
      <c r="BN612">
        <v>33609577</v>
      </c>
      <c r="BO612" t="s">
        <v>74</v>
      </c>
      <c r="BP612" t="s">
        <v>74</v>
      </c>
      <c r="BQ612" t="s">
        <v>74</v>
      </c>
      <c r="BR612" t="s">
        <v>104</v>
      </c>
      <c r="BS612" t="s">
        <v>12132</v>
      </c>
      <c r="BT612" t="str">
        <f>HYPERLINK("https%3A%2F%2Fwww.webofscience.com%2Fwos%2Fwoscc%2Ffull-record%2FWOS:000640396600015","View Full Record in Web of Science")</f>
        <v>View Full Record in Web of Science</v>
      </c>
    </row>
    <row r="613" spans="1:72" x14ac:dyDescent="0.15">
      <c r="A613" t="s">
        <v>72</v>
      </c>
      <c r="B613" t="s">
        <v>12133</v>
      </c>
      <c r="C613" t="s">
        <v>74</v>
      </c>
      <c r="D613" t="s">
        <v>74</v>
      </c>
      <c r="E613" t="s">
        <v>74</v>
      </c>
      <c r="F613" t="s">
        <v>12134</v>
      </c>
      <c r="G613" t="s">
        <v>74</v>
      </c>
      <c r="H613" t="s">
        <v>74</v>
      </c>
      <c r="I613" t="s">
        <v>12135</v>
      </c>
      <c r="J613" t="s">
        <v>1833</v>
      </c>
      <c r="K613" t="s">
        <v>74</v>
      </c>
      <c r="L613" t="s">
        <v>74</v>
      </c>
      <c r="M613" t="s">
        <v>78</v>
      </c>
      <c r="N613" t="s">
        <v>79</v>
      </c>
      <c r="O613" t="s">
        <v>74</v>
      </c>
      <c r="P613" t="s">
        <v>74</v>
      </c>
      <c r="Q613" t="s">
        <v>74</v>
      </c>
      <c r="R613" t="s">
        <v>74</v>
      </c>
      <c r="S613" t="s">
        <v>74</v>
      </c>
      <c r="T613" t="s">
        <v>12136</v>
      </c>
      <c r="U613" t="s">
        <v>12137</v>
      </c>
      <c r="V613" t="s">
        <v>12138</v>
      </c>
      <c r="W613" t="s">
        <v>12139</v>
      </c>
      <c r="X613" t="s">
        <v>12140</v>
      </c>
      <c r="Y613" t="s">
        <v>12141</v>
      </c>
      <c r="Z613" t="s">
        <v>12142</v>
      </c>
      <c r="AA613" t="s">
        <v>12143</v>
      </c>
      <c r="AB613" t="s">
        <v>12144</v>
      </c>
      <c r="AC613" t="s">
        <v>12145</v>
      </c>
      <c r="AD613" t="s">
        <v>12146</v>
      </c>
      <c r="AE613" t="s">
        <v>12147</v>
      </c>
      <c r="AF613" t="s">
        <v>74</v>
      </c>
      <c r="AG613">
        <v>41</v>
      </c>
      <c r="AH613">
        <v>14</v>
      </c>
      <c r="AI613">
        <v>17</v>
      </c>
      <c r="AJ613">
        <v>3</v>
      </c>
      <c r="AK613">
        <v>7</v>
      </c>
      <c r="AL613" t="s">
        <v>917</v>
      </c>
      <c r="AM613" t="s">
        <v>390</v>
      </c>
      <c r="AN613" t="s">
        <v>918</v>
      </c>
      <c r="AO613" t="s">
        <v>1846</v>
      </c>
      <c r="AP613" t="s">
        <v>1847</v>
      </c>
      <c r="AQ613" t="s">
        <v>74</v>
      </c>
      <c r="AR613" t="s">
        <v>1848</v>
      </c>
      <c r="AS613" t="s">
        <v>1849</v>
      </c>
      <c r="AT613" t="s">
        <v>12110</v>
      </c>
      <c r="AU613">
        <v>2021</v>
      </c>
      <c r="AV613">
        <v>126</v>
      </c>
      <c r="AW613">
        <v>4</v>
      </c>
      <c r="AX613" t="s">
        <v>74</v>
      </c>
      <c r="AY613" t="s">
        <v>74</v>
      </c>
      <c r="AZ613" t="s">
        <v>74</v>
      </c>
      <c r="BA613" t="s">
        <v>74</v>
      </c>
      <c r="BB613" t="s">
        <v>74</v>
      </c>
      <c r="BC613" t="s">
        <v>74</v>
      </c>
      <c r="BD613" t="s">
        <v>12148</v>
      </c>
      <c r="BE613" t="s">
        <v>12149</v>
      </c>
      <c r="BF613" t="str">
        <f>HYPERLINK("http://dx.doi.org/10.1029/2020JD033682","http://dx.doi.org/10.1029/2020JD033682")</f>
        <v>http://dx.doi.org/10.1029/2020JD033682</v>
      </c>
      <c r="BG613" t="s">
        <v>74</v>
      </c>
      <c r="BH613" t="s">
        <v>74</v>
      </c>
      <c r="BI613">
        <v>19</v>
      </c>
      <c r="BJ613" t="s">
        <v>129</v>
      </c>
      <c r="BK613" t="s">
        <v>101</v>
      </c>
      <c r="BL613" t="s">
        <v>129</v>
      </c>
      <c r="BM613" t="s">
        <v>12113</v>
      </c>
      <c r="BN613" t="s">
        <v>74</v>
      </c>
      <c r="BO613" t="s">
        <v>899</v>
      </c>
      <c r="BP613" t="s">
        <v>74</v>
      </c>
      <c r="BQ613" t="s">
        <v>74</v>
      </c>
      <c r="BR613" t="s">
        <v>104</v>
      </c>
      <c r="BS613" t="s">
        <v>12150</v>
      </c>
      <c r="BT613" t="str">
        <f>HYPERLINK("https%3A%2F%2Fwww.webofscience.com%2Fwos%2Fwoscc%2Ffull-record%2FWOS:000624348900046","View Full Record in Web of Science")</f>
        <v>View Full Record in Web of Science</v>
      </c>
    </row>
    <row r="614" spans="1:72" x14ac:dyDescent="0.15">
      <c r="A614" t="s">
        <v>72</v>
      </c>
      <c r="B614" t="s">
        <v>12151</v>
      </c>
      <c r="C614" t="s">
        <v>74</v>
      </c>
      <c r="D614" t="s">
        <v>74</v>
      </c>
      <c r="E614" t="s">
        <v>74</v>
      </c>
      <c r="F614" t="s">
        <v>12152</v>
      </c>
      <c r="G614" t="s">
        <v>74</v>
      </c>
      <c r="H614" t="s">
        <v>74</v>
      </c>
      <c r="I614" t="s">
        <v>12153</v>
      </c>
      <c r="J614" t="s">
        <v>1833</v>
      </c>
      <c r="K614" t="s">
        <v>74</v>
      </c>
      <c r="L614" t="s">
        <v>74</v>
      </c>
      <c r="M614" t="s">
        <v>78</v>
      </c>
      <c r="N614" t="s">
        <v>79</v>
      </c>
      <c r="O614" t="s">
        <v>74</v>
      </c>
      <c r="P614" t="s">
        <v>74</v>
      </c>
      <c r="Q614" t="s">
        <v>74</v>
      </c>
      <c r="R614" t="s">
        <v>74</v>
      </c>
      <c r="S614" t="s">
        <v>74</v>
      </c>
      <c r="T614" t="s">
        <v>12154</v>
      </c>
      <c r="U614" t="s">
        <v>74</v>
      </c>
      <c r="V614" t="s">
        <v>12155</v>
      </c>
      <c r="W614" t="s">
        <v>12156</v>
      </c>
      <c r="X614" t="s">
        <v>12157</v>
      </c>
      <c r="Y614" t="s">
        <v>12158</v>
      </c>
      <c r="Z614" t="s">
        <v>12159</v>
      </c>
      <c r="AA614" t="s">
        <v>12160</v>
      </c>
      <c r="AB614" t="s">
        <v>12161</v>
      </c>
      <c r="AC614" t="s">
        <v>12162</v>
      </c>
      <c r="AD614" t="s">
        <v>12163</v>
      </c>
      <c r="AE614" t="s">
        <v>12164</v>
      </c>
      <c r="AF614" t="s">
        <v>74</v>
      </c>
      <c r="AG614">
        <v>79</v>
      </c>
      <c r="AH614">
        <v>28</v>
      </c>
      <c r="AI614">
        <v>30</v>
      </c>
      <c r="AJ614">
        <v>3</v>
      </c>
      <c r="AK614">
        <v>9</v>
      </c>
      <c r="AL614" t="s">
        <v>917</v>
      </c>
      <c r="AM614" t="s">
        <v>390</v>
      </c>
      <c r="AN614" t="s">
        <v>918</v>
      </c>
      <c r="AO614" t="s">
        <v>1846</v>
      </c>
      <c r="AP614" t="s">
        <v>1847</v>
      </c>
      <c r="AQ614" t="s">
        <v>74</v>
      </c>
      <c r="AR614" t="s">
        <v>1848</v>
      </c>
      <c r="AS614" t="s">
        <v>1849</v>
      </c>
      <c r="AT614" t="s">
        <v>12110</v>
      </c>
      <c r="AU614">
        <v>2021</v>
      </c>
      <c r="AV614">
        <v>126</v>
      </c>
      <c r="AW614">
        <v>4</v>
      </c>
      <c r="AX614" t="s">
        <v>74</v>
      </c>
      <c r="AY614" t="s">
        <v>74</v>
      </c>
      <c r="AZ614" t="s">
        <v>74</v>
      </c>
      <c r="BA614" t="s">
        <v>74</v>
      </c>
      <c r="BB614" t="s">
        <v>74</v>
      </c>
      <c r="BC614" t="s">
        <v>74</v>
      </c>
      <c r="BD614" t="s">
        <v>12165</v>
      </c>
      <c r="BE614" t="s">
        <v>12166</v>
      </c>
      <c r="BF614" t="str">
        <f>HYPERLINK("http://dx.doi.org/10.1029/2020JD033368","http://dx.doi.org/10.1029/2020JD033368")</f>
        <v>http://dx.doi.org/10.1029/2020JD033368</v>
      </c>
      <c r="BG614" t="s">
        <v>74</v>
      </c>
      <c r="BH614" t="s">
        <v>74</v>
      </c>
      <c r="BI614">
        <v>23</v>
      </c>
      <c r="BJ614" t="s">
        <v>129</v>
      </c>
      <c r="BK614" t="s">
        <v>101</v>
      </c>
      <c r="BL614" t="s">
        <v>129</v>
      </c>
      <c r="BM614" t="s">
        <v>12113</v>
      </c>
      <c r="BN614" t="s">
        <v>74</v>
      </c>
      <c r="BO614" t="s">
        <v>899</v>
      </c>
      <c r="BP614" t="s">
        <v>74</v>
      </c>
      <c r="BQ614" t="s">
        <v>74</v>
      </c>
      <c r="BR614" t="s">
        <v>104</v>
      </c>
      <c r="BS614" t="s">
        <v>12167</v>
      </c>
      <c r="BT614" t="str">
        <f>HYPERLINK("https%3A%2F%2Fwww.webofscience.com%2Fwos%2Fwoscc%2Ffull-record%2FWOS:000624348900013","View Full Record in Web of Science")</f>
        <v>View Full Record in Web of Science</v>
      </c>
    </row>
    <row r="615" spans="1:72" x14ac:dyDescent="0.15">
      <c r="A615" t="s">
        <v>72</v>
      </c>
      <c r="B615" t="s">
        <v>12168</v>
      </c>
      <c r="C615" t="s">
        <v>74</v>
      </c>
      <c r="D615" t="s">
        <v>74</v>
      </c>
      <c r="E615" t="s">
        <v>74</v>
      </c>
      <c r="F615" t="s">
        <v>12169</v>
      </c>
      <c r="G615" t="s">
        <v>74</v>
      </c>
      <c r="H615" t="s">
        <v>74</v>
      </c>
      <c r="I615" t="s">
        <v>12170</v>
      </c>
      <c r="J615" t="s">
        <v>9755</v>
      </c>
      <c r="K615" t="s">
        <v>74</v>
      </c>
      <c r="L615" t="s">
        <v>74</v>
      </c>
      <c r="M615" t="s">
        <v>78</v>
      </c>
      <c r="N615" t="s">
        <v>79</v>
      </c>
      <c r="O615" t="s">
        <v>74</v>
      </c>
      <c r="P615" t="s">
        <v>74</v>
      </c>
      <c r="Q615" t="s">
        <v>74</v>
      </c>
      <c r="R615" t="s">
        <v>74</v>
      </c>
      <c r="S615" t="s">
        <v>74</v>
      </c>
      <c r="T615" t="s">
        <v>12171</v>
      </c>
      <c r="U615" t="s">
        <v>74</v>
      </c>
      <c r="V615" t="s">
        <v>12172</v>
      </c>
      <c r="W615" t="s">
        <v>12173</v>
      </c>
      <c r="X615" t="s">
        <v>12174</v>
      </c>
      <c r="Y615" t="s">
        <v>12175</v>
      </c>
      <c r="Z615" t="s">
        <v>12176</v>
      </c>
      <c r="AA615" t="s">
        <v>12177</v>
      </c>
      <c r="AB615" t="s">
        <v>12178</v>
      </c>
      <c r="AC615" t="s">
        <v>12179</v>
      </c>
      <c r="AD615" t="s">
        <v>12179</v>
      </c>
      <c r="AE615" t="s">
        <v>12180</v>
      </c>
      <c r="AF615" t="s">
        <v>74</v>
      </c>
      <c r="AG615">
        <v>46</v>
      </c>
      <c r="AH615">
        <v>3</v>
      </c>
      <c r="AI615">
        <v>3</v>
      </c>
      <c r="AJ615">
        <v>0</v>
      </c>
      <c r="AK615">
        <v>13</v>
      </c>
      <c r="AL615" t="s">
        <v>2922</v>
      </c>
      <c r="AM615" t="s">
        <v>2923</v>
      </c>
      <c r="AN615" t="s">
        <v>2924</v>
      </c>
      <c r="AO615" t="s">
        <v>9766</v>
      </c>
      <c r="AP615" t="s">
        <v>9767</v>
      </c>
      <c r="AQ615" t="s">
        <v>74</v>
      </c>
      <c r="AR615" t="s">
        <v>9768</v>
      </c>
      <c r="AS615" t="s">
        <v>9769</v>
      </c>
      <c r="AT615" t="s">
        <v>1597</v>
      </c>
      <c r="AU615">
        <v>2021</v>
      </c>
      <c r="AV615">
        <v>43</v>
      </c>
      <c r="AW615">
        <v>1</v>
      </c>
      <c r="AX615" t="s">
        <v>74</v>
      </c>
      <c r="AY615" t="s">
        <v>74</v>
      </c>
      <c r="AZ615" t="s">
        <v>74</v>
      </c>
      <c r="BA615" t="s">
        <v>74</v>
      </c>
      <c r="BB615">
        <v>53</v>
      </c>
      <c r="BC615">
        <v>59</v>
      </c>
      <c r="BD615" t="s">
        <v>74</v>
      </c>
      <c r="BE615" t="s">
        <v>12181</v>
      </c>
      <c r="BF615" t="str">
        <f>HYPERLINK("http://dx.doi.org/10.2989/1814232X.2020.1864471","http://dx.doi.org/10.2989/1814232X.2020.1864471")</f>
        <v>http://dx.doi.org/10.2989/1814232X.2020.1864471</v>
      </c>
      <c r="BG615" t="s">
        <v>74</v>
      </c>
      <c r="BH615" t="s">
        <v>12028</v>
      </c>
      <c r="BI615">
        <v>7</v>
      </c>
      <c r="BJ615" t="s">
        <v>494</v>
      </c>
      <c r="BK615" t="s">
        <v>101</v>
      </c>
      <c r="BL615" t="s">
        <v>494</v>
      </c>
      <c r="BM615" t="s">
        <v>9771</v>
      </c>
      <c r="BN615" t="s">
        <v>74</v>
      </c>
      <c r="BO615" t="s">
        <v>496</v>
      </c>
      <c r="BP615" t="s">
        <v>74</v>
      </c>
      <c r="BQ615" t="s">
        <v>74</v>
      </c>
      <c r="BR615" t="s">
        <v>104</v>
      </c>
      <c r="BS615" t="s">
        <v>12182</v>
      </c>
      <c r="BT615" t="str">
        <f>HYPERLINK("https%3A%2F%2Fwww.webofscience.com%2Fwos%2Fwoscc%2Ffull-record%2FWOS:000622317600001","View Full Record in Web of Science")</f>
        <v>View Full Record in Web of Science</v>
      </c>
    </row>
    <row r="616" spans="1:72" x14ac:dyDescent="0.15">
      <c r="A616" t="s">
        <v>72</v>
      </c>
      <c r="B616" t="s">
        <v>12183</v>
      </c>
      <c r="C616" t="s">
        <v>74</v>
      </c>
      <c r="D616" t="s">
        <v>74</v>
      </c>
      <c r="E616" t="s">
        <v>74</v>
      </c>
      <c r="F616" t="s">
        <v>12184</v>
      </c>
      <c r="G616" t="s">
        <v>74</v>
      </c>
      <c r="H616" t="s">
        <v>74</v>
      </c>
      <c r="I616" t="s">
        <v>12185</v>
      </c>
      <c r="J616" t="s">
        <v>12186</v>
      </c>
      <c r="K616" t="s">
        <v>74</v>
      </c>
      <c r="L616" t="s">
        <v>74</v>
      </c>
      <c r="M616" t="s">
        <v>78</v>
      </c>
      <c r="N616" t="s">
        <v>79</v>
      </c>
      <c r="O616" t="s">
        <v>74</v>
      </c>
      <c r="P616" t="s">
        <v>74</v>
      </c>
      <c r="Q616" t="s">
        <v>74</v>
      </c>
      <c r="R616" t="s">
        <v>74</v>
      </c>
      <c r="S616" t="s">
        <v>74</v>
      </c>
      <c r="T616" t="s">
        <v>12187</v>
      </c>
      <c r="U616" t="s">
        <v>12188</v>
      </c>
      <c r="V616" t="s">
        <v>12189</v>
      </c>
      <c r="W616" t="s">
        <v>12190</v>
      </c>
      <c r="X616" t="s">
        <v>12191</v>
      </c>
      <c r="Y616" t="s">
        <v>12192</v>
      </c>
      <c r="Z616" t="s">
        <v>12193</v>
      </c>
      <c r="AA616" t="s">
        <v>74</v>
      </c>
      <c r="AB616" t="s">
        <v>12194</v>
      </c>
      <c r="AC616" t="s">
        <v>12195</v>
      </c>
      <c r="AD616" t="s">
        <v>12196</v>
      </c>
      <c r="AE616" t="s">
        <v>12197</v>
      </c>
      <c r="AF616" t="s">
        <v>74</v>
      </c>
      <c r="AG616">
        <v>86</v>
      </c>
      <c r="AH616">
        <v>5</v>
      </c>
      <c r="AI616">
        <v>5</v>
      </c>
      <c r="AJ616">
        <v>1</v>
      </c>
      <c r="AK616">
        <v>8</v>
      </c>
      <c r="AL616" t="s">
        <v>12198</v>
      </c>
      <c r="AM616" t="s">
        <v>1909</v>
      </c>
      <c r="AN616" t="s">
        <v>12199</v>
      </c>
      <c r="AO616" t="s">
        <v>12200</v>
      </c>
      <c r="AP616" t="s">
        <v>12201</v>
      </c>
      <c r="AQ616" t="s">
        <v>74</v>
      </c>
      <c r="AR616" t="s">
        <v>12202</v>
      </c>
      <c r="AS616" t="s">
        <v>12203</v>
      </c>
      <c r="AT616" t="s">
        <v>12204</v>
      </c>
      <c r="AU616">
        <v>2021</v>
      </c>
      <c r="AV616">
        <v>252</v>
      </c>
      <c r="AW616" t="s">
        <v>74</v>
      </c>
      <c r="AX616" t="s">
        <v>74</v>
      </c>
      <c r="AY616" t="s">
        <v>74</v>
      </c>
      <c r="AZ616" t="s">
        <v>74</v>
      </c>
      <c r="BA616" t="s">
        <v>74</v>
      </c>
      <c r="BB616" t="s">
        <v>74</v>
      </c>
      <c r="BC616" t="s">
        <v>74</v>
      </c>
      <c r="BD616">
        <v>107255</v>
      </c>
      <c r="BE616" t="s">
        <v>12205</v>
      </c>
      <c r="BF616" t="str">
        <f>HYPERLINK("http://dx.doi.org/10.1016/j.ecss.2021.107255","http://dx.doi.org/10.1016/j.ecss.2021.107255")</f>
        <v>http://dx.doi.org/10.1016/j.ecss.2021.107255</v>
      </c>
      <c r="BG616" t="s">
        <v>74</v>
      </c>
      <c r="BH616" t="s">
        <v>12028</v>
      </c>
      <c r="BI616">
        <v>10</v>
      </c>
      <c r="BJ616" t="s">
        <v>1391</v>
      </c>
      <c r="BK616" t="s">
        <v>101</v>
      </c>
      <c r="BL616" t="s">
        <v>1391</v>
      </c>
      <c r="BM616" t="s">
        <v>12206</v>
      </c>
      <c r="BN616" t="s">
        <v>74</v>
      </c>
      <c r="BO616" t="s">
        <v>1068</v>
      </c>
      <c r="BP616" t="s">
        <v>74</v>
      </c>
      <c r="BQ616" t="s">
        <v>74</v>
      </c>
      <c r="BR616" t="s">
        <v>104</v>
      </c>
      <c r="BS616" t="s">
        <v>12207</v>
      </c>
      <c r="BT616" t="str">
        <f>HYPERLINK("https%3A%2F%2Fwww.webofscience.com%2Fwos%2Fwoscc%2Ffull-record%2FWOS:000684008000007","View Full Record in Web of Science")</f>
        <v>View Full Record in Web of Science</v>
      </c>
    </row>
    <row r="617" spans="1:72" x14ac:dyDescent="0.15">
      <c r="A617" t="s">
        <v>72</v>
      </c>
      <c r="B617" t="s">
        <v>12208</v>
      </c>
      <c r="C617" t="s">
        <v>74</v>
      </c>
      <c r="D617" t="s">
        <v>74</v>
      </c>
      <c r="E617" t="s">
        <v>74</v>
      </c>
      <c r="F617" t="s">
        <v>12209</v>
      </c>
      <c r="G617" t="s">
        <v>74</v>
      </c>
      <c r="H617" t="s">
        <v>74</v>
      </c>
      <c r="I617" t="s">
        <v>12210</v>
      </c>
      <c r="J617" t="s">
        <v>1045</v>
      </c>
      <c r="K617" t="s">
        <v>74</v>
      </c>
      <c r="L617" t="s">
        <v>74</v>
      </c>
      <c r="M617" t="s">
        <v>78</v>
      </c>
      <c r="N617" t="s">
        <v>79</v>
      </c>
      <c r="O617" t="s">
        <v>74</v>
      </c>
      <c r="P617" t="s">
        <v>74</v>
      </c>
      <c r="Q617" t="s">
        <v>74</v>
      </c>
      <c r="R617" t="s">
        <v>74</v>
      </c>
      <c r="S617" t="s">
        <v>74</v>
      </c>
      <c r="T617" t="s">
        <v>12211</v>
      </c>
      <c r="U617" t="s">
        <v>74</v>
      </c>
      <c r="V617" t="s">
        <v>12212</v>
      </c>
      <c r="W617" t="s">
        <v>12213</v>
      </c>
      <c r="X617" t="s">
        <v>12214</v>
      </c>
      <c r="Y617" t="s">
        <v>12215</v>
      </c>
      <c r="Z617" t="s">
        <v>12216</v>
      </c>
      <c r="AA617" t="s">
        <v>74</v>
      </c>
      <c r="AB617" t="s">
        <v>12217</v>
      </c>
      <c r="AC617" t="s">
        <v>12218</v>
      </c>
      <c r="AD617" t="s">
        <v>12219</v>
      </c>
      <c r="AE617" t="s">
        <v>12220</v>
      </c>
      <c r="AF617" t="s">
        <v>74</v>
      </c>
      <c r="AG617">
        <v>116</v>
      </c>
      <c r="AH617">
        <v>40</v>
      </c>
      <c r="AI617">
        <v>41</v>
      </c>
      <c r="AJ617">
        <v>4</v>
      </c>
      <c r="AK617">
        <v>21</v>
      </c>
      <c r="AL617" t="s">
        <v>1058</v>
      </c>
      <c r="AM617" t="s">
        <v>891</v>
      </c>
      <c r="AN617" t="s">
        <v>1059</v>
      </c>
      <c r="AO617" t="s">
        <v>1060</v>
      </c>
      <c r="AP617" t="s">
        <v>1061</v>
      </c>
      <c r="AQ617" t="s">
        <v>74</v>
      </c>
      <c r="AR617" t="s">
        <v>1062</v>
      </c>
      <c r="AS617" t="s">
        <v>1063</v>
      </c>
      <c r="AT617" t="s">
        <v>5649</v>
      </c>
      <c r="AU617">
        <v>2021</v>
      </c>
      <c r="AV617">
        <v>298</v>
      </c>
      <c r="AW617" t="s">
        <v>74</v>
      </c>
      <c r="AX617" t="s">
        <v>74</v>
      </c>
      <c r="AY617" t="s">
        <v>74</v>
      </c>
      <c r="AZ617" t="s">
        <v>74</v>
      </c>
      <c r="BA617" t="s">
        <v>74</v>
      </c>
      <c r="BB617">
        <v>167</v>
      </c>
      <c r="BC617">
        <v>190</v>
      </c>
      <c r="BD617" t="s">
        <v>74</v>
      </c>
      <c r="BE617" t="s">
        <v>12221</v>
      </c>
      <c r="BF617" t="str">
        <f>HYPERLINK("http://dx.doi.org/10.1016/j.gca.2021.02.011","http://dx.doi.org/10.1016/j.gca.2021.02.011")</f>
        <v>http://dx.doi.org/10.1016/j.gca.2021.02.011</v>
      </c>
      <c r="BG617" t="s">
        <v>74</v>
      </c>
      <c r="BH617" t="s">
        <v>12028</v>
      </c>
      <c r="BI617">
        <v>24</v>
      </c>
      <c r="BJ617" t="s">
        <v>1066</v>
      </c>
      <c r="BK617" t="s">
        <v>101</v>
      </c>
      <c r="BL617" t="s">
        <v>1066</v>
      </c>
      <c r="BM617" t="s">
        <v>12222</v>
      </c>
      <c r="BN617" t="s">
        <v>74</v>
      </c>
      <c r="BO617" t="s">
        <v>5474</v>
      </c>
      <c r="BP617" t="s">
        <v>74</v>
      </c>
      <c r="BQ617" t="s">
        <v>74</v>
      </c>
      <c r="BR617" t="s">
        <v>104</v>
      </c>
      <c r="BS617" t="s">
        <v>12223</v>
      </c>
      <c r="BT617" t="str">
        <f>HYPERLINK("https%3A%2F%2Fwww.webofscience.com%2Fwos%2Fwoscc%2Ffull-record%2FWOS:000627882600010","View Full Record in Web of Science")</f>
        <v>View Full Record in Web of Science</v>
      </c>
    </row>
    <row r="618" spans="1:72" x14ac:dyDescent="0.15">
      <c r="A618" t="s">
        <v>72</v>
      </c>
      <c r="B618" t="s">
        <v>12224</v>
      </c>
      <c r="C618" t="s">
        <v>74</v>
      </c>
      <c r="D618" t="s">
        <v>74</v>
      </c>
      <c r="E618" t="s">
        <v>74</v>
      </c>
      <c r="F618" t="s">
        <v>12225</v>
      </c>
      <c r="G618" t="s">
        <v>74</v>
      </c>
      <c r="H618" t="s">
        <v>74</v>
      </c>
      <c r="I618" t="s">
        <v>12226</v>
      </c>
      <c r="J618" t="s">
        <v>12227</v>
      </c>
      <c r="K618" t="s">
        <v>74</v>
      </c>
      <c r="L618" t="s">
        <v>74</v>
      </c>
      <c r="M618" t="s">
        <v>78</v>
      </c>
      <c r="N618" t="s">
        <v>79</v>
      </c>
      <c r="O618" t="s">
        <v>74</v>
      </c>
      <c r="P618" t="s">
        <v>74</v>
      </c>
      <c r="Q618" t="s">
        <v>74</v>
      </c>
      <c r="R618" t="s">
        <v>74</v>
      </c>
      <c r="S618" t="s">
        <v>74</v>
      </c>
      <c r="T618" t="s">
        <v>74</v>
      </c>
      <c r="U618" t="s">
        <v>12228</v>
      </c>
      <c r="V618" t="s">
        <v>12229</v>
      </c>
      <c r="W618" t="s">
        <v>12230</v>
      </c>
      <c r="X618" t="s">
        <v>12231</v>
      </c>
      <c r="Y618" t="s">
        <v>12232</v>
      </c>
      <c r="Z618" t="s">
        <v>12233</v>
      </c>
      <c r="AA618" t="s">
        <v>12234</v>
      </c>
      <c r="AB618" t="s">
        <v>12235</v>
      </c>
      <c r="AC618" t="s">
        <v>12236</v>
      </c>
      <c r="AD618" t="s">
        <v>12237</v>
      </c>
      <c r="AE618" t="s">
        <v>12238</v>
      </c>
      <c r="AF618" t="s">
        <v>74</v>
      </c>
      <c r="AG618">
        <v>31</v>
      </c>
      <c r="AH618">
        <v>2</v>
      </c>
      <c r="AI618">
        <v>2</v>
      </c>
      <c r="AJ618">
        <v>0</v>
      </c>
      <c r="AK618">
        <v>4</v>
      </c>
      <c r="AL618" t="s">
        <v>12239</v>
      </c>
      <c r="AM618" t="s">
        <v>12240</v>
      </c>
      <c r="AN618" t="s">
        <v>12241</v>
      </c>
      <c r="AO618" t="s">
        <v>12242</v>
      </c>
      <c r="AP618" t="s">
        <v>12243</v>
      </c>
      <c r="AQ618" t="s">
        <v>74</v>
      </c>
      <c r="AR618" t="s">
        <v>12244</v>
      </c>
      <c r="AS618" t="s">
        <v>12245</v>
      </c>
      <c r="AT618" t="s">
        <v>12246</v>
      </c>
      <c r="AU618">
        <v>2021</v>
      </c>
      <c r="AV618">
        <v>103</v>
      </c>
      <c r="AW618">
        <v>2</v>
      </c>
      <c r="AX618" t="s">
        <v>74</v>
      </c>
      <c r="AY618" t="s">
        <v>74</v>
      </c>
      <c r="AZ618" t="s">
        <v>74</v>
      </c>
      <c r="BA618" t="s">
        <v>74</v>
      </c>
      <c r="BB618" t="s">
        <v>74</v>
      </c>
      <c r="BC618" t="s">
        <v>74</v>
      </c>
      <c r="BD618">
        <v>22217</v>
      </c>
      <c r="BE618" t="s">
        <v>12247</v>
      </c>
      <c r="BF618" t="str">
        <f>HYPERLINK("http://dx.doi.org/10.1103/PhysRevE.103.022217","http://dx.doi.org/10.1103/PhysRevE.103.022217")</f>
        <v>http://dx.doi.org/10.1103/PhysRevE.103.022217</v>
      </c>
      <c r="BG618" t="s">
        <v>74</v>
      </c>
      <c r="BH618" t="s">
        <v>74</v>
      </c>
      <c r="BI618">
        <v>13</v>
      </c>
      <c r="BJ618" t="s">
        <v>12248</v>
      </c>
      <c r="BK618" t="s">
        <v>101</v>
      </c>
      <c r="BL618" t="s">
        <v>12249</v>
      </c>
      <c r="BM618" t="s">
        <v>12250</v>
      </c>
      <c r="BN618">
        <v>33736085</v>
      </c>
      <c r="BO618" t="s">
        <v>496</v>
      </c>
      <c r="BP618" t="s">
        <v>74</v>
      </c>
      <c r="BQ618" t="s">
        <v>74</v>
      </c>
      <c r="BR618" t="s">
        <v>104</v>
      </c>
      <c r="BS618" t="s">
        <v>12251</v>
      </c>
      <c r="BT618" t="str">
        <f>HYPERLINK("https%3A%2F%2Fwww.webofscience.com%2Fwos%2Fwoscc%2Ffull-record%2FWOS:000627584100003","View Full Record in Web of Science")</f>
        <v>View Full Record in Web of Science</v>
      </c>
    </row>
    <row r="619" spans="1:72" x14ac:dyDescent="0.15">
      <c r="A619" t="s">
        <v>72</v>
      </c>
      <c r="B619" t="s">
        <v>12252</v>
      </c>
      <c r="C619" t="s">
        <v>74</v>
      </c>
      <c r="D619" t="s">
        <v>74</v>
      </c>
      <c r="E619" t="s">
        <v>74</v>
      </c>
      <c r="F619" t="s">
        <v>12253</v>
      </c>
      <c r="G619" t="s">
        <v>74</v>
      </c>
      <c r="H619" t="s">
        <v>74</v>
      </c>
      <c r="I619" t="s">
        <v>12254</v>
      </c>
      <c r="J619" t="s">
        <v>1761</v>
      </c>
      <c r="K619" t="s">
        <v>74</v>
      </c>
      <c r="L619" t="s">
        <v>74</v>
      </c>
      <c r="M619" t="s">
        <v>78</v>
      </c>
      <c r="N619" t="s">
        <v>79</v>
      </c>
      <c r="O619" t="s">
        <v>74</v>
      </c>
      <c r="P619" t="s">
        <v>74</v>
      </c>
      <c r="Q619" t="s">
        <v>74</v>
      </c>
      <c r="R619" t="s">
        <v>74</v>
      </c>
      <c r="S619" t="s">
        <v>74</v>
      </c>
      <c r="T619" t="s">
        <v>74</v>
      </c>
      <c r="U619" t="s">
        <v>12255</v>
      </c>
      <c r="V619" t="s">
        <v>12256</v>
      </c>
      <c r="W619" t="s">
        <v>12257</v>
      </c>
      <c r="X619" t="s">
        <v>12258</v>
      </c>
      <c r="Y619" t="s">
        <v>12259</v>
      </c>
      <c r="Z619" t="s">
        <v>12260</v>
      </c>
      <c r="AA619" t="s">
        <v>12261</v>
      </c>
      <c r="AB619" t="s">
        <v>12262</v>
      </c>
      <c r="AC619" t="s">
        <v>12263</v>
      </c>
      <c r="AD619" t="s">
        <v>12263</v>
      </c>
      <c r="AE619" t="s">
        <v>12264</v>
      </c>
      <c r="AF619" t="s">
        <v>74</v>
      </c>
      <c r="AG619">
        <v>32</v>
      </c>
      <c r="AH619">
        <v>6</v>
      </c>
      <c r="AI619">
        <v>7</v>
      </c>
      <c r="AJ619">
        <v>1</v>
      </c>
      <c r="AK619">
        <v>5</v>
      </c>
      <c r="AL619" t="s">
        <v>1269</v>
      </c>
      <c r="AM619" t="s">
        <v>1270</v>
      </c>
      <c r="AN619" t="s">
        <v>1271</v>
      </c>
      <c r="AO619" t="s">
        <v>1773</v>
      </c>
      <c r="AP619" t="s">
        <v>1774</v>
      </c>
      <c r="AQ619" t="s">
        <v>74</v>
      </c>
      <c r="AR619" t="s">
        <v>1761</v>
      </c>
      <c r="AS619" t="s">
        <v>1775</v>
      </c>
      <c r="AT619" t="s">
        <v>12246</v>
      </c>
      <c r="AU619">
        <v>2021</v>
      </c>
      <c r="AV619">
        <v>15</v>
      </c>
      <c r="AW619">
        <v>2</v>
      </c>
      <c r="AX619" t="s">
        <v>74</v>
      </c>
      <c r="AY619" t="s">
        <v>74</v>
      </c>
      <c r="AZ619" t="s">
        <v>74</v>
      </c>
      <c r="BA619" t="s">
        <v>74</v>
      </c>
      <c r="BB619">
        <v>1015</v>
      </c>
      <c r="BC619">
        <v>1030</v>
      </c>
      <c r="BD619" t="s">
        <v>74</v>
      </c>
      <c r="BE619" t="s">
        <v>12265</v>
      </c>
      <c r="BF619" t="str">
        <f>HYPERLINK("http://dx.doi.org/10.5194/tc-15-1015-2021","http://dx.doi.org/10.5194/tc-15-1015-2021")</f>
        <v>http://dx.doi.org/10.5194/tc-15-1015-2021</v>
      </c>
      <c r="BG619" t="s">
        <v>74</v>
      </c>
      <c r="BH619" t="s">
        <v>74</v>
      </c>
      <c r="BI619">
        <v>16</v>
      </c>
      <c r="BJ619" t="s">
        <v>1685</v>
      </c>
      <c r="BK619" t="s">
        <v>101</v>
      </c>
      <c r="BL619" t="s">
        <v>1686</v>
      </c>
      <c r="BM619" t="s">
        <v>12266</v>
      </c>
      <c r="BN619" t="s">
        <v>74</v>
      </c>
      <c r="BO619" t="s">
        <v>1280</v>
      </c>
      <c r="BP619" t="s">
        <v>74</v>
      </c>
      <c r="BQ619" t="s">
        <v>74</v>
      </c>
      <c r="BR619" t="s">
        <v>104</v>
      </c>
      <c r="BS619" t="s">
        <v>12267</v>
      </c>
      <c r="BT619" t="str">
        <f>HYPERLINK("https%3A%2F%2Fwww.webofscience.com%2Fwos%2Fwoscc%2Ffull-record%2FWOS:000625876900001","View Full Record in Web of Science")</f>
        <v>View Full Record in Web of Science</v>
      </c>
    </row>
    <row r="620" spans="1:72" x14ac:dyDescent="0.15">
      <c r="A620" t="s">
        <v>72</v>
      </c>
      <c r="B620" t="s">
        <v>12252</v>
      </c>
      <c r="C620" t="s">
        <v>74</v>
      </c>
      <c r="D620" t="s">
        <v>74</v>
      </c>
      <c r="E620" t="s">
        <v>74</v>
      </c>
      <c r="F620" t="s">
        <v>12253</v>
      </c>
      <c r="G620" t="s">
        <v>74</v>
      </c>
      <c r="H620" t="s">
        <v>74</v>
      </c>
      <c r="I620" t="s">
        <v>12268</v>
      </c>
      <c r="J620" t="s">
        <v>1761</v>
      </c>
      <c r="K620" t="s">
        <v>74</v>
      </c>
      <c r="L620" t="s">
        <v>74</v>
      </c>
      <c r="M620" t="s">
        <v>78</v>
      </c>
      <c r="N620" t="s">
        <v>79</v>
      </c>
      <c r="O620" t="s">
        <v>74</v>
      </c>
      <c r="P620" t="s">
        <v>74</v>
      </c>
      <c r="Q620" t="s">
        <v>74</v>
      </c>
      <c r="R620" t="s">
        <v>74</v>
      </c>
      <c r="S620" t="s">
        <v>74</v>
      </c>
      <c r="T620" t="s">
        <v>74</v>
      </c>
      <c r="U620" t="s">
        <v>12269</v>
      </c>
      <c r="V620" t="s">
        <v>12270</v>
      </c>
      <c r="W620" t="s">
        <v>12257</v>
      </c>
      <c r="X620" t="s">
        <v>12271</v>
      </c>
      <c r="Y620" t="s">
        <v>12259</v>
      </c>
      <c r="Z620" t="s">
        <v>12260</v>
      </c>
      <c r="AA620" t="s">
        <v>12261</v>
      </c>
      <c r="AB620" t="s">
        <v>12262</v>
      </c>
      <c r="AC620" t="s">
        <v>12263</v>
      </c>
      <c r="AD620" t="s">
        <v>12263</v>
      </c>
      <c r="AE620" t="s">
        <v>12272</v>
      </c>
      <c r="AF620" t="s">
        <v>74</v>
      </c>
      <c r="AG620">
        <v>51</v>
      </c>
      <c r="AH620">
        <v>5</v>
      </c>
      <c r="AI620">
        <v>5</v>
      </c>
      <c r="AJ620">
        <v>1</v>
      </c>
      <c r="AK620">
        <v>4</v>
      </c>
      <c r="AL620" t="s">
        <v>1269</v>
      </c>
      <c r="AM620" t="s">
        <v>1270</v>
      </c>
      <c r="AN620" t="s">
        <v>1271</v>
      </c>
      <c r="AO620" t="s">
        <v>1773</v>
      </c>
      <c r="AP620" t="s">
        <v>1774</v>
      </c>
      <c r="AQ620" t="s">
        <v>74</v>
      </c>
      <c r="AR620" t="s">
        <v>1761</v>
      </c>
      <c r="AS620" t="s">
        <v>1775</v>
      </c>
      <c r="AT620" t="s">
        <v>12246</v>
      </c>
      <c r="AU620">
        <v>2021</v>
      </c>
      <c r="AV620">
        <v>15</v>
      </c>
      <c r="AW620">
        <v>2</v>
      </c>
      <c r="AX620" t="s">
        <v>74</v>
      </c>
      <c r="AY620" t="s">
        <v>74</v>
      </c>
      <c r="AZ620" t="s">
        <v>74</v>
      </c>
      <c r="BA620" t="s">
        <v>74</v>
      </c>
      <c r="BB620">
        <v>1031</v>
      </c>
      <c r="BC620">
        <v>1052</v>
      </c>
      <c r="BD620" t="s">
        <v>74</v>
      </c>
      <c r="BE620" t="s">
        <v>12273</v>
      </c>
      <c r="BF620" t="str">
        <f>HYPERLINK("http://dx.doi.org/10.5194/tc-15-1031-2021","http://dx.doi.org/10.5194/tc-15-1031-2021")</f>
        <v>http://dx.doi.org/10.5194/tc-15-1031-2021</v>
      </c>
      <c r="BG620" t="s">
        <v>74</v>
      </c>
      <c r="BH620" t="s">
        <v>74</v>
      </c>
      <c r="BI620">
        <v>22</v>
      </c>
      <c r="BJ620" t="s">
        <v>1685</v>
      </c>
      <c r="BK620" t="s">
        <v>101</v>
      </c>
      <c r="BL620" t="s">
        <v>1686</v>
      </c>
      <c r="BM620" t="s">
        <v>12266</v>
      </c>
      <c r="BN620" t="s">
        <v>74</v>
      </c>
      <c r="BO620" t="s">
        <v>1280</v>
      </c>
      <c r="BP620" t="s">
        <v>74</v>
      </c>
      <c r="BQ620" t="s">
        <v>74</v>
      </c>
      <c r="BR620" t="s">
        <v>104</v>
      </c>
      <c r="BS620" t="s">
        <v>12274</v>
      </c>
      <c r="BT620" t="str">
        <f>HYPERLINK("https%3A%2F%2Fwww.webofscience.com%2Fwos%2Fwoscc%2Ffull-record%2FWOS:000625876900002","View Full Record in Web of Science")</f>
        <v>View Full Record in Web of Science</v>
      </c>
    </row>
    <row r="621" spans="1:72" x14ac:dyDescent="0.15">
      <c r="A621" t="s">
        <v>72</v>
      </c>
      <c r="B621" t="s">
        <v>12275</v>
      </c>
      <c r="C621" t="s">
        <v>74</v>
      </c>
      <c r="D621" t="s">
        <v>74</v>
      </c>
      <c r="E621" t="s">
        <v>74</v>
      </c>
      <c r="F621" t="s">
        <v>12276</v>
      </c>
      <c r="G621" t="s">
        <v>74</v>
      </c>
      <c r="H621" t="s">
        <v>74</v>
      </c>
      <c r="I621" t="s">
        <v>12277</v>
      </c>
      <c r="J621" t="s">
        <v>3057</v>
      </c>
      <c r="K621" t="s">
        <v>74</v>
      </c>
      <c r="L621" t="s">
        <v>74</v>
      </c>
      <c r="M621" t="s">
        <v>78</v>
      </c>
      <c r="N621" t="s">
        <v>3058</v>
      </c>
      <c r="O621" t="s">
        <v>74</v>
      </c>
      <c r="P621" t="s">
        <v>74</v>
      </c>
      <c r="Q621" t="s">
        <v>74</v>
      </c>
      <c r="R621" t="s">
        <v>74</v>
      </c>
      <c r="S621" t="s">
        <v>74</v>
      </c>
      <c r="T621" t="s">
        <v>74</v>
      </c>
      <c r="U621" t="s">
        <v>12278</v>
      </c>
      <c r="V621" t="s">
        <v>12279</v>
      </c>
      <c r="W621" t="s">
        <v>12280</v>
      </c>
      <c r="X621" t="s">
        <v>12281</v>
      </c>
      <c r="Y621" t="s">
        <v>12282</v>
      </c>
      <c r="Z621" t="s">
        <v>12283</v>
      </c>
      <c r="AA621" t="s">
        <v>12284</v>
      </c>
      <c r="AB621" t="s">
        <v>12285</v>
      </c>
      <c r="AC621" t="s">
        <v>12286</v>
      </c>
      <c r="AD621" t="s">
        <v>12287</v>
      </c>
      <c r="AE621" t="s">
        <v>12288</v>
      </c>
      <c r="AF621" t="s">
        <v>74</v>
      </c>
      <c r="AG621">
        <v>96</v>
      </c>
      <c r="AH621">
        <v>17</v>
      </c>
      <c r="AI621">
        <v>17</v>
      </c>
      <c r="AJ621">
        <v>1</v>
      </c>
      <c r="AK621">
        <v>9</v>
      </c>
      <c r="AL621" t="s">
        <v>1269</v>
      </c>
      <c r="AM621" t="s">
        <v>1270</v>
      </c>
      <c r="AN621" t="s">
        <v>1271</v>
      </c>
      <c r="AO621" t="s">
        <v>3069</v>
      </c>
      <c r="AP621" t="s">
        <v>3070</v>
      </c>
      <c r="AQ621" t="s">
        <v>74</v>
      </c>
      <c r="AR621" t="s">
        <v>3071</v>
      </c>
      <c r="AS621" t="s">
        <v>3072</v>
      </c>
      <c r="AT621" t="s">
        <v>12246</v>
      </c>
      <c r="AU621">
        <v>2021</v>
      </c>
      <c r="AV621">
        <v>13</v>
      </c>
      <c r="AW621">
        <v>2</v>
      </c>
      <c r="AX621" t="s">
        <v>74</v>
      </c>
      <c r="AY621" t="s">
        <v>74</v>
      </c>
      <c r="AZ621" t="s">
        <v>74</v>
      </c>
      <c r="BA621" t="s">
        <v>74</v>
      </c>
      <c r="BB621">
        <v>671</v>
      </c>
      <c r="BC621">
        <v>696</v>
      </c>
      <c r="BD621" t="s">
        <v>74</v>
      </c>
      <c r="BE621" t="s">
        <v>12289</v>
      </c>
      <c r="BF621" t="str">
        <f>HYPERLINK("http://dx.doi.org/10.5194/essd-13-671-2021","http://dx.doi.org/10.5194/essd-13-671-2021")</f>
        <v>http://dx.doi.org/10.5194/essd-13-671-2021</v>
      </c>
      <c r="BG621" t="s">
        <v>74</v>
      </c>
      <c r="BH621" t="s">
        <v>74</v>
      </c>
      <c r="BI621">
        <v>26</v>
      </c>
      <c r="BJ621" t="s">
        <v>2907</v>
      </c>
      <c r="BK621" t="s">
        <v>101</v>
      </c>
      <c r="BL621" t="s">
        <v>2908</v>
      </c>
      <c r="BM621" t="s">
        <v>12290</v>
      </c>
      <c r="BN621" t="s">
        <v>74</v>
      </c>
      <c r="BO621" t="s">
        <v>3593</v>
      </c>
      <c r="BP621" t="s">
        <v>74</v>
      </c>
      <c r="BQ621" t="s">
        <v>74</v>
      </c>
      <c r="BR621" t="s">
        <v>104</v>
      </c>
      <c r="BS621" t="s">
        <v>12291</v>
      </c>
      <c r="BT621" t="str">
        <f>HYPERLINK("https%3A%2F%2Fwww.webofscience.com%2Fwos%2Fwoscc%2Ffull-record%2FWOS:000625875500001","View Full Record in Web of Science")</f>
        <v>View Full Record in Web of Science</v>
      </c>
    </row>
    <row r="622" spans="1:72" x14ac:dyDescent="0.15">
      <c r="A622" t="s">
        <v>72</v>
      </c>
      <c r="B622" t="s">
        <v>12292</v>
      </c>
      <c r="C622" t="s">
        <v>74</v>
      </c>
      <c r="D622" t="s">
        <v>74</v>
      </c>
      <c r="E622" t="s">
        <v>74</v>
      </c>
      <c r="F622" t="s">
        <v>12293</v>
      </c>
      <c r="G622" t="s">
        <v>74</v>
      </c>
      <c r="H622" t="s">
        <v>74</v>
      </c>
      <c r="I622" t="s">
        <v>12294</v>
      </c>
      <c r="J622" t="s">
        <v>12295</v>
      </c>
      <c r="K622" t="s">
        <v>74</v>
      </c>
      <c r="L622" t="s">
        <v>74</v>
      </c>
      <c r="M622" t="s">
        <v>78</v>
      </c>
      <c r="N622" t="s">
        <v>1074</v>
      </c>
      <c r="O622" t="s">
        <v>74</v>
      </c>
      <c r="P622" t="s">
        <v>74</v>
      </c>
      <c r="Q622" t="s">
        <v>74</v>
      </c>
      <c r="R622" t="s">
        <v>74</v>
      </c>
      <c r="S622" t="s">
        <v>74</v>
      </c>
      <c r="T622" t="s">
        <v>12296</v>
      </c>
      <c r="U622" t="s">
        <v>74</v>
      </c>
      <c r="V622" t="s">
        <v>12297</v>
      </c>
      <c r="W622" t="s">
        <v>12298</v>
      </c>
      <c r="X622" t="s">
        <v>12299</v>
      </c>
      <c r="Y622" t="s">
        <v>12300</v>
      </c>
      <c r="Z622" t="s">
        <v>12301</v>
      </c>
      <c r="AA622" t="s">
        <v>12302</v>
      </c>
      <c r="AB622" t="s">
        <v>12303</v>
      </c>
      <c r="AC622" t="s">
        <v>74</v>
      </c>
      <c r="AD622" t="s">
        <v>74</v>
      </c>
      <c r="AE622" t="s">
        <v>74</v>
      </c>
      <c r="AF622" t="s">
        <v>74</v>
      </c>
      <c r="AG622">
        <v>156</v>
      </c>
      <c r="AH622">
        <v>41</v>
      </c>
      <c r="AI622">
        <v>43</v>
      </c>
      <c r="AJ622">
        <v>9</v>
      </c>
      <c r="AK622">
        <v>94</v>
      </c>
      <c r="AL622" t="s">
        <v>576</v>
      </c>
      <c r="AM622" t="s">
        <v>577</v>
      </c>
      <c r="AN622" t="s">
        <v>578</v>
      </c>
      <c r="AO622" t="s">
        <v>12304</v>
      </c>
      <c r="AP622" t="s">
        <v>12305</v>
      </c>
      <c r="AQ622" t="s">
        <v>74</v>
      </c>
      <c r="AR622" t="s">
        <v>12306</v>
      </c>
      <c r="AS622" t="s">
        <v>12307</v>
      </c>
      <c r="AT622" t="s">
        <v>1809</v>
      </c>
      <c r="AU622">
        <v>2021</v>
      </c>
      <c r="AV622">
        <v>36</v>
      </c>
      <c r="AW622" t="s">
        <v>74</v>
      </c>
      <c r="AX622" t="s">
        <v>74</v>
      </c>
      <c r="AY622" t="s">
        <v>74</v>
      </c>
      <c r="AZ622" t="s">
        <v>74</v>
      </c>
      <c r="BA622" t="s">
        <v>74</v>
      </c>
      <c r="BB622">
        <v>137</v>
      </c>
      <c r="BC622">
        <v>161</v>
      </c>
      <c r="BD622" t="s">
        <v>74</v>
      </c>
      <c r="BE622" t="s">
        <v>12308</v>
      </c>
      <c r="BF622" t="str">
        <f>HYPERLINK("http://dx.doi.org/10.1016/j.plrev.2019.04.003","http://dx.doi.org/10.1016/j.plrev.2019.04.003")</f>
        <v>http://dx.doi.org/10.1016/j.plrev.2019.04.003</v>
      </c>
      <c r="BG622" t="s">
        <v>74</v>
      </c>
      <c r="BH622" t="s">
        <v>12028</v>
      </c>
      <c r="BI622">
        <v>25</v>
      </c>
      <c r="BJ622" t="s">
        <v>12309</v>
      </c>
      <c r="BK622" t="s">
        <v>101</v>
      </c>
      <c r="BL622" t="s">
        <v>12310</v>
      </c>
      <c r="BM622" t="s">
        <v>12311</v>
      </c>
      <c r="BN622">
        <v>31072789</v>
      </c>
      <c r="BO622" t="s">
        <v>74</v>
      </c>
      <c r="BP622" t="s">
        <v>74</v>
      </c>
      <c r="BQ622" t="s">
        <v>74</v>
      </c>
      <c r="BR622" t="s">
        <v>104</v>
      </c>
      <c r="BS622" t="s">
        <v>12312</v>
      </c>
      <c r="BT622" t="str">
        <f>HYPERLINK("https%3A%2F%2Fwww.webofscience.com%2Fwos%2Fwoscc%2Ffull-record%2FWOS:000623180500026","View Full Record in Web of Science")</f>
        <v>View Full Record in Web of Science</v>
      </c>
    </row>
    <row r="623" spans="1:72" x14ac:dyDescent="0.15">
      <c r="A623" t="s">
        <v>72</v>
      </c>
      <c r="B623" t="s">
        <v>12313</v>
      </c>
      <c r="C623" t="s">
        <v>74</v>
      </c>
      <c r="D623" t="s">
        <v>74</v>
      </c>
      <c r="E623" t="s">
        <v>74</v>
      </c>
      <c r="F623" t="s">
        <v>12314</v>
      </c>
      <c r="G623" t="s">
        <v>74</v>
      </c>
      <c r="H623" t="s">
        <v>74</v>
      </c>
      <c r="I623" t="s">
        <v>12315</v>
      </c>
      <c r="J623" t="s">
        <v>2687</v>
      </c>
      <c r="K623" t="s">
        <v>74</v>
      </c>
      <c r="L623" t="s">
        <v>74</v>
      </c>
      <c r="M623" t="s">
        <v>78</v>
      </c>
      <c r="N623" t="s">
        <v>79</v>
      </c>
      <c r="O623" t="s">
        <v>74</v>
      </c>
      <c r="P623" t="s">
        <v>74</v>
      </c>
      <c r="Q623" t="s">
        <v>74</v>
      </c>
      <c r="R623" t="s">
        <v>74</v>
      </c>
      <c r="S623" t="s">
        <v>74</v>
      </c>
      <c r="T623" t="s">
        <v>12316</v>
      </c>
      <c r="U623" t="s">
        <v>12317</v>
      </c>
      <c r="V623" t="s">
        <v>12318</v>
      </c>
      <c r="W623" t="s">
        <v>12319</v>
      </c>
      <c r="X623" t="s">
        <v>12320</v>
      </c>
      <c r="Y623" t="s">
        <v>12321</v>
      </c>
      <c r="Z623" t="s">
        <v>12322</v>
      </c>
      <c r="AA623" t="s">
        <v>74</v>
      </c>
      <c r="AB623" t="s">
        <v>12323</v>
      </c>
      <c r="AC623" t="s">
        <v>74</v>
      </c>
      <c r="AD623" t="s">
        <v>74</v>
      </c>
      <c r="AE623" t="s">
        <v>74</v>
      </c>
      <c r="AF623" t="s">
        <v>74</v>
      </c>
      <c r="AG623">
        <v>92</v>
      </c>
      <c r="AH623">
        <v>12</v>
      </c>
      <c r="AI623">
        <v>13</v>
      </c>
      <c r="AJ623">
        <v>0</v>
      </c>
      <c r="AK623">
        <v>11</v>
      </c>
      <c r="AL623" t="s">
        <v>603</v>
      </c>
      <c r="AM623" t="s">
        <v>604</v>
      </c>
      <c r="AN623" t="s">
        <v>605</v>
      </c>
      <c r="AO623" t="s">
        <v>74</v>
      </c>
      <c r="AP623" t="s">
        <v>2699</v>
      </c>
      <c r="AQ623" t="s">
        <v>74</v>
      </c>
      <c r="AR623" t="s">
        <v>2700</v>
      </c>
      <c r="AS623" t="s">
        <v>2701</v>
      </c>
      <c r="AT623" t="s">
        <v>12246</v>
      </c>
      <c r="AU623">
        <v>2021</v>
      </c>
      <c r="AV623">
        <v>8</v>
      </c>
      <c r="AW623" t="s">
        <v>74</v>
      </c>
      <c r="AX623" t="s">
        <v>74</v>
      </c>
      <c r="AY623" t="s">
        <v>74</v>
      </c>
      <c r="AZ623" t="s">
        <v>74</v>
      </c>
      <c r="BA623" t="s">
        <v>74</v>
      </c>
      <c r="BB623" t="s">
        <v>74</v>
      </c>
      <c r="BC623" t="s">
        <v>74</v>
      </c>
      <c r="BD623" t="s">
        <v>74</v>
      </c>
      <c r="BE623" t="s">
        <v>12324</v>
      </c>
      <c r="BF623" t="str">
        <f>HYPERLINK("http://dx.doi.org/10.3389/fmars.2021.631839","http://dx.doi.org/10.3389/fmars.2021.631839")</f>
        <v>http://dx.doi.org/10.3389/fmars.2021.631839</v>
      </c>
      <c r="BG623" t="s">
        <v>74</v>
      </c>
      <c r="BH623" t="s">
        <v>74</v>
      </c>
      <c r="BI623">
        <v>14</v>
      </c>
      <c r="BJ623" t="s">
        <v>1646</v>
      </c>
      <c r="BK623" t="s">
        <v>101</v>
      </c>
      <c r="BL623" t="s">
        <v>710</v>
      </c>
      <c r="BM623" t="s">
        <v>12325</v>
      </c>
      <c r="BN623" t="s">
        <v>74</v>
      </c>
      <c r="BO623" t="s">
        <v>298</v>
      </c>
      <c r="BP623" t="s">
        <v>74</v>
      </c>
      <c r="BQ623" t="s">
        <v>74</v>
      </c>
      <c r="BR623" t="s">
        <v>104</v>
      </c>
      <c r="BS623" t="s">
        <v>12326</v>
      </c>
      <c r="BT623" t="str">
        <f>HYPERLINK("https%3A%2F%2Fwww.webofscience.com%2Fwos%2Fwoscc%2Ffull-record%2FWOS:000624523600001","View Full Record in Web of Science")</f>
        <v>View Full Record in Web of Science</v>
      </c>
    </row>
    <row r="624" spans="1:72" x14ac:dyDescent="0.15">
      <c r="A624" t="s">
        <v>72</v>
      </c>
      <c r="B624" t="s">
        <v>12327</v>
      </c>
      <c r="C624" t="s">
        <v>74</v>
      </c>
      <c r="D624" t="s">
        <v>74</v>
      </c>
      <c r="E624" t="s">
        <v>74</v>
      </c>
      <c r="F624" t="s">
        <v>12328</v>
      </c>
      <c r="G624" t="s">
        <v>74</v>
      </c>
      <c r="H624" t="s">
        <v>74</v>
      </c>
      <c r="I624" t="s">
        <v>12329</v>
      </c>
      <c r="J624" t="s">
        <v>1285</v>
      </c>
      <c r="K624" t="s">
        <v>74</v>
      </c>
      <c r="L624" t="s">
        <v>74</v>
      </c>
      <c r="M624" t="s">
        <v>78</v>
      </c>
      <c r="N624" t="s">
        <v>79</v>
      </c>
      <c r="O624" t="s">
        <v>74</v>
      </c>
      <c r="P624" t="s">
        <v>74</v>
      </c>
      <c r="Q624" t="s">
        <v>74</v>
      </c>
      <c r="R624" t="s">
        <v>74</v>
      </c>
      <c r="S624" t="s">
        <v>74</v>
      </c>
      <c r="T624" t="s">
        <v>74</v>
      </c>
      <c r="U624" t="s">
        <v>74</v>
      </c>
      <c r="V624" t="s">
        <v>12330</v>
      </c>
      <c r="W624" t="s">
        <v>12331</v>
      </c>
      <c r="X624" t="s">
        <v>12332</v>
      </c>
      <c r="Y624" t="s">
        <v>12333</v>
      </c>
      <c r="Z624" t="s">
        <v>12334</v>
      </c>
      <c r="AA624" t="s">
        <v>74</v>
      </c>
      <c r="AB624" t="s">
        <v>12335</v>
      </c>
      <c r="AC624" t="s">
        <v>12336</v>
      </c>
      <c r="AD624" t="s">
        <v>12337</v>
      </c>
      <c r="AE624" t="s">
        <v>12338</v>
      </c>
      <c r="AF624" t="s">
        <v>74</v>
      </c>
      <c r="AG624">
        <v>43</v>
      </c>
      <c r="AH624">
        <v>3</v>
      </c>
      <c r="AI624">
        <v>4</v>
      </c>
      <c r="AJ624">
        <v>1</v>
      </c>
      <c r="AK624">
        <v>11</v>
      </c>
      <c r="AL624" t="s">
        <v>166</v>
      </c>
      <c r="AM624" t="s">
        <v>167</v>
      </c>
      <c r="AN624" t="s">
        <v>168</v>
      </c>
      <c r="AO624" t="s">
        <v>1296</v>
      </c>
      <c r="AP624" t="s">
        <v>1297</v>
      </c>
      <c r="AQ624" t="s">
        <v>74</v>
      </c>
      <c r="AR624" t="s">
        <v>1298</v>
      </c>
      <c r="AS624" t="s">
        <v>1299</v>
      </c>
      <c r="AT624" t="s">
        <v>1809</v>
      </c>
      <c r="AU624">
        <v>2021</v>
      </c>
      <c r="AV624">
        <v>78</v>
      </c>
      <c r="AW624">
        <v>3</v>
      </c>
      <c r="AX624" t="s">
        <v>74</v>
      </c>
      <c r="AY624" t="s">
        <v>74</v>
      </c>
      <c r="AZ624" t="s">
        <v>74</v>
      </c>
      <c r="BA624" t="s">
        <v>74</v>
      </c>
      <c r="BB624">
        <v>944</v>
      </c>
      <c r="BC624">
        <v>953</v>
      </c>
      <c r="BD624" t="s">
        <v>74</v>
      </c>
      <c r="BE624" t="s">
        <v>12339</v>
      </c>
      <c r="BF624" t="str">
        <f>HYPERLINK("http://dx.doi.org/10.1007/s00284-021-02364-5","http://dx.doi.org/10.1007/s00284-021-02364-5")</f>
        <v>http://dx.doi.org/10.1007/s00284-021-02364-5</v>
      </c>
      <c r="BG624" t="s">
        <v>74</v>
      </c>
      <c r="BH624" t="s">
        <v>12028</v>
      </c>
      <c r="BI624">
        <v>10</v>
      </c>
      <c r="BJ624" t="s">
        <v>396</v>
      </c>
      <c r="BK624" t="s">
        <v>101</v>
      </c>
      <c r="BL624" t="s">
        <v>396</v>
      </c>
      <c r="BM624" t="s">
        <v>12340</v>
      </c>
      <c r="BN624">
        <v>33638002</v>
      </c>
      <c r="BO624" t="s">
        <v>74</v>
      </c>
      <c r="BP624" t="s">
        <v>74</v>
      </c>
      <c r="BQ624" t="s">
        <v>74</v>
      </c>
      <c r="BR624" t="s">
        <v>104</v>
      </c>
      <c r="BS624" t="s">
        <v>12341</v>
      </c>
      <c r="BT624" t="str">
        <f>HYPERLINK("https%3A%2F%2Fwww.webofscience.com%2Fwos%2Fwoscc%2Ffull-record%2FWOS:000622294900004","View Full Record in Web of Science")</f>
        <v>View Full Record in Web of Science</v>
      </c>
    </row>
    <row r="625" spans="1:72" x14ac:dyDescent="0.15">
      <c r="A625" t="s">
        <v>72</v>
      </c>
      <c r="B625" t="s">
        <v>12342</v>
      </c>
      <c r="C625" t="s">
        <v>74</v>
      </c>
      <c r="D625" t="s">
        <v>74</v>
      </c>
      <c r="E625" t="s">
        <v>74</v>
      </c>
      <c r="F625" t="s">
        <v>12343</v>
      </c>
      <c r="G625" t="s">
        <v>74</v>
      </c>
      <c r="H625" t="s">
        <v>74</v>
      </c>
      <c r="I625" t="s">
        <v>12344</v>
      </c>
      <c r="J625" t="s">
        <v>3278</v>
      </c>
      <c r="K625" t="s">
        <v>74</v>
      </c>
      <c r="L625" t="s">
        <v>74</v>
      </c>
      <c r="M625" t="s">
        <v>78</v>
      </c>
      <c r="N625" t="s">
        <v>79</v>
      </c>
      <c r="O625" t="s">
        <v>74</v>
      </c>
      <c r="P625" t="s">
        <v>74</v>
      </c>
      <c r="Q625" t="s">
        <v>74</v>
      </c>
      <c r="R625" t="s">
        <v>74</v>
      </c>
      <c r="S625" t="s">
        <v>74</v>
      </c>
      <c r="T625" t="s">
        <v>12345</v>
      </c>
      <c r="U625" t="s">
        <v>74</v>
      </c>
      <c r="V625" t="s">
        <v>12346</v>
      </c>
      <c r="W625" t="s">
        <v>12347</v>
      </c>
      <c r="X625" t="s">
        <v>12348</v>
      </c>
      <c r="Y625" t="s">
        <v>12349</v>
      </c>
      <c r="Z625" t="s">
        <v>12350</v>
      </c>
      <c r="AA625" t="s">
        <v>12351</v>
      </c>
      <c r="AB625" t="s">
        <v>12352</v>
      </c>
      <c r="AC625" t="s">
        <v>12353</v>
      </c>
      <c r="AD625" t="s">
        <v>12354</v>
      </c>
      <c r="AE625" t="s">
        <v>12355</v>
      </c>
      <c r="AF625" t="s">
        <v>74</v>
      </c>
      <c r="AG625">
        <v>47</v>
      </c>
      <c r="AH625">
        <v>6</v>
      </c>
      <c r="AI625">
        <v>6</v>
      </c>
      <c r="AJ625">
        <v>5</v>
      </c>
      <c r="AK625">
        <v>38</v>
      </c>
      <c r="AL625" t="s">
        <v>3291</v>
      </c>
      <c r="AM625" t="s">
        <v>3292</v>
      </c>
      <c r="AN625" t="s">
        <v>3293</v>
      </c>
      <c r="AO625" t="s">
        <v>3294</v>
      </c>
      <c r="AP625" t="s">
        <v>3295</v>
      </c>
      <c r="AQ625" t="s">
        <v>74</v>
      </c>
      <c r="AR625" t="s">
        <v>3278</v>
      </c>
      <c r="AS625" t="s">
        <v>3296</v>
      </c>
      <c r="AT625" t="s">
        <v>1809</v>
      </c>
      <c r="AU625">
        <v>2021</v>
      </c>
      <c r="AV625">
        <v>25</v>
      </c>
      <c r="AW625">
        <v>2</v>
      </c>
      <c r="AX625" t="s">
        <v>74</v>
      </c>
      <c r="AY625" t="s">
        <v>74</v>
      </c>
      <c r="AZ625" t="s">
        <v>74</v>
      </c>
      <c r="BA625" t="s">
        <v>74</v>
      </c>
      <c r="BB625">
        <v>181</v>
      </c>
      <c r="BC625">
        <v>191</v>
      </c>
      <c r="BD625" t="s">
        <v>74</v>
      </c>
      <c r="BE625" t="s">
        <v>12356</v>
      </c>
      <c r="BF625" t="str">
        <f>HYPERLINK("http://dx.doi.org/10.1007/s00792-021-01220-5","http://dx.doi.org/10.1007/s00792-021-01220-5")</f>
        <v>http://dx.doi.org/10.1007/s00792-021-01220-5</v>
      </c>
      <c r="BG625" t="s">
        <v>74</v>
      </c>
      <c r="BH625" t="s">
        <v>12028</v>
      </c>
      <c r="BI625">
        <v>11</v>
      </c>
      <c r="BJ625" t="s">
        <v>3298</v>
      </c>
      <c r="BK625" t="s">
        <v>101</v>
      </c>
      <c r="BL625" t="s">
        <v>3298</v>
      </c>
      <c r="BM625" t="s">
        <v>10059</v>
      </c>
      <c r="BN625">
        <v>33635427</v>
      </c>
      <c r="BO625" t="s">
        <v>74</v>
      </c>
      <c r="BP625" t="s">
        <v>74</v>
      </c>
      <c r="BQ625" t="s">
        <v>74</v>
      </c>
      <c r="BR625" t="s">
        <v>104</v>
      </c>
      <c r="BS625" t="s">
        <v>12357</v>
      </c>
      <c r="BT625" t="str">
        <f>HYPERLINK("https%3A%2F%2Fwww.webofscience.com%2Fwos%2Fwoscc%2Ffull-record%2FWOS:000622209100001","View Full Record in Web of Science")</f>
        <v>View Full Record in Web of Science</v>
      </c>
    </row>
    <row r="626" spans="1:72" x14ac:dyDescent="0.15">
      <c r="A626" t="s">
        <v>72</v>
      </c>
      <c r="B626" t="s">
        <v>12358</v>
      </c>
      <c r="C626" t="s">
        <v>74</v>
      </c>
      <c r="D626" t="s">
        <v>74</v>
      </c>
      <c r="E626" t="s">
        <v>74</v>
      </c>
      <c r="F626" t="s">
        <v>12359</v>
      </c>
      <c r="G626" t="s">
        <v>74</v>
      </c>
      <c r="H626" t="s">
        <v>74</v>
      </c>
      <c r="I626" t="s">
        <v>12360</v>
      </c>
      <c r="J626" t="s">
        <v>1421</v>
      </c>
      <c r="K626" t="s">
        <v>74</v>
      </c>
      <c r="L626" t="s">
        <v>74</v>
      </c>
      <c r="M626" t="s">
        <v>78</v>
      </c>
      <c r="N626" t="s">
        <v>79</v>
      </c>
      <c r="O626" t="s">
        <v>74</v>
      </c>
      <c r="P626" t="s">
        <v>74</v>
      </c>
      <c r="Q626" t="s">
        <v>74</v>
      </c>
      <c r="R626" t="s">
        <v>74</v>
      </c>
      <c r="S626" t="s">
        <v>74</v>
      </c>
      <c r="T626" t="s">
        <v>12361</v>
      </c>
      <c r="U626" t="s">
        <v>12362</v>
      </c>
      <c r="V626" t="s">
        <v>12363</v>
      </c>
      <c r="W626" t="s">
        <v>12364</v>
      </c>
      <c r="X626" t="s">
        <v>12365</v>
      </c>
      <c r="Y626" t="s">
        <v>12366</v>
      </c>
      <c r="Z626" t="s">
        <v>12367</v>
      </c>
      <c r="AA626" t="s">
        <v>12368</v>
      </c>
      <c r="AB626" t="s">
        <v>12369</v>
      </c>
      <c r="AC626" t="s">
        <v>12370</v>
      </c>
      <c r="AD626" t="s">
        <v>12371</v>
      </c>
      <c r="AE626" t="s">
        <v>12372</v>
      </c>
      <c r="AF626" t="s">
        <v>74</v>
      </c>
      <c r="AG626">
        <v>42</v>
      </c>
      <c r="AH626">
        <v>5</v>
      </c>
      <c r="AI626">
        <v>5</v>
      </c>
      <c r="AJ626">
        <v>0</v>
      </c>
      <c r="AK626">
        <v>7</v>
      </c>
      <c r="AL626" t="s">
        <v>166</v>
      </c>
      <c r="AM626" t="s">
        <v>167</v>
      </c>
      <c r="AN626" t="s">
        <v>168</v>
      </c>
      <c r="AO626" t="s">
        <v>1433</v>
      </c>
      <c r="AP626" t="s">
        <v>1434</v>
      </c>
      <c r="AQ626" t="s">
        <v>74</v>
      </c>
      <c r="AR626" t="s">
        <v>1435</v>
      </c>
      <c r="AS626" t="s">
        <v>1436</v>
      </c>
      <c r="AT626" t="s">
        <v>2859</v>
      </c>
      <c r="AU626">
        <v>2021</v>
      </c>
      <c r="AV626">
        <v>44</v>
      </c>
      <c r="AW626">
        <v>4</v>
      </c>
      <c r="AX626" t="s">
        <v>74</v>
      </c>
      <c r="AY626" t="s">
        <v>74</v>
      </c>
      <c r="AZ626" t="s">
        <v>74</v>
      </c>
      <c r="BA626" t="s">
        <v>74</v>
      </c>
      <c r="BB626">
        <v>637</v>
      </c>
      <c r="BC626">
        <v>651</v>
      </c>
      <c r="BD626" t="s">
        <v>74</v>
      </c>
      <c r="BE626" t="s">
        <v>12373</v>
      </c>
      <c r="BF626" t="str">
        <f>HYPERLINK("http://dx.doi.org/10.1007/s00300-021-02819-2","http://dx.doi.org/10.1007/s00300-021-02819-2")</f>
        <v>http://dx.doi.org/10.1007/s00300-021-02819-2</v>
      </c>
      <c r="BG626" t="s">
        <v>74</v>
      </c>
      <c r="BH626" t="s">
        <v>12028</v>
      </c>
      <c r="BI626">
        <v>15</v>
      </c>
      <c r="BJ626" t="s">
        <v>1438</v>
      </c>
      <c r="BK626" t="s">
        <v>101</v>
      </c>
      <c r="BL626" t="s">
        <v>1439</v>
      </c>
      <c r="BM626" t="s">
        <v>8214</v>
      </c>
      <c r="BN626" t="s">
        <v>74</v>
      </c>
      <c r="BO626" t="s">
        <v>74</v>
      </c>
      <c r="BP626" t="s">
        <v>74</v>
      </c>
      <c r="BQ626" t="s">
        <v>74</v>
      </c>
      <c r="BR626" t="s">
        <v>104</v>
      </c>
      <c r="BS626" t="s">
        <v>12374</v>
      </c>
      <c r="BT626" t="str">
        <f>HYPERLINK("https%3A%2F%2Fwww.webofscience.com%2Fwos%2Fwoscc%2Ffull-record%2FWOS:000621760800001","View Full Record in Web of Science")</f>
        <v>View Full Record in Web of Science</v>
      </c>
    </row>
    <row r="627" spans="1:72" x14ac:dyDescent="0.15">
      <c r="A627" t="s">
        <v>72</v>
      </c>
      <c r="B627" t="s">
        <v>12375</v>
      </c>
      <c r="C627" t="s">
        <v>74</v>
      </c>
      <c r="D627" t="s">
        <v>74</v>
      </c>
      <c r="E627" t="s">
        <v>74</v>
      </c>
      <c r="F627" t="s">
        <v>12376</v>
      </c>
      <c r="G627" t="s">
        <v>74</v>
      </c>
      <c r="H627" t="s">
        <v>74</v>
      </c>
      <c r="I627" t="s">
        <v>12377</v>
      </c>
      <c r="J627" t="s">
        <v>1421</v>
      </c>
      <c r="K627" t="s">
        <v>74</v>
      </c>
      <c r="L627" t="s">
        <v>74</v>
      </c>
      <c r="M627" t="s">
        <v>78</v>
      </c>
      <c r="N627" t="s">
        <v>79</v>
      </c>
      <c r="O627" t="s">
        <v>74</v>
      </c>
      <c r="P627" t="s">
        <v>74</v>
      </c>
      <c r="Q627" t="s">
        <v>74</v>
      </c>
      <c r="R627" t="s">
        <v>74</v>
      </c>
      <c r="S627" t="s">
        <v>74</v>
      </c>
      <c r="T627" t="s">
        <v>12378</v>
      </c>
      <c r="U627" t="s">
        <v>74</v>
      </c>
      <c r="V627" t="s">
        <v>12379</v>
      </c>
      <c r="W627" t="s">
        <v>12380</v>
      </c>
      <c r="X627" t="s">
        <v>12381</v>
      </c>
      <c r="Y627" t="s">
        <v>12382</v>
      </c>
      <c r="Z627" t="s">
        <v>12383</v>
      </c>
      <c r="AA627" t="s">
        <v>12384</v>
      </c>
      <c r="AB627" t="s">
        <v>12385</v>
      </c>
      <c r="AC627" t="s">
        <v>12386</v>
      </c>
      <c r="AD627" t="s">
        <v>12387</v>
      </c>
      <c r="AE627" t="s">
        <v>12388</v>
      </c>
      <c r="AF627" t="s">
        <v>74</v>
      </c>
      <c r="AG627">
        <v>98</v>
      </c>
      <c r="AH627">
        <v>1</v>
      </c>
      <c r="AI627">
        <v>1</v>
      </c>
      <c r="AJ627">
        <v>4</v>
      </c>
      <c r="AK627">
        <v>24</v>
      </c>
      <c r="AL627" t="s">
        <v>166</v>
      </c>
      <c r="AM627" t="s">
        <v>167</v>
      </c>
      <c r="AN627" t="s">
        <v>168</v>
      </c>
      <c r="AO627" t="s">
        <v>1433</v>
      </c>
      <c r="AP627" t="s">
        <v>1434</v>
      </c>
      <c r="AQ627" t="s">
        <v>74</v>
      </c>
      <c r="AR627" t="s">
        <v>1435</v>
      </c>
      <c r="AS627" t="s">
        <v>1436</v>
      </c>
      <c r="AT627" t="s">
        <v>2859</v>
      </c>
      <c r="AU627">
        <v>2021</v>
      </c>
      <c r="AV627">
        <v>44</v>
      </c>
      <c r="AW627">
        <v>4</v>
      </c>
      <c r="AX627" t="s">
        <v>74</v>
      </c>
      <c r="AY627" t="s">
        <v>74</v>
      </c>
      <c r="AZ627" t="s">
        <v>74</v>
      </c>
      <c r="BA627" t="s">
        <v>74</v>
      </c>
      <c r="BB627">
        <v>683</v>
      </c>
      <c r="BC627">
        <v>700</v>
      </c>
      <c r="BD627" t="s">
        <v>74</v>
      </c>
      <c r="BE627" t="s">
        <v>12389</v>
      </c>
      <c r="BF627" t="str">
        <f>HYPERLINK("http://dx.doi.org/10.1007/s00300-021-02829-0","http://dx.doi.org/10.1007/s00300-021-02829-0")</f>
        <v>http://dx.doi.org/10.1007/s00300-021-02829-0</v>
      </c>
      <c r="BG627" t="s">
        <v>74</v>
      </c>
      <c r="BH627" t="s">
        <v>12028</v>
      </c>
      <c r="BI627">
        <v>18</v>
      </c>
      <c r="BJ627" t="s">
        <v>1438</v>
      </c>
      <c r="BK627" t="s">
        <v>101</v>
      </c>
      <c r="BL627" t="s">
        <v>1439</v>
      </c>
      <c r="BM627" t="s">
        <v>8214</v>
      </c>
      <c r="BN627" t="s">
        <v>74</v>
      </c>
      <c r="BO627" t="s">
        <v>74</v>
      </c>
      <c r="BP627" t="s">
        <v>74</v>
      </c>
      <c r="BQ627" t="s">
        <v>74</v>
      </c>
      <c r="BR627" t="s">
        <v>104</v>
      </c>
      <c r="BS627" t="s">
        <v>12390</v>
      </c>
      <c r="BT627" t="str">
        <f>HYPERLINK("https%3A%2F%2Fwww.webofscience.com%2Fwos%2Fwoscc%2Ffull-record%2FWOS:000622208100001","View Full Record in Web of Science")</f>
        <v>View Full Record in Web of Science</v>
      </c>
    </row>
    <row r="628" spans="1:72" x14ac:dyDescent="0.15">
      <c r="A628" t="s">
        <v>72</v>
      </c>
      <c r="B628" t="s">
        <v>12391</v>
      </c>
      <c r="C628" t="s">
        <v>74</v>
      </c>
      <c r="D628" t="s">
        <v>74</v>
      </c>
      <c r="E628" t="s">
        <v>74</v>
      </c>
      <c r="F628" t="s">
        <v>12392</v>
      </c>
      <c r="G628" t="s">
        <v>74</v>
      </c>
      <c r="H628" t="s">
        <v>74</v>
      </c>
      <c r="I628" t="s">
        <v>12393</v>
      </c>
      <c r="J628" t="s">
        <v>12394</v>
      </c>
      <c r="K628" t="s">
        <v>74</v>
      </c>
      <c r="L628" t="s">
        <v>74</v>
      </c>
      <c r="M628" t="s">
        <v>78</v>
      </c>
      <c r="N628" t="s">
        <v>79</v>
      </c>
      <c r="O628" t="s">
        <v>74</v>
      </c>
      <c r="P628" t="s">
        <v>74</v>
      </c>
      <c r="Q628" t="s">
        <v>74</v>
      </c>
      <c r="R628" t="s">
        <v>74</v>
      </c>
      <c r="S628" t="s">
        <v>74</v>
      </c>
      <c r="T628" t="s">
        <v>12395</v>
      </c>
      <c r="U628" t="s">
        <v>74</v>
      </c>
      <c r="V628" t="s">
        <v>12396</v>
      </c>
      <c r="W628" t="s">
        <v>12397</v>
      </c>
      <c r="X628" t="s">
        <v>12398</v>
      </c>
      <c r="Y628" t="s">
        <v>12399</v>
      </c>
      <c r="Z628" t="s">
        <v>3710</v>
      </c>
      <c r="AA628" t="s">
        <v>74</v>
      </c>
      <c r="AB628" t="s">
        <v>12400</v>
      </c>
      <c r="AC628" t="s">
        <v>12401</v>
      </c>
      <c r="AD628" t="s">
        <v>12402</v>
      </c>
      <c r="AE628" t="s">
        <v>12403</v>
      </c>
      <c r="AF628" t="s">
        <v>74</v>
      </c>
      <c r="AG628">
        <v>73</v>
      </c>
      <c r="AH628">
        <v>6</v>
      </c>
      <c r="AI628">
        <v>6</v>
      </c>
      <c r="AJ628">
        <v>0</v>
      </c>
      <c r="AK628">
        <v>12</v>
      </c>
      <c r="AL628" t="s">
        <v>576</v>
      </c>
      <c r="AM628" t="s">
        <v>577</v>
      </c>
      <c r="AN628" t="s">
        <v>578</v>
      </c>
      <c r="AO628" t="s">
        <v>12404</v>
      </c>
      <c r="AP628" t="s">
        <v>74</v>
      </c>
      <c r="AQ628" t="s">
        <v>74</v>
      </c>
      <c r="AR628" t="s">
        <v>12405</v>
      </c>
      <c r="AS628" t="s">
        <v>12406</v>
      </c>
      <c r="AT628" t="s">
        <v>2859</v>
      </c>
      <c r="AU628">
        <v>2021</v>
      </c>
      <c r="AV628">
        <v>54</v>
      </c>
      <c r="AW628" t="s">
        <v>74</v>
      </c>
      <c r="AX628" t="s">
        <v>74</v>
      </c>
      <c r="AY628" t="s">
        <v>74</v>
      </c>
      <c r="AZ628" t="s">
        <v>74</v>
      </c>
      <c r="BA628" t="s">
        <v>74</v>
      </c>
      <c r="BB628" t="s">
        <v>74</v>
      </c>
      <c r="BC628" t="s">
        <v>74</v>
      </c>
      <c r="BD628">
        <v>102230</v>
      </c>
      <c r="BE628" t="s">
        <v>12407</v>
      </c>
      <c r="BF628" t="str">
        <f>HYPERLINK("http://dx.doi.org/10.1016/j.algal.2021.102230","http://dx.doi.org/10.1016/j.algal.2021.102230")</f>
        <v>http://dx.doi.org/10.1016/j.algal.2021.102230</v>
      </c>
      <c r="BG628" t="s">
        <v>74</v>
      </c>
      <c r="BH628" t="s">
        <v>12028</v>
      </c>
      <c r="BI628">
        <v>9</v>
      </c>
      <c r="BJ628" t="s">
        <v>10043</v>
      </c>
      <c r="BK628" t="s">
        <v>101</v>
      </c>
      <c r="BL628" t="s">
        <v>10043</v>
      </c>
      <c r="BM628" t="s">
        <v>12408</v>
      </c>
      <c r="BN628" t="s">
        <v>74</v>
      </c>
      <c r="BO628" t="s">
        <v>74</v>
      </c>
      <c r="BP628" t="s">
        <v>74</v>
      </c>
      <c r="BQ628" t="s">
        <v>74</v>
      </c>
      <c r="BR628" t="s">
        <v>104</v>
      </c>
      <c r="BS628" t="s">
        <v>12409</v>
      </c>
      <c r="BT628" t="str">
        <f>HYPERLINK("https%3A%2F%2Fwww.webofscience.com%2Fwos%2Fwoscc%2Ffull-record%2FWOS:000632334800003","View Full Record in Web of Science")</f>
        <v>View Full Record in Web of Science</v>
      </c>
    </row>
    <row r="629" spans="1:72" x14ac:dyDescent="0.15">
      <c r="A629" t="s">
        <v>72</v>
      </c>
      <c r="B629" t="s">
        <v>12410</v>
      </c>
      <c r="C629" t="s">
        <v>74</v>
      </c>
      <c r="D629" t="s">
        <v>74</v>
      </c>
      <c r="E629" t="s">
        <v>74</v>
      </c>
      <c r="F629" t="s">
        <v>12411</v>
      </c>
      <c r="G629" t="s">
        <v>74</v>
      </c>
      <c r="H629" t="s">
        <v>74</v>
      </c>
      <c r="I629" t="s">
        <v>12412</v>
      </c>
      <c r="J629" t="s">
        <v>12413</v>
      </c>
      <c r="K629" t="s">
        <v>74</v>
      </c>
      <c r="L629" t="s">
        <v>74</v>
      </c>
      <c r="M629" t="s">
        <v>78</v>
      </c>
      <c r="N629" t="s">
        <v>79</v>
      </c>
      <c r="O629" t="s">
        <v>74</v>
      </c>
      <c r="P629" t="s">
        <v>74</v>
      </c>
      <c r="Q629" t="s">
        <v>74</v>
      </c>
      <c r="R629" t="s">
        <v>74</v>
      </c>
      <c r="S629" t="s">
        <v>74</v>
      </c>
      <c r="T629" t="s">
        <v>12414</v>
      </c>
      <c r="U629" t="s">
        <v>12415</v>
      </c>
      <c r="V629" t="s">
        <v>12416</v>
      </c>
      <c r="W629" t="s">
        <v>12417</v>
      </c>
      <c r="X629" t="s">
        <v>5506</v>
      </c>
      <c r="Y629" t="s">
        <v>12418</v>
      </c>
      <c r="Z629" t="s">
        <v>12419</v>
      </c>
      <c r="AA629" t="s">
        <v>12420</v>
      </c>
      <c r="AB629" t="s">
        <v>12421</v>
      </c>
      <c r="AC629" t="s">
        <v>12422</v>
      </c>
      <c r="AD629" t="s">
        <v>12422</v>
      </c>
      <c r="AE629" t="s">
        <v>12423</v>
      </c>
      <c r="AF629" t="s">
        <v>74</v>
      </c>
      <c r="AG629">
        <v>103</v>
      </c>
      <c r="AH629">
        <v>2</v>
      </c>
      <c r="AI629">
        <v>2</v>
      </c>
      <c r="AJ629">
        <v>0</v>
      </c>
      <c r="AK629">
        <v>3</v>
      </c>
      <c r="AL629" t="s">
        <v>576</v>
      </c>
      <c r="AM629" t="s">
        <v>577</v>
      </c>
      <c r="AN629" t="s">
        <v>578</v>
      </c>
      <c r="AO629" t="s">
        <v>12424</v>
      </c>
      <c r="AP629" t="s">
        <v>12425</v>
      </c>
      <c r="AQ629" t="s">
        <v>74</v>
      </c>
      <c r="AR629" t="s">
        <v>12426</v>
      </c>
      <c r="AS629" t="s">
        <v>12427</v>
      </c>
      <c r="AT629" t="s">
        <v>2859</v>
      </c>
      <c r="AU629">
        <v>2021</v>
      </c>
      <c r="AV629">
        <v>537</v>
      </c>
      <c r="AW629" t="s">
        <v>74</v>
      </c>
      <c r="AX629" t="s">
        <v>74</v>
      </c>
      <c r="AY629" t="s">
        <v>74</v>
      </c>
      <c r="AZ629" t="s">
        <v>74</v>
      </c>
      <c r="BA629" t="s">
        <v>74</v>
      </c>
      <c r="BB629" t="s">
        <v>74</v>
      </c>
      <c r="BC629" t="s">
        <v>74</v>
      </c>
      <c r="BD629">
        <v>151498</v>
      </c>
      <c r="BE629" t="s">
        <v>12428</v>
      </c>
      <c r="BF629" t="str">
        <f>HYPERLINK("http://dx.doi.org/10.1016/j.jembe.2020.151498","http://dx.doi.org/10.1016/j.jembe.2020.151498")</f>
        <v>http://dx.doi.org/10.1016/j.jembe.2020.151498</v>
      </c>
      <c r="BG629" t="s">
        <v>74</v>
      </c>
      <c r="BH629" t="s">
        <v>12028</v>
      </c>
      <c r="BI629">
        <v>12</v>
      </c>
      <c r="BJ629" t="s">
        <v>709</v>
      </c>
      <c r="BK629" t="s">
        <v>101</v>
      </c>
      <c r="BL629" t="s">
        <v>710</v>
      </c>
      <c r="BM629" t="s">
        <v>12429</v>
      </c>
      <c r="BN629" t="s">
        <v>74</v>
      </c>
      <c r="BO629" t="s">
        <v>74</v>
      </c>
      <c r="BP629" t="s">
        <v>74</v>
      </c>
      <c r="BQ629" t="s">
        <v>74</v>
      </c>
      <c r="BR629" t="s">
        <v>104</v>
      </c>
      <c r="BS629" t="s">
        <v>12430</v>
      </c>
      <c r="BT629" t="str">
        <f>HYPERLINK("https%3A%2F%2Fwww.webofscience.com%2Fwos%2Fwoscc%2Ffull-record%2FWOS:000640997800001","View Full Record in Web of Science")</f>
        <v>View Full Record in Web of Science</v>
      </c>
    </row>
    <row r="630" spans="1:72" x14ac:dyDescent="0.15">
      <c r="A630" t="s">
        <v>72</v>
      </c>
      <c r="B630" t="s">
        <v>12431</v>
      </c>
      <c r="C630" t="s">
        <v>74</v>
      </c>
      <c r="D630" t="s">
        <v>74</v>
      </c>
      <c r="E630" t="s">
        <v>74</v>
      </c>
      <c r="F630" t="s">
        <v>12432</v>
      </c>
      <c r="G630" t="s">
        <v>74</v>
      </c>
      <c r="H630" t="s">
        <v>74</v>
      </c>
      <c r="I630" t="s">
        <v>12433</v>
      </c>
      <c r="J630" t="s">
        <v>6413</v>
      </c>
      <c r="K630" t="s">
        <v>74</v>
      </c>
      <c r="L630" t="s">
        <v>74</v>
      </c>
      <c r="M630" t="s">
        <v>78</v>
      </c>
      <c r="N630" t="s">
        <v>79</v>
      </c>
      <c r="O630" t="s">
        <v>74</v>
      </c>
      <c r="P630" t="s">
        <v>74</v>
      </c>
      <c r="Q630" t="s">
        <v>74</v>
      </c>
      <c r="R630" t="s">
        <v>74</v>
      </c>
      <c r="S630" t="s">
        <v>74</v>
      </c>
      <c r="T630" t="s">
        <v>12434</v>
      </c>
      <c r="U630" t="s">
        <v>12435</v>
      </c>
      <c r="V630" t="s">
        <v>12436</v>
      </c>
      <c r="W630" t="s">
        <v>12437</v>
      </c>
      <c r="X630" t="s">
        <v>12438</v>
      </c>
      <c r="Y630" t="s">
        <v>12439</v>
      </c>
      <c r="Z630" t="s">
        <v>12440</v>
      </c>
      <c r="AA630" t="s">
        <v>74</v>
      </c>
      <c r="AB630" t="s">
        <v>12441</v>
      </c>
      <c r="AC630" t="s">
        <v>12442</v>
      </c>
      <c r="AD630" t="s">
        <v>12443</v>
      </c>
      <c r="AE630" t="s">
        <v>12444</v>
      </c>
      <c r="AF630" t="s">
        <v>74</v>
      </c>
      <c r="AG630">
        <v>97</v>
      </c>
      <c r="AH630">
        <v>12</v>
      </c>
      <c r="AI630">
        <v>13</v>
      </c>
      <c r="AJ630">
        <v>3</v>
      </c>
      <c r="AK630">
        <v>13</v>
      </c>
      <c r="AL630" t="s">
        <v>576</v>
      </c>
      <c r="AM630" t="s">
        <v>577</v>
      </c>
      <c r="AN630" t="s">
        <v>578</v>
      </c>
      <c r="AO630" t="s">
        <v>6426</v>
      </c>
      <c r="AP630" t="s">
        <v>6427</v>
      </c>
      <c r="AQ630" t="s">
        <v>74</v>
      </c>
      <c r="AR630" t="s">
        <v>6428</v>
      </c>
      <c r="AS630" t="s">
        <v>6429</v>
      </c>
      <c r="AT630" t="s">
        <v>2506</v>
      </c>
      <c r="AU630">
        <v>2021</v>
      </c>
      <c r="AV630">
        <v>568</v>
      </c>
      <c r="AW630" t="s">
        <v>74</v>
      </c>
      <c r="AX630" t="s">
        <v>74</v>
      </c>
      <c r="AY630" t="s">
        <v>74</v>
      </c>
      <c r="AZ630" t="s">
        <v>74</v>
      </c>
      <c r="BA630" t="s">
        <v>74</v>
      </c>
      <c r="BB630" t="s">
        <v>74</v>
      </c>
      <c r="BC630" t="s">
        <v>74</v>
      </c>
      <c r="BD630">
        <v>110280</v>
      </c>
      <c r="BE630" t="s">
        <v>12445</v>
      </c>
      <c r="BF630" t="str">
        <f>HYPERLINK("http://dx.doi.org/10.1016/j.palaeo.2021.110280","http://dx.doi.org/10.1016/j.palaeo.2021.110280")</f>
        <v>http://dx.doi.org/10.1016/j.palaeo.2021.110280</v>
      </c>
      <c r="BG630" t="s">
        <v>74</v>
      </c>
      <c r="BH630" t="s">
        <v>12028</v>
      </c>
      <c r="BI630">
        <v>14</v>
      </c>
      <c r="BJ630" t="s">
        <v>6431</v>
      </c>
      <c r="BK630" t="s">
        <v>101</v>
      </c>
      <c r="BL630" t="s">
        <v>6432</v>
      </c>
      <c r="BM630" t="s">
        <v>12446</v>
      </c>
      <c r="BN630" t="s">
        <v>74</v>
      </c>
      <c r="BO630" t="s">
        <v>496</v>
      </c>
      <c r="BP630" t="s">
        <v>74</v>
      </c>
      <c r="BQ630" t="s">
        <v>74</v>
      </c>
      <c r="BR630" t="s">
        <v>104</v>
      </c>
      <c r="BS630" t="s">
        <v>12447</v>
      </c>
      <c r="BT630" t="str">
        <f>HYPERLINK("https%3A%2F%2Fwww.webofscience.com%2Fwos%2Fwoscc%2Ffull-record%2FWOS:000636766700001","View Full Record in Web of Science")</f>
        <v>View Full Record in Web of Science</v>
      </c>
    </row>
    <row r="631" spans="1:72" x14ac:dyDescent="0.15">
      <c r="A631" t="s">
        <v>72</v>
      </c>
      <c r="B631" t="s">
        <v>12448</v>
      </c>
      <c r="C631" t="s">
        <v>74</v>
      </c>
      <c r="D631" t="s">
        <v>74</v>
      </c>
      <c r="E631" t="s">
        <v>74</v>
      </c>
      <c r="F631" t="s">
        <v>12449</v>
      </c>
      <c r="G631" t="s">
        <v>74</v>
      </c>
      <c r="H631" t="s">
        <v>74</v>
      </c>
      <c r="I631" t="s">
        <v>12450</v>
      </c>
      <c r="J631" t="s">
        <v>12451</v>
      </c>
      <c r="K631" t="s">
        <v>74</v>
      </c>
      <c r="L631" t="s">
        <v>74</v>
      </c>
      <c r="M631" t="s">
        <v>78</v>
      </c>
      <c r="N631" t="s">
        <v>79</v>
      </c>
      <c r="O631" t="s">
        <v>74</v>
      </c>
      <c r="P631" t="s">
        <v>74</v>
      </c>
      <c r="Q631" t="s">
        <v>74</v>
      </c>
      <c r="R631" t="s">
        <v>74</v>
      </c>
      <c r="S631" t="s">
        <v>74</v>
      </c>
      <c r="T631" t="s">
        <v>12452</v>
      </c>
      <c r="U631" t="s">
        <v>12453</v>
      </c>
      <c r="V631" t="s">
        <v>12454</v>
      </c>
      <c r="W631" t="s">
        <v>12455</v>
      </c>
      <c r="X631" t="s">
        <v>12456</v>
      </c>
      <c r="Y631" t="s">
        <v>12457</v>
      </c>
      <c r="Z631" t="s">
        <v>12458</v>
      </c>
      <c r="AA631" t="s">
        <v>74</v>
      </c>
      <c r="AB631" t="s">
        <v>12459</v>
      </c>
      <c r="AC631" t="s">
        <v>12460</v>
      </c>
      <c r="AD631" t="s">
        <v>12461</v>
      </c>
      <c r="AE631" t="s">
        <v>12462</v>
      </c>
      <c r="AF631" t="s">
        <v>74</v>
      </c>
      <c r="AG631">
        <v>116</v>
      </c>
      <c r="AH631">
        <v>12</v>
      </c>
      <c r="AI631">
        <v>12</v>
      </c>
      <c r="AJ631">
        <v>0</v>
      </c>
      <c r="AK631">
        <v>14</v>
      </c>
      <c r="AL631" t="s">
        <v>890</v>
      </c>
      <c r="AM631" t="s">
        <v>891</v>
      </c>
      <c r="AN631" t="s">
        <v>892</v>
      </c>
      <c r="AO631" t="s">
        <v>12463</v>
      </c>
      <c r="AP631" t="s">
        <v>12464</v>
      </c>
      <c r="AQ631" t="s">
        <v>74</v>
      </c>
      <c r="AR631" t="s">
        <v>12465</v>
      </c>
      <c r="AS631" t="s">
        <v>12466</v>
      </c>
      <c r="AT631" t="s">
        <v>1809</v>
      </c>
      <c r="AU631">
        <v>2021</v>
      </c>
      <c r="AV631">
        <v>67</v>
      </c>
      <c r="AW631" t="s">
        <v>74</v>
      </c>
      <c r="AX631" t="s">
        <v>74</v>
      </c>
      <c r="AY631" t="s">
        <v>74</v>
      </c>
      <c r="AZ631" t="s">
        <v>74</v>
      </c>
      <c r="BA631" t="s">
        <v>74</v>
      </c>
      <c r="BB631" t="s">
        <v>74</v>
      </c>
      <c r="BC631" t="s">
        <v>74</v>
      </c>
      <c r="BD631">
        <v>102242</v>
      </c>
      <c r="BE631" t="s">
        <v>12467</v>
      </c>
      <c r="BF631" t="str">
        <f>HYPERLINK("http://dx.doi.org/10.1016/j.gloenvcha.2021.102242","http://dx.doi.org/10.1016/j.gloenvcha.2021.102242")</f>
        <v>http://dx.doi.org/10.1016/j.gloenvcha.2021.102242</v>
      </c>
      <c r="BG631" t="s">
        <v>74</v>
      </c>
      <c r="BH631" t="s">
        <v>12028</v>
      </c>
      <c r="BI631">
        <v>12</v>
      </c>
      <c r="BJ631" t="s">
        <v>12468</v>
      </c>
      <c r="BK631" t="s">
        <v>1038</v>
      </c>
      <c r="BL631" t="s">
        <v>12469</v>
      </c>
      <c r="BM631" t="s">
        <v>12470</v>
      </c>
      <c r="BN631" t="s">
        <v>74</v>
      </c>
      <c r="BO631" t="s">
        <v>74</v>
      </c>
      <c r="BP631" t="s">
        <v>74</v>
      </c>
      <c r="BQ631" t="s">
        <v>74</v>
      </c>
      <c r="BR631" t="s">
        <v>104</v>
      </c>
      <c r="BS631" t="s">
        <v>12471</v>
      </c>
      <c r="BT631" t="str">
        <f>HYPERLINK("https%3A%2F%2Fwww.webofscience.com%2Fwos%2Fwoscc%2Ffull-record%2FWOS:000634865600011","View Full Record in Web of Science")</f>
        <v>View Full Record in Web of Science</v>
      </c>
    </row>
    <row r="632" spans="1:72" x14ac:dyDescent="0.15">
      <c r="A632" t="s">
        <v>72</v>
      </c>
      <c r="B632" t="s">
        <v>12472</v>
      </c>
      <c r="C632" t="s">
        <v>74</v>
      </c>
      <c r="D632" t="s">
        <v>74</v>
      </c>
      <c r="E632" t="s">
        <v>74</v>
      </c>
      <c r="F632" t="s">
        <v>12473</v>
      </c>
      <c r="G632" t="s">
        <v>74</v>
      </c>
      <c r="H632" t="s">
        <v>74</v>
      </c>
      <c r="I632" t="s">
        <v>12474</v>
      </c>
      <c r="J632" t="s">
        <v>12475</v>
      </c>
      <c r="K632" t="s">
        <v>74</v>
      </c>
      <c r="L632" t="s">
        <v>74</v>
      </c>
      <c r="M632" t="s">
        <v>78</v>
      </c>
      <c r="N632" t="s">
        <v>79</v>
      </c>
      <c r="O632" t="s">
        <v>74</v>
      </c>
      <c r="P632" t="s">
        <v>74</v>
      </c>
      <c r="Q632" t="s">
        <v>74</v>
      </c>
      <c r="R632" t="s">
        <v>74</v>
      </c>
      <c r="S632" t="s">
        <v>74</v>
      </c>
      <c r="T632" t="s">
        <v>12476</v>
      </c>
      <c r="U632" t="s">
        <v>12477</v>
      </c>
      <c r="V632" t="s">
        <v>12478</v>
      </c>
      <c r="W632" t="s">
        <v>12479</v>
      </c>
      <c r="X632" t="s">
        <v>12480</v>
      </c>
      <c r="Y632" t="s">
        <v>12481</v>
      </c>
      <c r="Z632" t="s">
        <v>12482</v>
      </c>
      <c r="AA632" t="s">
        <v>12483</v>
      </c>
      <c r="AB632" t="s">
        <v>12484</v>
      </c>
      <c r="AC632" t="s">
        <v>12485</v>
      </c>
      <c r="AD632" t="s">
        <v>12486</v>
      </c>
      <c r="AE632" t="s">
        <v>12487</v>
      </c>
      <c r="AF632" t="s">
        <v>74</v>
      </c>
      <c r="AG632">
        <v>98</v>
      </c>
      <c r="AH632">
        <v>2</v>
      </c>
      <c r="AI632">
        <v>2</v>
      </c>
      <c r="AJ632">
        <v>0</v>
      </c>
      <c r="AK632">
        <v>17</v>
      </c>
      <c r="AL632" t="s">
        <v>576</v>
      </c>
      <c r="AM632" t="s">
        <v>577</v>
      </c>
      <c r="AN632" t="s">
        <v>578</v>
      </c>
      <c r="AO632" t="s">
        <v>12488</v>
      </c>
      <c r="AP632" t="s">
        <v>12489</v>
      </c>
      <c r="AQ632" t="s">
        <v>74</v>
      </c>
      <c r="AR632" t="s">
        <v>12490</v>
      </c>
      <c r="AS632" t="s">
        <v>12491</v>
      </c>
      <c r="AT632" t="s">
        <v>2208</v>
      </c>
      <c r="AU632">
        <v>2021</v>
      </c>
      <c r="AV632">
        <v>488</v>
      </c>
      <c r="AW632" t="s">
        <v>74</v>
      </c>
      <c r="AX632" t="s">
        <v>74</v>
      </c>
      <c r="AY632" t="s">
        <v>74</v>
      </c>
      <c r="AZ632" t="s">
        <v>74</v>
      </c>
      <c r="BA632" t="s">
        <v>74</v>
      </c>
      <c r="BB632" t="s">
        <v>74</v>
      </c>
      <c r="BC632" t="s">
        <v>74</v>
      </c>
      <c r="BD632">
        <v>119020</v>
      </c>
      <c r="BE632" t="s">
        <v>12492</v>
      </c>
      <c r="BF632" t="str">
        <f>HYPERLINK("http://dx.doi.org/10.1016/j.foreco.2021.119020","http://dx.doi.org/10.1016/j.foreco.2021.119020")</f>
        <v>http://dx.doi.org/10.1016/j.foreco.2021.119020</v>
      </c>
      <c r="BG632" t="s">
        <v>74</v>
      </c>
      <c r="BH632" t="s">
        <v>12028</v>
      </c>
      <c r="BI632">
        <v>10</v>
      </c>
      <c r="BJ632" t="s">
        <v>12493</v>
      </c>
      <c r="BK632" t="s">
        <v>101</v>
      </c>
      <c r="BL632" t="s">
        <v>12493</v>
      </c>
      <c r="BM632" t="s">
        <v>12494</v>
      </c>
      <c r="BN632" t="s">
        <v>74</v>
      </c>
      <c r="BO632" t="s">
        <v>74</v>
      </c>
      <c r="BP632" t="s">
        <v>74</v>
      </c>
      <c r="BQ632" t="s">
        <v>74</v>
      </c>
      <c r="BR632" t="s">
        <v>104</v>
      </c>
      <c r="BS632" t="s">
        <v>12495</v>
      </c>
      <c r="BT632" t="str">
        <f>HYPERLINK("https%3A%2F%2Fwww.webofscience.com%2Fwos%2Fwoscc%2Ffull-record%2FWOS:000632316500005","View Full Record in Web of Science")</f>
        <v>View Full Record in Web of Science</v>
      </c>
    </row>
    <row r="633" spans="1:72" x14ac:dyDescent="0.15">
      <c r="A633" t="s">
        <v>72</v>
      </c>
      <c r="B633" t="s">
        <v>12496</v>
      </c>
      <c r="C633" t="s">
        <v>74</v>
      </c>
      <c r="D633" t="s">
        <v>74</v>
      </c>
      <c r="E633" t="s">
        <v>74</v>
      </c>
      <c r="F633" t="s">
        <v>12497</v>
      </c>
      <c r="G633" t="s">
        <v>74</v>
      </c>
      <c r="H633" t="s">
        <v>74</v>
      </c>
      <c r="I633" t="s">
        <v>12498</v>
      </c>
      <c r="J633" t="s">
        <v>1761</v>
      </c>
      <c r="K633" t="s">
        <v>74</v>
      </c>
      <c r="L633" t="s">
        <v>74</v>
      </c>
      <c r="M633" t="s">
        <v>78</v>
      </c>
      <c r="N633" t="s">
        <v>79</v>
      </c>
      <c r="O633" t="s">
        <v>74</v>
      </c>
      <c r="P633" t="s">
        <v>74</v>
      </c>
      <c r="Q633" t="s">
        <v>74</v>
      </c>
      <c r="R633" t="s">
        <v>74</v>
      </c>
      <c r="S633" t="s">
        <v>74</v>
      </c>
      <c r="T633" t="s">
        <v>74</v>
      </c>
      <c r="U633" t="s">
        <v>12499</v>
      </c>
      <c r="V633" t="s">
        <v>12500</v>
      </c>
      <c r="W633" t="s">
        <v>12501</v>
      </c>
      <c r="X633" t="s">
        <v>12502</v>
      </c>
      <c r="Y633" t="s">
        <v>12503</v>
      </c>
      <c r="Z633" t="s">
        <v>12504</v>
      </c>
      <c r="AA633" t="s">
        <v>12505</v>
      </c>
      <c r="AB633" t="s">
        <v>12506</v>
      </c>
      <c r="AC633" t="s">
        <v>12507</v>
      </c>
      <c r="AD633" t="s">
        <v>12508</v>
      </c>
      <c r="AE633" t="s">
        <v>12509</v>
      </c>
      <c r="AF633" t="s">
        <v>74</v>
      </c>
      <c r="AG633">
        <v>94</v>
      </c>
      <c r="AH633">
        <v>32</v>
      </c>
      <c r="AI633">
        <v>37</v>
      </c>
      <c r="AJ633">
        <v>2</v>
      </c>
      <c r="AK633">
        <v>10</v>
      </c>
      <c r="AL633" t="s">
        <v>1269</v>
      </c>
      <c r="AM633" t="s">
        <v>1270</v>
      </c>
      <c r="AN633" t="s">
        <v>1271</v>
      </c>
      <c r="AO633" t="s">
        <v>1773</v>
      </c>
      <c r="AP633" t="s">
        <v>1774</v>
      </c>
      <c r="AQ633" t="s">
        <v>74</v>
      </c>
      <c r="AR633" t="s">
        <v>1761</v>
      </c>
      <c r="AS633" t="s">
        <v>1775</v>
      </c>
      <c r="AT633" t="s">
        <v>12510</v>
      </c>
      <c r="AU633">
        <v>2021</v>
      </c>
      <c r="AV633">
        <v>15</v>
      </c>
      <c r="AW633">
        <v>2</v>
      </c>
      <c r="AX633" t="s">
        <v>74</v>
      </c>
      <c r="AY633" t="s">
        <v>74</v>
      </c>
      <c r="AZ633" t="s">
        <v>74</v>
      </c>
      <c r="BA633" t="s">
        <v>74</v>
      </c>
      <c r="BB633">
        <v>909</v>
      </c>
      <c r="BC633">
        <v>925</v>
      </c>
      <c r="BD633" t="s">
        <v>74</v>
      </c>
      <c r="BE633" t="s">
        <v>12511</v>
      </c>
      <c r="BF633" t="str">
        <f>HYPERLINK("http://dx.doi.org/10.5194/tc-15-909-2021","http://dx.doi.org/10.5194/tc-15-909-2021")</f>
        <v>http://dx.doi.org/10.5194/tc-15-909-2021</v>
      </c>
      <c r="BG633" t="s">
        <v>74</v>
      </c>
      <c r="BH633" t="s">
        <v>74</v>
      </c>
      <c r="BI633">
        <v>17</v>
      </c>
      <c r="BJ633" t="s">
        <v>1685</v>
      </c>
      <c r="BK633" t="s">
        <v>101</v>
      </c>
      <c r="BL633" t="s">
        <v>1686</v>
      </c>
      <c r="BM633" t="s">
        <v>12512</v>
      </c>
      <c r="BN633" t="s">
        <v>74</v>
      </c>
      <c r="BO633" t="s">
        <v>1280</v>
      </c>
      <c r="BP633" t="s">
        <v>74</v>
      </c>
      <c r="BQ633" t="s">
        <v>74</v>
      </c>
      <c r="BR633" t="s">
        <v>104</v>
      </c>
      <c r="BS633" t="s">
        <v>12513</v>
      </c>
      <c r="BT633" t="str">
        <f>HYPERLINK("https%3A%2F%2Fwww.webofscience.com%2Fwos%2Fwoscc%2Ffull-record%2FWOS:000627572900001","View Full Record in Web of Science")</f>
        <v>View Full Record in Web of Science</v>
      </c>
    </row>
    <row r="634" spans="1:72" x14ac:dyDescent="0.15">
      <c r="A634" t="s">
        <v>72</v>
      </c>
      <c r="B634" t="s">
        <v>12514</v>
      </c>
      <c r="C634" t="s">
        <v>74</v>
      </c>
      <c r="D634" t="s">
        <v>74</v>
      </c>
      <c r="E634" t="s">
        <v>74</v>
      </c>
      <c r="F634" t="s">
        <v>12515</v>
      </c>
      <c r="G634" t="s">
        <v>74</v>
      </c>
      <c r="H634" t="s">
        <v>74</v>
      </c>
      <c r="I634" t="s">
        <v>12516</v>
      </c>
      <c r="J634" t="s">
        <v>12517</v>
      </c>
      <c r="K634" t="s">
        <v>74</v>
      </c>
      <c r="L634" t="s">
        <v>74</v>
      </c>
      <c r="M634" t="s">
        <v>78</v>
      </c>
      <c r="N634" t="s">
        <v>79</v>
      </c>
      <c r="O634" t="s">
        <v>74</v>
      </c>
      <c r="P634" t="s">
        <v>74</v>
      </c>
      <c r="Q634" t="s">
        <v>74</v>
      </c>
      <c r="R634" t="s">
        <v>74</v>
      </c>
      <c r="S634" t="s">
        <v>74</v>
      </c>
      <c r="T634" t="s">
        <v>74</v>
      </c>
      <c r="U634" t="s">
        <v>12518</v>
      </c>
      <c r="V634" t="s">
        <v>12519</v>
      </c>
      <c r="W634" t="s">
        <v>12520</v>
      </c>
      <c r="X634" t="s">
        <v>12521</v>
      </c>
      <c r="Y634" t="s">
        <v>12522</v>
      </c>
      <c r="Z634" t="s">
        <v>12523</v>
      </c>
      <c r="AA634" t="s">
        <v>12524</v>
      </c>
      <c r="AB634" t="s">
        <v>12525</v>
      </c>
      <c r="AC634" t="s">
        <v>12526</v>
      </c>
      <c r="AD634" t="s">
        <v>12527</v>
      </c>
      <c r="AE634" t="s">
        <v>12528</v>
      </c>
      <c r="AF634" t="s">
        <v>74</v>
      </c>
      <c r="AG634">
        <v>463</v>
      </c>
      <c r="AH634">
        <v>24</v>
      </c>
      <c r="AI634">
        <v>23</v>
      </c>
      <c r="AJ634">
        <v>5</v>
      </c>
      <c r="AK634">
        <v>19</v>
      </c>
      <c r="AL634" t="s">
        <v>1269</v>
      </c>
      <c r="AM634" t="s">
        <v>1270</v>
      </c>
      <c r="AN634" t="s">
        <v>1271</v>
      </c>
      <c r="AO634" t="s">
        <v>12529</v>
      </c>
      <c r="AP634" t="s">
        <v>12530</v>
      </c>
      <c r="AQ634" t="s">
        <v>74</v>
      </c>
      <c r="AR634" t="s">
        <v>12531</v>
      </c>
      <c r="AS634" t="s">
        <v>12532</v>
      </c>
      <c r="AT634" t="s">
        <v>12510</v>
      </c>
      <c r="AU634">
        <v>2021</v>
      </c>
      <c r="AV634">
        <v>39</v>
      </c>
      <c r="AW634">
        <v>1</v>
      </c>
      <c r="AX634" t="s">
        <v>74</v>
      </c>
      <c r="AY634" t="s">
        <v>74</v>
      </c>
      <c r="AZ634" t="s">
        <v>74</v>
      </c>
      <c r="BA634" t="s">
        <v>74</v>
      </c>
      <c r="BB634">
        <v>189</v>
      </c>
      <c r="BC634">
        <v>237</v>
      </c>
      <c r="BD634" t="s">
        <v>74</v>
      </c>
      <c r="BE634" t="s">
        <v>12533</v>
      </c>
      <c r="BF634" t="str">
        <f>HYPERLINK("http://dx.doi.org/10.5194/angeo-39-189-2021","http://dx.doi.org/10.5194/angeo-39-189-2021")</f>
        <v>http://dx.doi.org/10.5194/angeo-39-189-2021</v>
      </c>
      <c r="BG634" t="s">
        <v>74</v>
      </c>
      <c r="BH634" t="s">
        <v>74</v>
      </c>
      <c r="BI634">
        <v>49</v>
      </c>
      <c r="BJ634" t="s">
        <v>12534</v>
      </c>
      <c r="BK634" t="s">
        <v>101</v>
      </c>
      <c r="BL634" t="s">
        <v>12535</v>
      </c>
      <c r="BM634" t="s">
        <v>12536</v>
      </c>
      <c r="BN634" t="s">
        <v>74</v>
      </c>
      <c r="BO634" t="s">
        <v>12537</v>
      </c>
      <c r="BP634" t="s">
        <v>74</v>
      </c>
      <c r="BQ634" t="s">
        <v>74</v>
      </c>
      <c r="BR634" t="s">
        <v>104</v>
      </c>
      <c r="BS634" t="s">
        <v>12538</v>
      </c>
      <c r="BT634" t="str">
        <f>HYPERLINK("https%3A%2F%2Fwww.webofscience.com%2Fwos%2Fwoscc%2Ffull-record%2FWOS:000625353600001","View Full Record in Web of Science")</f>
        <v>View Full Record in Web of Science</v>
      </c>
    </row>
    <row r="635" spans="1:72" x14ac:dyDescent="0.15">
      <c r="A635" t="s">
        <v>72</v>
      </c>
      <c r="B635" t="s">
        <v>12539</v>
      </c>
      <c r="C635" t="s">
        <v>74</v>
      </c>
      <c r="D635" t="s">
        <v>74</v>
      </c>
      <c r="E635" t="s">
        <v>74</v>
      </c>
      <c r="F635" t="s">
        <v>12540</v>
      </c>
      <c r="G635" t="s">
        <v>74</v>
      </c>
      <c r="H635" t="s">
        <v>74</v>
      </c>
      <c r="I635" t="s">
        <v>12541</v>
      </c>
      <c r="J635" t="s">
        <v>2687</v>
      </c>
      <c r="K635" t="s">
        <v>74</v>
      </c>
      <c r="L635" t="s">
        <v>74</v>
      </c>
      <c r="M635" t="s">
        <v>78</v>
      </c>
      <c r="N635" t="s">
        <v>79</v>
      </c>
      <c r="O635" t="s">
        <v>74</v>
      </c>
      <c r="P635" t="s">
        <v>74</v>
      </c>
      <c r="Q635" t="s">
        <v>74</v>
      </c>
      <c r="R635" t="s">
        <v>74</v>
      </c>
      <c r="S635" t="s">
        <v>74</v>
      </c>
      <c r="T635" t="s">
        <v>12542</v>
      </c>
      <c r="U635" t="s">
        <v>12543</v>
      </c>
      <c r="V635" t="s">
        <v>12544</v>
      </c>
      <c r="W635" t="s">
        <v>12545</v>
      </c>
      <c r="X635" t="s">
        <v>12546</v>
      </c>
      <c r="Y635" t="s">
        <v>12547</v>
      </c>
      <c r="Z635" t="s">
        <v>12548</v>
      </c>
      <c r="AA635" t="s">
        <v>12549</v>
      </c>
      <c r="AB635" t="s">
        <v>12550</v>
      </c>
      <c r="AC635" t="s">
        <v>12551</v>
      </c>
      <c r="AD635" t="s">
        <v>12552</v>
      </c>
      <c r="AE635" t="s">
        <v>12553</v>
      </c>
      <c r="AF635" t="s">
        <v>74</v>
      </c>
      <c r="AG635">
        <v>123</v>
      </c>
      <c r="AH635">
        <v>4</v>
      </c>
      <c r="AI635">
        <v>4</v>
      </c>
      <c r="AJ635">
        <v>0</v>
      </c>
      <c r="AK635">
        <v>6</v>
      </c>
      <c r="AL635" t="s">
        <v>603</v>
      </c>
      <c r="AM635" t="s">
        <v>604</v>
      </c>
      <c r="AN635" t="s">
        <v>605</v>
      </c>
      <c r="AO635" t="s">
        <v>74</v>
      </c>
      <c r="AP635" t="s">
        <v>2699</v>
      </c>
      <c r="AQ635" t="s">
        <v>74</v>
      </c>
      <c r="AR635" t="s">
        <v>2700</v>
      </c>
      <c r="AS635" t="s">
        <v>2701</v>
      </c>
      <c r="AT635" t="s">
        <v>12510</v>
      </c>
      <c r="AU635">
        <v>2021</v>
      </c>
      <c r="AV635">
        <v>8</v>
      </c>
      <c r="AW635" t="s">
        <v>74</v>
      </c>
      <c r="AX635" t="s">
        <v>74</v>
      </c>
      <c r="AY635" t="s">
        <v>74</v>
      </c>
      <c r="AZ635" t="s">
        <v>74</v>
      </c>
      <c r="BA635" t="s">
        <v>74</v>
      </c>
      <c r="BB635" t="s">
        <v>74</v>
      </c>
      <c r="BC635" t="s">
        <v>74</v>
      </c>
      <c r="BD635" t="s">
        <v>74</v>
      </c>
      <c r="BE635" t="s">
        <v>12554</v>
      </c>
      <c r="BF635" t="str">
        <f>HYPERLINK("http://dx.doi.org/10.3389/fmars.2021.576746","http://dx.doi.org/10.3389/fmars.2021.576746")</f>
        <v>http://dx.doi.org/10.3389/fmars.2021.576746</v>
      </c>
      <c r="BG635" t="s">
        <v>74</v>
      </c>
      <c r="BH635" t="s">
        <v>74</v>
      </c>
      <c r="BI635">
        <v>10</v>
      </c>
      <c r="BJ635" t="s">
        <v>1646</v>
      </c>
      <c r="BK635" t="s">
        <v>101</v>
      </c>
      <c r="BL635" t="s">
        <v>710</v>
      </c>
      <c r="BM635" t="s">
        <v>12555</v>
      </c>
      <c r="BN635" t="s">
        <v>74</v>
      </c>
      <c r="BO635" t="s">
        <v>9534</v>
      </c>
      <c r="BP635" t="s">
        <v>74</v>
      </c>
      <c r="BQ635" t="s">
        <v>74</v>
      </c>
      <c r="BR635" t="s">
        <v>104</v>
      </c>
      <c r="BS635" t="s">
        <v>12556</v>
      </c>
      <c r="BT635" t="str">
        <f>HYPERLINK("https%3A%2F%2Fwww.webofscience.com%2Fwos%2Fwoscc%2Ffull-record%2FWOS:000624511500001","View Full Record in Web of Science")</f>
        <v>View Full Record in Web of Science</v>
      </c>
    </row>
    <row r="636" spans="1:72" x14ac:dyDescent="0.15">
      <c r="A636" t="s">
        <v>72</v>
      </c>
      <c r="B636" t="s">
        <v>12557</v>
      </c>
      <c r="C636" t="s">
        <v>74</v>
      </c>
      <c r="D636" t="s">
        <v>74</v>
      </c>
      <c r="E636" t="s">
        <v>74</v>
      </c>
      <c r="F636" t="s">
        <v>12558</v>
      </c>
      <c r="G636" t="s">
        <v>74</v>
      </c>
      <c r="H636" t="s">
        <v>74</v>
      </c>
      <c r="I636" t="s">
        <v>12559</v>
      </c>
      <c r="J636" t="s">
        <v>3492</v>
      </c>
      <c r="K636" t="s">
        <v>74</v>
      </c>
      <c r="L636" t="s">
        <v>74</v>
      </c>
      <c r="M636" t="s">
        <v>78</v>
      </c>
      <c r="N636" t="s">
        <v>79</v>
      </c>
      <c r="O636" t="s">
        <v>74</v>
      </c>
      <c r="P636" t="s">
        <v>74</v>
      </c>
      <c r="Q636" t="s">
        <v>74</v>
      </c>
      <c r="R636" t="s">
        <v>74</v>
      </c>
      <c r="S636" t="s">
        <v>74</v>
      </c>
      <c r="T636" t="s">
        <v>74</v>
      </c>
      <c r="U636" t="s">
        <v>12560</v>
      </c>
      <c r="V636" t="s">
        <v>12561</v>
      </c>
      <c r="W636" t="s">
        <v>12562</v>
      </c>
      <c r="X636" t="s">
        <v>12563</v>
      </c>
      <c r="Y636" t="s">
        <v>12564</v>
      </c>
      <c r="Z636" t="s">
        <v>12565</v>
      </c>
      <c r="AA636" t="s">
        <v>12566</v>
      </c>
      <c r="AB636" t="s">
        <v>12567</v>
      </c>
      <c r="AC636" t="s">
        <v>12568</v>
      </c>
      <c r="AD636" t="s">
        <v>12569</v>
      </c>
      <c r="AE636" t="s">
        <v>12570</v>
      </c>
      <c r="AF636" t="s">
        <v>74</v>
      </c>
      <c r="AG636">
        <v>113</v>
      </c>
      <c r="AH636">
        <v>25</v>
      </c>
      <c r="AI636">
        <v>26</v>
      </c>
      <c r="AJ636">
        <v>12</v>
      </c>
      <c r="AK636">
        <v>86</v>
      </c>
      <c r="AL636" t="s">
        <v>861</v>
      </c>
      <c r="AM636" t="s">
        <v>862</v>
      </c>
      <c r="AN636" t="s">
        <v>863</v>
      </c>
      <c r="AO636" t="s">
        <v>3504</v>
      </c>
      <c r="AP636" t="s">
        <v>74</v>
      </c>
      <c r="AQ636" t="s">
        <v>74</v>
      </c>
      <c r="AR636" t="s">
        <v>3505</v>
      </c>
      <c r="AS636" t="s">
        <v>3506</v>
      </c>
      <c r="AT636" t="s">
        <v>2859</v>
      </c>
      <c r="AU636">
        <v>2021</v>
      </c>
      <c r="AV636">
        <v>5</v>
      </c>
      <c r="AW636">
        <v>4</v>
      </c>
      <c r="AX636" t="s">
        <v>74</v>
      </c>
      <c r="AY636" t="s">
        <v>74</v>
      </c>
      <c r="AZ636" t="s">
        <v>74</v>
      </c>
      <c r="BA636" t="s">
        <v>74</v>
      </c>
      <c r="BB636">
        <v>458</v>
      </c>
      <c r="BC636">
        <v>467</v>
      </c>
      <c r="BD636" t="s">
        <v>74</v>
      </c>
      <c r="BE636" t="s">
        <v>12571</v>
      </c>
      <c r="BF636" t="str">
        <f>HYPERLINK("http://dx.doi.org/10.1038/s41559-021-01396-1","http://dx.doi.org/10.1038/s41559-021-01396-1")</f>
        <v>http://dx.doi.org/10.1038/s41559-021-01396-1</v>
      </c>
      <c r="BG636" t="s">
        <v>74</v>
      </c>
      <c r="BH636" t="s">
        <v>12028</v>
      </c>
      <c r="BI636">
        <v>10</v>
      </c>
      <c r="BJ636" t="s">
        <v>3508</v>
      </c>
      <c r="BK636" t="s">
        <v>101</v>
      </c>
      <c r="BL636" t="s">
        <v>3509</v>
      </c>
      <c r="BM636" t="s">
        <v>12572</v>
      </c>
      <c r="BN636">
        <v>33633373</v>
      </c>
      <c r="BO636" t="s">
        <v>496</v>
      </c>
      <c r="BP636" t="s">
        <v>74</v>
      </c>
      <c r="BQ636" t="s">
        <v>74</v>
      </c>
      <c r="BR636" t="s">
        <v>104</v>
      </c>
      <c r="BS636" t="s">
        <v>12573</v>
      </c>
      <c r="BT636" t="str">
        <f>HYPERLINK("https%3A%2F%2Fwww.webofscience.com%2Fwos%2Fwoscc%2Ffull-record%2FWOS:000621733500003","View Full Record in Web of Science")</f>
        <v>View Full Record in Web of Science</v>
      </c>
    </row>
    <row r="637" spans="1:72" x14ac:dyDescent="0.15">
      <c r="A637" t="s">
        <v>72</v>
      </c>
      <c r="B637" t="s">
        <v>12574</v>
      </c>
      <c r="C637" t="s">
        <v>74</v>
      </c>
      <c r="D637" t="s">
        <v>74</v>
      </c>
      <c r="E637" t="s">
        <v>74</v>
      </c>
      <c r="F637" t="s">
        <v>12575</v>
      </c>
      <c r="G637" t="s">
        <v>74</v>
      </c>
      <c r="H637" t="s">
        <v>74</v>
      </c>
      <c r="I637" t="s">
        <v>12576</v>
      </c>
      <c r="J637" t="s">
        <v>12577</v>
      </c>
      <c r="K637" t="s">
        <v>74</v>
      </c>
      <c r="L637" t="s">
        <v>74</v>
      </c>
      <c r="M637" t="s">
        <v>78</v>
      </c>
      <c r="N637" t="s">
        <v>79</v>
      </c>
      <c r="O637" t="s">
        <v>74</v>
      </c>
      <c r="P637" t="s">
        <v>74</v>
      </c>
      <c r="Q637" t="s">
        <v>74</v>
      </c>
      <c r="R637" t="s">
        <v>74</v>
      </c>
      <c r="S637" t="s">
        <v>74</v>
      </c>
      <c r="T637" t="s">
        <v>74</v>
      </c>
      <c r="U637" t="s">
        <v>12578</v>
      </c>
      <c r="V637" t="s">
        <v>12579</v>
      </c>
      <c r="W637" t="s">
        <v>12580</v>
      </c>
      <c r="X637" t="s">
        <v>12581</v>
      </c>
      <c r="Y637" t="s">
        <v>12582</v>
      </c>
      <c r="Z637" t="s">
        <v>12583</v>
      </c>
      <c r="AA637" t="s">
        <v>12584</v>
      </c>
      <c r="AB637" t="s">
        <v>12585</v>
      </c>
      <c r="AC637" t="s">
        <v>12586</v>
      </c>
      <c r="AD637" t="s">
        <v>12587</v>
      </c>
      <c r="AE637" t="s">
        <v>12588</v>
      </c>
      <c r="AF637" t="s">
        <v>74</v>
      </c>
      <c r="AG637">
        <v>54</v>
      </c>
      <c r="AH637">
        <v>3</v>
      </c>
      <c r="AI637">
        <v>3</v>
      </c>
      <c r="AJ637">
        <v>2</v>
      </c>
      <c r="AK637">
        <v>26</v>
      </c>
      <c r="AL637" t="s">
        <v>12589</v>
      </c>
      <c r="AM637" t="s">
        <v>1909</v>
      </c>
      <c r="AN637" t="s">
        <v>12590</v>
      </c>
      <c r="AO637" t="s">
        <v>12591</v>
      </c>
      <c r="AP637" t="s">
        <v>12592</v>
      </c>
      <c r="AQ637" t="s">
        <v>74</v>
      </c>
      <c r="AR637" t="s">
        <v>12593</v>
      </c>
      <c r="AS637" t="s">
        <v>12594</v>
      </c>
      <c r="AT637" t="s">
        <v>2859</v>
      </c>
      <c r="AU637">
        <v>2021</v>
      </c>
      <c r="AV637">
        <v>45</v>
      </c>
      <c r="AW637">
        <v>4</v>
      </c>
      <c r="AX637" t="s">
        <v>74</v>
      </c>
      <c r="AY637" t="s">
        <v>74</v>
      </c>
      <c r="AZ637" t="s">
        <v>74</v>
      </c>
      <c r="BA637" t="s">
        <v>74</v>
      </c>
      <c r="BB637" t="s">
        <v>74</v>
      </c>
      <c r="BC637" t="s">
        <v>74</v>
      </c>
      <c r="BD637" t="s">
        <v>12595</v>
      </c>
      <c r="BE637" t="s">
        <v>12596</v>
      </c>
      <c r="BF637" t="str">
        <f>HYPERLINK("http://dx.doi.org/10.1111/jfpp.15357","http://dx.doi.org/10.1111/jfpp.15357")</f>
        <v>http://dx.doi.org/10.1111/jfpp.15357</v>
      </c>
      <c r="BG637" t="s">
        <v>74</v>
      </c>
      <c r="BH637" t="s">
        <v>12028</v>
      </c>
      <c r="BI637">
        <v>11</v>
      </c>
      <c r="BJ637" t="s">
        <v>12597</v>
      </c>
      <c r="BK637" t="s">
        <v>101</v>
      </c>
      <c r="BL637" t="s">
        <v>12597</v>
      </c>
      <c r="BM637" t="s">
        <v>12598</v>
      </c>
      <c r="BN637" t="s">
        <v>74</v>
      </c>
      <c r="BO637" t="s">
        <v>317</v>
      </c>
      <c r="BP637" t="s">
        <v>74</v>
      </c>
      <c r="BQ637" t="s">
        <v>74</v>
      </c>
      <c r="BR637" t="s">
        <v>104</v>
      </c>
      <c r="BS637" t="s">
        <v>12599</v>
      </c>
      <c r="BT637" t="str">
        <f>HYPERLINK("https%3A%2F%2Fwww.webofscience.com%2Fwos%2Fwoscc%2Ffull-record%2FWOS:000621509600001","View Full Record in Web of Science")</f>
        <v>View Full Record in Web of Science</v>
      </c>
    </row>
    <row r="638" spans="1:72" x14ac:dyDescent="0.15">
      <c r="A638" t="s">
        <v>72</v>
      </c>
      <c r="B638" t="s">
        <v>12600</v>
      </c>
      <c r="C638" t="s">
        <v>74</v>
      </c>
      <c r="D638" t="s">
        <v>74</v>
      </c>
      <c r="E638" t="s">
        <v>74</v>
      </c>
      <c r="F638" t="s">
        <v>12601</v>
      </c>
      <c r="G638" t="s">
        <v>74</v>
      </c>
      <c r="H638" t="s">
        <v>74</v>
      </c>
      <c r="I638" t="s">
        <v>12602</v>
      </c>
      <c r="J638" t="s">
        <v>12603</v>
      </c>
      <c r="K638" t="s">
        <v>74</v>
      </c>
      <c r="L638" t="s">
        <v>74</v>
      </c>
      <c r="M638" t="s">
        <v>78</v>
      </c>
      <c r="N638" t="s">
        <v>3616</v>
      </c>
      <c r="O638" t="s">
        <v>74</v>
      </c>
      <c r="P638" t="s">
        <v>74</v>
      </c>
      <c r="Q638" t="s">
        <v>74</v>
      </c>
      <c r="R638" t="s">
        <v>74</v>
      </c>
      <c r="S638" t="s">
        <v>74</v>
      </c>
      <c r="T638" t="s">
        <v>74</v>
      </c>
      <c r="U638" t="s">
        <v>74</v>
      </c>
      <c r="V638" t="s">
        <v>12604</v>
      </c>
      <c r="W638" t="s">
        <v>74</v>
      </c>
      <c r="X638" t="s">
        <v>74</v>
      </c>
      <c r="Y638" t="s">
        <v>74</v>
      </c>
      <c r="Z638" t="s">
        <v>11086</v>
      </c>
      <c r="AA638" t="s">
        <v>74</v>
      </c>
      <c r="AB638" t="s">
        <v>12605</v>
      </c>
      <c r="AC638" t="s">
        <v>74</v>
      </c>
      <c r="AD638" t="s">
        <v>74</v>
      </c>
      <c r="AE638" t="s">
        <v>74</v>
      </c>
      <c r="AF638" t="s">
        <v>74</v>
      </c>
      <c r="AG638">
        <v>1</v>
      </c>
      <c r="AH638">
        <v>0</v>
      </c>
      <c r="AI638">
        <v>0</v>
      </c>
      <c r="AJ638">
        <v>0</v>
      </c>
      <c r="AK638">
        <v>0</v>
      </c>
      <c r="AL638" t="s">
        <v>3620</v>
      </c>
      <c r="AM638" t="s">
        <v>862</v>
      </c>
      <c r="AN638" t="s">
        <v>863</v>
      </c>
      <c r="AO638" t="s">
        <v>12606</v>
      </c>
      <c r="AP638" t="s">
        <v>74</v>
      </c>
      <c r="AQ638" t="s">
        <v>74</v>
      </c>
      <c r="AR638" t="s">
        <v>12607</v>
      </c>
      <c r="AS638" t="s">
        <v>12608</v>
      </c>
      <c r="AT638" t="s">
        <v>12510</v>
      </c>
      <c r="AU638">
        <v>2021</v>
      </c>
      <c r="AV638">
        <v>4</v>
      </c>
      <c r="AW638">
        <v>1</v>
      </c>
      <c r="AX638" t="s">
        <v>74</v>
      </c>
      <c r="AY638" t="s">
        <v>74</v>
      </c>
      <c r="AZ638" t="s">
        <v>74</v>
      </c>
      <c r="BA638" t="s">
        <v>74</v>
      </c>
      <c r="BB638" t="s">
        <v>74</v>
      </c>
      <c r="BC638" t="s">
        <v>74</v>
      </c>
      <c r="BD638">
        <v>14</v>
      </c>
      <c r="BE638" t="s">
        <v>12609</v>
      </c>
      <c r="BF638" t="str">
        <f>HYPERLINK("http://dx.doi.org/10.1038/s41612-021-00170-1","http://dx.doi.org/10.1038/s41612-021-00170-1")</f>
        <v>http://dx.doi.org/10.1038/s41612-021-00170-1</v>
      </c>
      <c r="BG638" t="s">
        <v>74</v>
      </c>
      <c r="BH638" t="s">
        <v>74</v>
      </c>
      <c r="BI638">
        <v>1</v>
      </c>
      <c r="BJ638" t="s">
        <v>129</v>
      </c>
      <c r="BK638" t="s">
        <v>101</v>
      </c>
      <c r="BL638" t="s">
        <v>129</v>
      </c>
      <c r="BM638" t="s">
        <v>12610</v>
      </c>
      <c r="BN638" t="s">
        <v>74</v>
      </c>
      <c r="BO638" t="s">
        <v>317</v>
      </c>
      <c r="BP638" t="s">
        <v>74</v>
      </c>
      <c r="BQ638" t="s">
        <v>74</v>
      </c>
      <c r="BR638" t="s">
        <v>104</v>
      </c>
      <c r="BS638" t="s">
        <v>12611</v>
      </c>
      <c r="BT638" t="str">
        <f>HYPERLINK("https%3A%2F%2Fwww.webofscience.com%2Fwos%2Fwoscc%2Ffull-record%2FWOS:000621835800001","View Full Record in Web of Science")</f>
        <v>View Full Record in Web of Science</v>
      </c>
    </row>
    <row r="639" spans="1:72" x14ac:dyDescent="0.15">
      <c r="A639" t="s">
        <v>72</v>
      </c>
      <c r="B639" t="s">
        <v>12612</v>
      </c>
      <c r="C639" t="s">
        <v>74</v>
      </c>
      <c r="D639" t="s">
        <v>74</v>
      </c>
      <c r="E639" t="s">
        <v>74</v>
      </c>
      <c r="F639" t="s">
        <v>12613</v>
      </c>
      <c r="G639" t="s">
        <v>74</v>
      </c>
      <c r="H639" t="s">
        <v>74</v>
      </c>
      <c r="I639" t="s">
        <v>12614</v>
      </c>
      <c r="J639" t="s">
        <v>2402</v>
      </c>
      <c r="K639" t="s">
        <v>74</v>
      </c>
      <c r="L639" t="s">
        <v>74</v>
      </c>
      <c r="M639" t="s">
        <v>78</v>
      </c>
      <c r="N639" t="s">
        <v>79</v>
      </c>
      <c r="O639" t="s">
        <v>74</v>
      </c>
      <c r="P639" t="s">
        <v>74</v>
      </c>
      <c r="Q639" t="s">
        <v>74</v>
      </c>
      <c r="R639" t="s">
        <v>74</v>
      </c>
      <c r="S639" t="s">
        <v>74</v>
      </c>
      <c r="T639" t="s">
        <v>12615</v>
      </c>
      <c r="U639" t="s">
        <v>12616</v>
      </c>
      <c r="V639" t="s">
        <v>12617</v>
      </c>
      <c r="W639" t="s">
        <v>12618</v>
      </c>
      <c r="X639" t="s">
        <v>12619</v>
      </c>
      <c r="Y639" t="s">
        <v>12620</v>
      </c>
      <c r="Z639" t="s">
        <v>12621</v>
      </c>
      <c r="AA639" t="s">
        <v>12622</v>
      </c>
      <c r="AB639" t="s">
        <v>12623</v>
      </c>
      <c r="AC639" t="s">
        <v>12624</v>
      </c>
      <c r="AD639" t="s">
        <v>12625</v>
      </c>
      <c r="AE639" t="s">
        <v>12626</v>
      </c>
      <c r="AF639" t="s">
        <v>74</v>
      </c>
      <c r="AG639">
        <v>85</v>
      </c>
      <c r="AH639">
        <v>111</v>
      </c>
      <c r="AI639">
        <v>122</v>
      </c>
      <c r="AJ639">
        <v>16</v>
      </c>
      <c r="AK639">
        <v>128</v>
      </c>
      <c r="AL639" t="s">
        <v>795</v>
      </c>
      <c r="AM639" t="s">
        <v>796</v>
      </c>
      <c r="AN639" t="s">
        <v>797</v>
      </c>
      <c r="AO639" t="s">
        <v>2414</v>
      </c>
      <c r="AP639" t="s">
        <v>2415</v>
      </c>
      <c r="AQ639" t="s">
        <v>74</v>
      </c>
      <c r="AR639" t="s">
        <v>2416</v>
      </c>
      <c r="AS639" t="s">
        <v>2417</v>
      </c>
      <c r="AT639" t="s">
        <v>127</v>
      </c>
      <c r="AU639">
        <v>2021</v>
      </c>
      <c r="AV639">
        <v>27</v>
      </c>
      <c r="AW639">
        <v>9</v>
      </c>
      <c r="AX639" t="s">
        <v>74</v>
      </c>
      <c r="AY639" t="s">
        <v>74</v>
      </c>
      <c r="AZ639" t="s">
        <v>74</v>
      </c>
      <c r="BA639" t="s">
        <v>74</v>
      </c>
      <c r="BB639">
        <v>1692</v>
      </c>
      <c r="BC639">
        <v>1703</v>
      </c>
      <c r="BD639" t="s">
        <v>74</v>
      </c>
      <c r="BE639" t="s">
        <v>12627</v>
      </c>
      <c r="BF639" t="str">
        <f>HYPERLINK("http://dx.doi.org/10.1111/gcb.15539","http://dx.doi.org/10.1111/gcb.15539")</f>
        <v>http://dx.doi.org/10.1111/gcb.15539</v>
      </c>
      <c r="BG639" t="s">
        <v>74</v>
      </c>
      <c r="BH639" t="s">
        <v>12028</v>
      </c>
      <c r="BI639">
        <v>12</v>
      </c>
      <c r="BJ639" t="s">
        <v>2419</v>
      </c>
      <c r="BK639" t="s">
        <v>101</v>
      </c>
      <c r="BL639" t="s">
        <v>1439</v>
      </c>
      <c r="BM639" t="s">
        <v>12628</v>
      </c>
      <c r="BN639">
        <v>33629799</v>
      </c>
      <c r="BO639" t="s">
        <v>12629</v>
      </c>
      <c r="BP639" t="s">
        <v>871</v>
      </c>
      <c r="BQ639" t="s">
        <v>872</v>
      </c>
      <c r="BR639" t="s">
        <v>104</v>
      </c>
      <c r="BS639" t="s">
        <v>12630</v>
      </c>
      <c r="BT639" t="str">
        <f>HYPERLINK("https%3A%2F%2Fwww.webofscience.com%2Fwos%2Fwoscc%2Ffull-record%2FWOS:000621487900001","View Full Record in Web of Science")</f>
        <v>View Full Record in Web of Science</v>
      </c>
    </row>
    <row r="640" spans="1:72" x14ac:dyDescent="0.15">
      <c r="A640" t="s">
        <v>72</v>
      </c>
      <c r="B640" t="s">
        <v>12631</v>
      </c>
      <c r="C640" t="s">
        <v>74</v>
      </c>
      <c r="D640" t="s">
        <v>74</v>
      </c>
      <c r="E640" t="s">
        <v>74</v>
      </c>
      <c r="F640" t="s">
        <v>12632</v>
      </c>
      <c r="G640" t="s">
        <v>74</v>
      </c>
      <c r="H640" t="s">
        <v>74</v>
      </c>
      <c r="I640" t="s">
        <v>12633</v>
      </c>
      <c r="J640" t="s">
        <v>563</v>
      </c>
      <c r="K640" t="s">
        <v>74</v>
      </c>
      <c r="L640" t="s">
        <v>74</v>
      </c>
      <c r="M640" t="s">
        <v>78</v>
      </c>
      <c r="N640" t="s">
        <v>79</v>
      </c>
      <c r="O640" t="s">
        <v>74</v>
      </c>
      <c r="P640" t="s">
        <v>74</v>
      </c>
      <c r="Q640" t="s">
        <v>74</v>
      </c>
      <c r="R640" t="s">
        <v>74</v>
      </c>
      <c r="S640" t="s">
        <v>74</v>
      </c>
      <c r="T640" t="s">
        <v>12634</v>
      </c>
      <c r="U640" t="s">
        <v>12635</v>
      </c>
      <c r="V640" t="s">
        <v>12636</v>
      </c>
      <c r="W640" t="s">
        <v>12637</v>
      </c>
      <c r="X640" t="s">
        <v>12638</v>
      </c>
      <c r="Y640" t="s">
        <v>12639</v>
      </c>
      <c r="Z640" t="s">
        <v>12640</v>
      </c>
      <c r="AA640" t="s">
        <v>12641</v>
      </c>
      <c r="AB640" t="s">
        <v>12642</v>
      </c>
      <c r="AC640" t="s">
        <v>12643</v>
      </c>
      <c r="AD640" t="s">
        <v>12644</v>
      </c>
      <c r="AE640" t="s">
        <v>12645</v>
      </c>
      <c r="AF640" t="s">
        <v>74</v>
      </c>
      <c r="AG640">
        <v>94</v>
      </c>
      <c r="AH640">
        <v>2</v>
      </c>
      <c r="AI640">
        <v>2</v>
      </c>
      <c r="AJ640">
        <v>0</v>
      </c>
      <c r="AK640">
        <v>17</v>
      </c>
      <c r="AL640" t="s">
        <v>576</v>
      </c>
      <c r="AM640" t="s">
        <v>577</v>
      </c>
      <c r="AN640" t="s">
        <v>578</v>
      </c>
      <c r="AO640" t="s">
        <v>579</v>
      </c>
      <c r="AP640" t="s">
        <v>580</v>
      </c>
      <c r="AQ640" t="s">
        <v>74</v>
      </c>
      <c r="AR640" t="s">
        <v>581</v>
      </c>
      <c r="AS640" t="s">
        <v>582</v>
      </c>
      <c r="AT640" t="s">
        <v>12510</v>
      </c>
      <c r="AU640">
        <v>2021</v>
      </c>
      <c r="AV640">
        <v>757</v>
      </c>
      <c r="AW640" t="s">
        <v>74</v>
      </c>
      <c r="AX640" t="s">
        <v>74</v>
      </c>
      <c r="AY640" t="s">
        <v>74</v>
      </c>
      <c r="AZ640" t="s">
        <v>74</v>
      </c>
      <c r="BA640" t="s">
        <v>74</v>
      </c>
      <c r="BB640" t="s">
        <v>74</v>
      </c>
      <c r="BC640" t="s">
        <v>74</v>
      </c>
      <c r="BD640">
        <v>143809</v>
      </c>
      <c r="BE640" t="s">
        <v>12646</v>
      </c>
      <c r="BF640" t="str">
        <f>HYPERLINK("http://dx.doi.org/10.1016/j.scitotenv.2020.143809","http://dx.doi.org/10.1016/j.scitotenv.2020.143809")</f>
        <v>http://dx.doi.org/10.1016/j.scitotenv.2020.143809</v>
      </c>
      <c r="BG640" t="s">
        <v>74</v>
      </c>
      <c r="BH640" t="s">
        <v>74</v>
      </c>
      <c r="BI640">
        <v>14</v>
      </c>
      <c r="BJ640" t="s">
        <v>224</v>
      </c>
      <c r="BK640" t="s">
        <v>101</v>
      </c>
      <c r="BL640" t="s">
        <v>225</v>
      </c>
      <c r="BM640" t="s">
        <v>12647</v>
      </c>
      <c r="BN640">
        <v>33257075</v>
      </c>
      <c r="BO640" t="s">
        <v>227</v>
      </c>
      <c r="BP640" t="s">
        <v>74</v>
      </c>
      <c r="BQ640" t="s">
        <v>74</v>
      </c>
      <c r="BR640" t="s">
        <v>104</v>
      </c>
      <c r="BS640" t="s">
        <v>12648</v>
      </c>
      <c r="BT640" t="str">
        <f>HYPERLINK("https%3A%2F%2Fwww.webofscience.com%2Fwos%2Fwoscc%2Ffull-record%2FWOS:000604432900075","View Full Record in Web of Science")</f>
        <v>View Full Record in Web of Science</v>
      </c>
    </row>
    <row r="641" spans="1:72" x14ac:dyDescent="0.15">
      <c r="A641" t="s">
        <v>72</v>
      </c>
      <c r="B641" t="s">
        <v>12649</v>
      </c>
      <c r="C641" t="s">
        <v>74</v>
      </c>
      <c r="D641" t="s">
        <v>74</v>
      </c>
      <c r="E641" t="s">
        <v>74</v>
      </c>
      <c r="F641" t="s">
        <v>12650</v>
      </c>
      <c r="G641" t="s">
        <v>74</v>
      </c>
      <c r="H641" t="s">
        <v>74</v>
      </c>
      <c r="I641" t="s">
        <v>12651</v>
      </c>
      <c r="J641" t="s">
        <v>1666</v>
      </c>
      <c r="K641" t="s">
        <v>74</v>
      </c>
      <c r="L641" t="s">
        <v>74</v>
      </c>
      <c r="M641" t="s">
        <v>78</v>
      </c>
      <c r="N641" t="s">
        <v>79</v>
      </c>
      <c r="O641" t="s">
        <v>74</v>
      </c>
      <c r="P641" t="s">
        <v>74</v>
      </c>
      <c r="Q641" t="s">
        <v>74</v>
      </c>
      <c r="R641" t="s">
        <v>74</v>
      </c>
      <c r="S641" t="s">
        <v>74</v>
      </c>
      <c r="T641" t="s">
        <v>12652</v>
      </c>
      <c r="U641" t="s">
        <v>74</v>
      </c>
      <c r="V641" t="s">
        <v>12653</v>
      </c>
      <c r="W641" t="s">
        <v>12654</v>
      </c>
      <c r="X641" t="s">
        <v>12655</v>
      </c>
      <c r="Y641" t="s">
        <v>12656</v>
      </c>
      <c r="Z641" t="s">
        <v>12657</v>
      </c>
      <c r="AA641" t="s">
        <v>12658</v>
      </c>
      <c r="AB641" t="s">
        <v>12659</v>
      </c>
      <c r="AC641" t="s">
        <v>12660</v>
      </c>
      <c r="AD641" t="s">
        <v>12661</v>
      </c>
      <c r="AE641" t="s">
        <v>12662</v>
      </c>
      <c r="AF641" t="s">
        <v>74</v>
      </c>
      <c r="AG641">
        <v>120</v>
      </c>
      <c r="AH641">
        <v>13</v>
      </c>
      <c r="AI641">
        <v>15</v>
      </c>
      <c r="AJ641">
        <v>1</v>
      </c>
      <c r="AK641">
        <v>11</v>
      </c>
      <c r="AL641" t="s">
        <v>1058</v>
      </c>
      <c r="AM641" t="s">
        <v>891</v>
      </c>
      <c r="AN641" t="s">
        <v>1059</v>
      </c>
      <c r="AO641" t="s">
        <v>1679</v>
      </c>
      <c r="AP641" t="s">
        <v>1680</v>
      </c>
      <c r="AQ641" t="s">
        <v>74</v>
      </c>
      <c r="AR641" t="s">
        <v>1681</v>
      </c>
      <c r="AS641" t="s">
        <v>1682</v>
      </c>
      <c r="AT641" t="s">
        <v>5649</v>
      </c>
      <c r="AU641">
        <v>2021</v>
      </c>
      <c r="AV641">
        <v>257</v>
      </c>
      <c r="AW641" t="s">
        <v>74</v>
      </c>
      <c r="AX641" t="s">
        <v>74</v>
      </c>
      <c r="AY641" t="s">
        <v>74</v>
      </c>
      <c r="AZ641" t="s">
        <v>74</v>
      </c>
      <c r="BA641" t="s">
        <v>74</v>
      </c>
      <c r="BB641" t="s">
        <v>74</v>
      </c>
      <c r="BC641" t="s">
        <v>74</v>
      </c>
      <c r="BD641">
        <v>106842</v>
      </c>
      <c r="BE641" t="s">
        <v>12663</v>
      </c>
      <c r="BF641" t="str">
        <f>HYPERLINK("http://dx.doi.org/10.1016/j.quascirev.2021.106842","http://dx.doi.org/10.1016/j.quascirev.2021.106842")</f>
        <v>http://dx.doi.org/10.1016/j.quascirev.2021.106842</v>
      </c>
      <c r="BG641" t="s">
        <v>74</v>
      </c>
      <c r="BH641" t="s">
        <v>12028</v>
      </c>
      <c r="BI641">
        <v>25</v>
      </c>
      <c r="BJ641" t="s">
        <v>1685</v>
      </c>
      <c r="BK641" t="s">
        <v>101</v>
      </c>
      <c r="BL641" t="s">
        <v>1686</v>
      </c>
      <c r="BM641" t="s">
        <v>9813</v>
      </c>
      <c r="BN641" t="s">
        <v>74</v>
      </c>
      <c r="BO641" t="s">
        <v>12664</v>
      </c>
      <c r="BP641" t="s">
        <v>74</v>
      </c>
      <c r="BQ641" t="s">
        <v>74</v>
      </c>
      <c r="BR641" t="s">
        <v>104</v>
      </c>
      <c r="BS641" t="s">
        <v>12665</v>
      </c>
      <c r="BT641" t="str">
        <f>HYPERLINK("https%3A%2F%2Fwww.webofscience.com%2Fwos%2Fwoscc%2Ffull-record%2FWOS:000631046400005","View Full Record in Web of Science")</f>
        <v>View Full Record in Web of Science</v>
      </c>
    </row>
    <row r="642" spans="1:72" x14ac:dyDescent="0.15">
      <c r="A642" t="s">
        <v>72</v>
      </c>
      <c r="B642" t="s">
        <v>12666</v>
      </c>
      <c r="C642" t="s">
        <v>74</v>
      </c>
      <c r="D642" t="s">
        <v>74</v>
      </c>
      <c r="E642" t="s">
        <v>74</v>
      </c>
      <c r="F642" t="s">
        <v>12667</v>
      </c>
      <c r="G642" t="s">
        <v>74</v>
      </c>
      <c r="H642" t="s">
        <v>74</v>
      </c>
      <c r="I642" t="s">
        <v>12668</v>
      </c>
      <c r="J642" t="s">
        <v>12669</v>
      </c>
      <c r="K642" t="s">
        <v>74</v>
      </c>
      <c r="L642" t="s">
        <v>74</v>
      </c>
      <c r="M642" t="s">
        <v>78</v>
      </c>
      <c r="N642" t="s">
        <v>6611</v>
      </c>
      <c r="O642" t="s">
        <v>74</v>
      </c>
      <c r="P642" t="s">
        <v>74</v>
      </c>
      <c r="Q642" t="s">
        <v>74</v>
      </c>
      <c r="R642" t="s">
        <v>74</v>
      </c>
      <c r="S642" t="s">
        <v>74</v>
      </c>
      <c r="T642" t="s">
        <v>12670</v>
      </c>
      <c r="U642" t="s">
        <v>12671</v>
      </c>
      <c r="V642" t="s">
        <v>12672</v>
      </c>
      <c r="W642" t="s">
        <v>12673</v>
      </c>
      <c r="X642" t="s">
        <v>12674</v>
      </c>
      <c r="Y642" t="s">
        <v>12675</v>
      </c>
      <c r="Z642" t="s">
        <v>12676</v>
      </c>
      <c r="AA642" t="s">
        <v>12677</v>
      </c>
      <c r="AB642" t="s">
        <v>12678</v>
      </c>
      <c r="AC642" t="s">
        <v>12679</v>
      </c>
      <c r="AD642" t="s">
        <v>12680</v>
      </c>
      <c r="AE642" t="s">
        <v>12681</v>
      </c>
      <c r="AF642" t="s">
        <v>74</v>
      </c>
      <c r="AG642">
        <v>45</v>
      </c>
      <c r="AH642">
        <v>4</v>
      </c>
      <c r="AI642">
        <v>4</v>
      </c>
      <c r="AJ642">
        <v>0</v>
      </c>
      <c r="AK642">
        <v>5</v>
      </c>
      <c r="AL642" t="s">
        <v>1333</v>
      </c>
      <c r="AM642" t="s">
        <v>1334</v>
      </c>
      <c r="AN642" t="s">
        <v>1335</v>
      </c>
      <c r="AO642" t="s">
        <v>12682</v>
      </c>
      <c r="AP642" t="s">
        <v>12683</v>
      </c>
      <c r="AQ642" t="s">
        <v>74</v>
      </c>
      <c r="AR642" t="s">
        <v>12684</v>
      </c>
      <c r="AS642" t="s">
        <v>12685</v>
      </c>
      <c r="AT642" t="s">
        <v>12686</v>
      </c>
      <c r="AU642">
        <v>2021</v>
      </c>
      <c r="AV642" t="s">
        <v>74</v>
      </c>
      <c r="AW642" t="s">
        <v>74</v>
      </c>
      <c r="AX642" t="s">
        <v>74</v>
      </c>
      <c r="AY642" t="s">
        <v>74</v>
      </c>
      <c r="AZ642" t="s">
        <v>74</v>
      </c>
      <c r="BA642" t="s">
        <v>74</v>
      </c>
      <c r="BB642" t="s">
        <v>74</v>
      </c>
      <c r="BC642" t="s">
        <v>74</v>
      </c>
      <c r="BD642">
        <v>2053019621995526</v>
      </c>
      <c r="BE642" t="s">
        <v>12687</v>
      </c>
      <c r="BF642" t="str">
        <f>HYPERLINK("http://dx.doi.org/10.1177/2053019621995526","http://dx.doi.org/10.1177/2053019621995526")</f>
        <v>http://dx.doi.org/10.1177/2053019621995526</v>
      </c>
      <c r="BG642" t="s">
        <v>74</v>
      </c>
      <c r="BH642" t="s">
        <v>12028</v>
      </c>
      <c r="BI642">
        <v>8</v>
      </c>
      <c r="BJ642" t="s">
        <v>12688</v>
      </c>
      <c r="BK642" t="s">
        <v>1038</v>
      </c>
      <c r="BL642" t="s">
        <v>1278</v>
      </c>
      <c r="BM642" t="s">
        <v>12689</v>
      </c>
      <c r="BN642" t="s">
        <v>74</v>
      </c>
      <c r="BO642" t="s">
        <v>148</v>
      </c>
      <c r="BP642" t="s">
        <v>74</v>
      </c>
      <c r="BQ642" t="s">
        <v>74</v>
      </c>
      <c r="BR642" t="s">
        <v>104</v>
      </c>
      <c r="BS642" t="s">
        <v>12690</v>
      </c>
      <c r="BT642" t="str">
        <f>HYPERLINK("https%3A%2F%2Fwww.webofscience.com%2Fwos%2Fwoscc%2Ffull-record%2FWOS:000621574300001","View Full Record in Web of Science")</f>
        <v>View Full Record in Web of Science</v>
      </c>
    </row>
    <row r="643" spans="1:72" x14ac:dyDescent="0.15">
      <c r="A643" t="s">
        <v>72</v>
      </c>
      <c r="B643" t="s">
        <v>12691</v>
      </c>
      <c r="C643" t="s">
        <v>74</v>
      </c>
      <c r="D643" t="s">
        <v>74</v>
      </c>
      <c r="E643" t="s">
        <v>74</v>
      </c>
      <c r="F643" t="s">
        <v>12692</v>
      </c>
      <c r="G643" t="s">
        <v>74</v>
      </c>
      <c r="H643" t="s">
        <v>74</v>
      </c>
      <c r="I643" t="s">
        <v>12693</v>
      </c>
      <c r="J643" t="s">
        <v>1980</v>
      </c>
      <c r="K643" t="s">
        <v>74</v>
      </c>
      <c r="L643" t="s">
        <v>74</v>
      </c>
      <c r="M643" t="s">
        <v>78</v>
      </c>
      <c r="N643" t="s">
        <v>79</v>
      </c>
      <c r="O643" t="s">
        <v>74</v>
      </c>
      <c r="P643" t="s">
        <v>74</v>
      </c>
      <c r="Q643" t="s">
        <v>74</v>
      </c>
      <c r="R643" t="s">
        <v>74</v>
      </c>
      <c r="S643" t="s">
        <v>74</v>
      </c>
      <c r="T643" t="s">
        <v>74</v>
      </c>
      <c r="U643" t="s">
        <v>74</v>
      </c>
      <c r="V643" t="s">
        <v>12694</v>
      </c>
      <c r="W643" t="s">
        <v>12695</v>
      </c>
      <c r="X643" t="s">
        <v>12696</v>
      </c>
      <c r="Y643" t="s">
        <v>12697</v>
      </c>
      <c r="Z643" t="s">
        <v>12698</v>
      </c>
      <c r="AA643" t="s">
        <v>12699</v>
      </c>
      <c r="AB643" t="s">
        <v>12700</v>
      </c>
      <c r="AC643" t="s">
        <v>12701</v>
      </c>
      <c r="AD643" t="s">
        <v>12702</v>
      </c>
      <c r="AE643" t="s">
        <v>12703</v>
      </c>
      <c r="AF643" t="s">
        <v>74</v>
      </c>
      <c r="AG643">
        <v>54</v>
      </c>
      <c r="AH643">
        <v>7</v>
      </c>
      <c r="AI643">
        <v>7</v>
      </c>
      <c r="AJ643">
        <v>0</v>
      </c>
      <c r="AK643">
        <v>10</v>
      </c>
      <c r="AL643" t="s">
        <v>1269</v>
      </c>
      <c r="AM643" t="s">
        <v>1270</v>
      </c>
      <c r="AN643" t="s">
        <v>1271</v>
      </c>
      <c r="AO643" t="s">
        <v>1992</v>
      </c>
      <c r="AP643" t="s">
        <v>1993</v>
      </c>
      <c r="AQ643" t="s">
        <v>74</v>
      </c>
      <c r="AR643" t="s">
        <v>1994</v>
      </c>
      <c r="AS643" t="s">
        <v>1995</v>
      </c>
      <c r="AT643" t="s">
        <v>12704</v>
      </c>
      <c r="AU643">
        <v>2021</v>
      </c>
      <c r="AV643">
        <v>21</v>
      </c>
      <c r="AW643">
        <v>4</v>
      </c>
      <c r="AX643" t="s">
        <v>74</v>
      </c>
      <c r="AY643" t="s">
        <v>74</v>
      </c>
      <c r="AZ643" t="s">
        <v>74</v>
      </c>
      <c r="BA643" t="s">
        <v>74</v>
      </c>
      <c r="BB643">
        <v>2819</v>
      </c>
      <c r="BC643">
        <v>2836</v>
      </c>
      <c r="BD643" t="s">
        <v>74</v>
      </c>
      <c r="BE643" t="s">
        <v>12705</v>
      </c>
      <c r="BF643" t="str">
        <f>HYPERLINK("http://dx.doi.org/10.5194/acp-21-2819-2021","http://dx.doi.org/10.5194/acp-21-2819-2021")</f>
        <v>http://dx.doi.org/10.5194/acp-21-2819-2021</v>
      </c>
      <c r="BG643" t="s">
        <v>74</v>
      </c>
      <c r="BH643" t="s">
        <v>74</v>
      </c>
      <c r="BI643">
        <v>18</v>
      </c>
      <c r="BJ643" t="s">
        <v>199</v>
      </c>
      <c r="BK643" t="s">
        <v>101</v>
      </c>
      <c r="BL643" t="s">
        <v>200</v>
      </c>
      <c r="BM643" t="s">
        <v>12706</v>
      </c>
      <c r="BN643" t="s">
        <v>74</v>
      </c>
      <c r="BO643" t="s">
        <v>1280</v>
      </c>
      <c r="BP643" t="s">
        <v>74</v>
      </c>
      <c r="BQ643" t="s">
        <v>74</v>
      </c>
      <c r="BR643" t="s">
        <v>104</v>
      </c>
      <c r="BS643" t="s">
        <v>12707</v>
      </c>
      <c r="BT643" t="str">
        <f>HYPERLINK("https%3A%2F%2Fwww.webofscience.com%2Fwos%2Fwoscc%2Ffull-record%2FWOS:000625313800001","View Full Record in Web of Science")</f>
        <v>View Full Record in Web of Science</v>
      </c>
    </row>
    <row r="644" spans="1:72" x14ac:dyDescent="0.15">
      <c r="A644" t="s">
        <v>72</v>
      </c>
      <c r="B644" t="s">
        <v>12708</v>
      </c>
      <c r="C644" t="s">
        <v>74</v>
      </c>
      <c r="D644" t="s">
        <v>74</v>
      </c>
      <c r="E644" t="s">
        <v>74</v>
      </c>
      <c r="F644" t="s">
        <v>12709</v>
      </c>
      <c r="G644" t="s">
        <v>74</v>
      </c>
      <c r="H644" t="s">
        <v>74</v>
      </c>
      <c r="I644" t="s">
        <v>12710</v>
      </c>
      <c r="J644" t="s">
        <v>9662</v>
      </c>
      <c r="K644" t="s">
        <v>74</v>
      </c>
      <c r="L644" t="s">
        <v>74</v>
      </c>
      <c r="M644" t="s">
        <v>78</v>
      </c>
      <c r="N644" t="s">
        <v>79</v>
      </c>
      <c r="O644" t="s">
        <v>74</v>
      </c>
      <c r="P644" t="s">
        <v>74</v>
      </c>
      <c r="Q644" t="s">
        <v>74</v>
      </c>
      <c r="R644" t="s">
        <v>74</v>
      </c>
      <c r="S644" t="s">
        <v>74</v>
      </c>
      <c r="T644" t="s">
        <v>12711</v>
      </c>
      <c r="U644" t="s">
        <v>12712</v>
      </c>
      <c r="V644" t="s">
        <v>12713</v>
      </c>
      <c r="W644" t="s">
        <v>12714</v>
      </c>
      <c r="X644" t="s">
        <v>12715</v>
      </c>
      <c r="Y644" t="s">
        <v>12716</v>
      </c>
      <c r="Z644" t="s">
        <v>12717</v>
      </c>
      <c r="AA644" t="s">
        <v>12718</v>
      </c>
      <c r="AB644" t="s">
        <v>12719</v>
      </c>
      <c r="AC644" t="s">
        <v>12720</v>
      </c>
      <c r="AD644" t="s">
        <v>12721</v>
      </c>
      <c r="AE644" t="s">
        <v>12722</v>
      </c>
      <c r="AF644" t="s">
        <v>74</v>
      </c>
      <c r="AG644">
        <v>63</v>
      </c>
      <c r="AH644">
        <v>6</v>
      </c>
      <c r="AI644">
        <v>6</v>
      </c>
      <c r="AJ644">
        <v>3</v>
      </c>
      <c r="AK644">
        <v>18</v>
      </c>
      <c r="AL644" t="s">
        <v>795</v>
      </c>
      <c r="AM644" t="s">
        <v>796</v>
      </c>
      <c r="AN644" t="s">
        <v>797</v>
      </c>
      <c r="AO644" t="s">
        <v>9673</v>
      </c>
      <c r="AP644" t="s">
        <v>9674</v>
      </c>
      <c r="AQ644" t="s">
        <v>74</v>
      </c>
      <c r="AR644" t="s">
        <v>9662</v>
      </c>
      <c r="AS644" t="s">
        <v>9675</v>
      </c>
      <c r="AT644" t="s">
        <v>1035</v>
      </c>
      <c r="AU644">
        <v>2021</v>
      </c>
      <c r="AV644">
        <v>163</v>
      </c>
      <c r="AW644">
        <v>3</v>
      </c>
      <c r="AX644" t="s">
        <v>74</v>
      </c>
      <c r="AY644" t="s">
        <v>74</v>
      </c>
      <c r="AZ644" t="s">
        <v>74</v>
      </c>
      <c r="BA644" t="s">
        <v>74</v>
      </c>
      <c r="BB644">
        <v>1017</v>
      </c>
      <c r="BC644">
        <v>1031</v>
      </c>
      <c r="BD644" t="s">
        <v>74</v>
      </c>
      <c r="BE644" t="s">
        <v>12723</v>
      </c>
      <c r="BF644" t="str">
        <f>HYPERLINK("http://dx.doi.org/10.1111/ibi.12917","http://dx.doi.org/10.1111/ibi.12917")</f>
        <v>http://dx.doi.org/10.1111/ibi.12917</v>
      </c>
      <c r="BG644" t="s">
        <v>74</v>
      </c>
      <c r="BH644" t="s">
        <v>12028</v>
      </c>
      <c r="BI644">
        <v>15</v>
      </c>
      <c r="BJ644" t="s">
        <v>2930</v>
      </c>
      <c r="BK644" t="s">
        <v>101</v>
      </c>
      <c r="BL644" t="s">
        <v>1229</v>
      </c>
      <c r="BM644" t="s">
        <v>9677</v>
      </c>
      <c r="BN644" t="s">
        <v>74</v>
      </c>
      <c r="BO644" t="s">
        <v>1095</v>
      </c>
      <c r="BP644" t="s">
        <v>74</v>
      </c>
      <c r="BQ644" t="s">
        <v>74</v>
      </c>
      <c r="BR644" t="s">
        <v>104</v>
      </c>
      <c r="BS644" t="s">
        <v>12724</v>
      </c>
      <c r="BT644" t="str">
        <f>HYPERLINK("https%3A%2F%2Fwww.webofscience.com%2Fwos%2Fwoscc%2Ffull-record%2FWOS:000621120300001","View Full Record in Web of Science")</f>
        <v>View Full Record in Web of Science</v>
      </c>
    </row>
    <row r="645" spans="1:72" x14ac:dyDescent="0.15">
      <c r="A645" t="s">
        <v>72</v>
      </c>
      <c r="B645" t="s">
        <v>12725</v>
      </c>
      <c r="C645" t="s">
        <v>74</v>
      </c>
      <c r="D645" t="s">
        <v>74</v>
      </c>
      <c r="E645" t="s">
        <v>74</v>
      </c>
      <c r="F645" t="s">
        <v>12726</v>
      </c>
      <c r="G645" t="s">
        <v>74</v>
      </c>
      <c r="H645" t="s">
        <v>74</v>
      </c>
      <c r="I645" t="s">
        <v>12727</v>
      </c>
      <c r="J645" t="s">
        <v>12728</v>
      </c>
      <c r="K645" t="s">
        <v>74</v>
      </c>
      <c r="L645" t="s">
        <v>74</v>
      </c>
      <c r="M645" t="s">
        <v>78</v>
      </c>
      <c r="N645" t="s">
        <v>79</v>
      </c>
      <c r="O645" t="s">
        <v>74</v>
      </c>
      <c r="P645" t="s">
        <v>74</v>
      </c>
      <c r="Q645" t="s">
        <v>74</v>
      </c>
      <c r="R645" t="s">
        <v>74</v>
      </c>
      <c r="S645" t="s">
        <v>74</v>
      </c>
      <c r="T645" t="s">
        <v>12729</v>
      </c>
      <c r="U645" t="s">
        <v>74</v>
      </c>
      <c r="V645" t="s">
        <v>12730</v>
      </c>
      <c r="W645" t="s">
        <v>12731</v>
      </c>
      <c r="X645" t="s">
        <v>12732</v>
      </c>
      <c r="Y645" t="s">
        <v>12733</v>
      </c>
      <c r="Z645" t="s">
        <v>12734</v>
      </c>
      <c r="AA645" t="s">
        <v>12735</v>
      </c>
      <c r="AB645" t="s">
        <v>12736</v>
      </c>
      <c r="AC645" t="s">
        <v>12737</v>
      </c>
      <c r="AD645" t="s">
        <v>12738</v>
      </c>
      <c r="AE645" t="s">
        <v>12739</v>
      </c>
      <c r="AF645" t="s">
        <v>74</v>
      </c>
      <c r="AG645">
        <v>64</v>
      </c>
      <c r="AH645">
        <v>6</v>
      </c>
      <c r="AI645">
        <v>6</v>
      </c>
      <c r="AJ645">
        <v>2</v>
      </c>
      <c r="AK645">
        <v>15</v>
      </c>
      <c r="AL645" t="s">
        <v>795</v>
      </c>
      <c r="AM645" t="s">
        <v>796</v>
      </c>
      <c r="AN645" t="s">
        <v>797</v>
      </c>
      <c r="AO645" t="s">
        <v>12740</v>
      </c>
      <c r="AP645" t="s">
        <v>12741</v>
      </c>
      <c r="AQ645" t="s">
        <v>74</v>
      </c>
      <c r="AR645" t="s">
        <v>12728</v>
      </c>
      <c r="AS645" t="s">
        <v>12742</v>
      </c>
      <c r="AT645" t="s">
        <v>1364</v>
      </c>
      <c r="AU645">
        <v>2021</v>
      </c>
      <c r="AV645">
        <v>33</v>
      </c>
      <c r="AW645">
        <v>4</v>
      </c>
      <c r="AX645" t="s">
        <v>74</v>
      </c>
      <c r="AY645" t="s">
        <v>74</v>
      </c>
      <c r="AZ645" t="s">
        <v>74</v>
      </c>
      <c r="BA645" t="s">
        <v>74</v>
      </c>
      <c r="BB645">
        <v>364</v>
      </c>
      <c r="BC645">
        <v>374</v>
      </c>
      <c r="BD645" t="s">
        <v>74</v>
      </c>
      <c r="BE645" t="s">
        <v>12743</v>
      </c>
      <c r="BF645" t="str">
        <f>HYPERLINK("http://dx.doi.org/10.1111/ter.12521","http://dx.doi.org/10.1111/ter.12521")</f>
        <v>http://dx.doi.org/10.1111/ter.12521</v>
      </c>
      <c r="BG645" t="s">
        <v>74</v>
      </c>
      <c r="BH645" t="s">
        <v>12028</v>
      </c>
      <c r="BI645">
        <v>11</v>
      </c>
      <c r="BJ645" t="s">
        <v>100</v>
      </c>
      <c r="BK645" t="s">
        <v>101</v>
      </c>
      <c r="BL645" t="s">
        <v>102</v>
      </c>
      <c r="BM645" t="s">
        <v>12744</v>
      </c>
      <c r="BN645" t="s">
        <v>74</v>
      </c>
      <c r="BO645" t="s">
        <v>398</v>
      </c>
      <c r="BP645" t="s">
        <v>74</v>
      </c>
      <c r="BQ645" t="s">
        <v>74</v>
      </c>
      <c r="BR645" t="s">
        <v>104</v>
      </c>
      <c r="BS645" t="s">
        <v>12745</v>
      </c>
      <c r="BT645" t="str">
        <f>HYPERLINK("https%3A%2F%2Fwww.webofscience.com%2Fwos%2Fwoscc%2Ffull-record%2FWOS:000621227400001","View Full Record in Web of Science")</f>
        <v>View Full Record in Web of Science</v>
      </c>
    </row>
    <row r="646" spans="1:72" x14ac:dyDescent="0.15">
      <c r="A646" t="s">
        <v>72</v>
      </c>
      <c r="B646" t="s">
        <v>12746</v>
      </c>
      <c r="C646" t="s">
        <v>74</v>
      </c>
      <c r="D646" t="s">
        <v>74</v>
      </c>
      <c r="E646" t="s">
        <v>74</v>
      </c>
      <c r="F646" t="s">
        <v>12747</v>
      </c>
      <c r="G646" t="s">
        <v>74</v>
      </c>
      <c r="H646" t="s">
        <v>74</v>
      </c>
      <c r="I646" t="s">
        <v>12748</v>
      </c>
      <c r="J646" t="s">
        <v>2600</v>
      </c>
      <c r="K646" t="s">
        <v>74</v>
      </c>
      <c r="L646" t="s">
        <v>74</v>
      </c>
      <c r="M646" t="s">
        <v>78</v>
      </c>
      <c r="N646" t="s">
        <v>79</v>
      </c>
      <c r="O646" t="s">
        <v>74</v>
      </c>
      <c r="P646" t="s">
        <v>74</v>
      </c>
      <c r="Q646" t="s">
        <v>74</v>
      </c>
      <c r="R646" t="s">
        <v>74</v>
      </c>
      <c r="S646" t="s">
        <v>74</v>
      </c>
      <c r="T646" t="s">
        <v>12749</v>
      </c>
      <c r="U646" t="s">
        <v>12750</v>
      </c>
      <c r="V646" t="s">
        <v>12751</v>
      </c>
      <c r="W646" t="s">
        <v>12752</v>
      </c>
      <c r="X646" t="s">
        <v>12753</v>
      </c>
      <c r="Y646" t="s">
        <v>12754</v>
      </c>
      <c r="Z646" t="s">
        <v>12755</v>
      </c>
      <c r="AA646" t="s">
        <v>12756</v>
      </c>
      <c r="AB646" t="s">
        <v>12757</v>
      </c>
      <c r="AC646" t="s">
        <v>12758</v>
      </c>
      <c r="AD646" t="s">
        <v>12759</v>
      </c>
      <c r="AE646" t="s">
        <v>12760</v>
      </c>
      <c r="AF646" t="s">
        <v>74</v>
      </c>
      <c r="AG646">
        <v>64</v>
      </c>
      <c r="AH646">
        <v>12</v>
      </c>
      <c r="AI646">
        <v>12</v>
      </c>
      <c r="AJ646">
        <v>2</v>
      </c>
      <c r="AK646">
        <v>7</v>
      </c>
      <c r="AL646" t="s">
        <v>576</v>
      </c>
      <c r="AM646" t="s">
        <v>577</v>
      </c>
      <c r="AN646" t="s">
        <v>578</v>
      </c>
      <c r="AO646" t="s">
        <v>2613</v>
      </c>
      <c r="AP646" t="s">
        <v>2614</v>
      </c>
      <c r="AQ646" t="s">
        <v>74</v>
      </c>
      <c r="AR646" t="s">
        <v>2615</v>
      </c>
      <c r="AS646" t="s">
        <v>2616</v>
      </c>
      <c r="AT646" t="s">
        <v>2859</v>
      </c>
      <c r="AU646">
        <v>2021</v>
      </c>
      <c r="AV646">
        <v>56</v>
      </c>
      <c r="AW646" t="s">
        <v>74</v>
      </c>
      <c r="AX646" t="s">
        <v>74</v>
      </c>
      <c r="AY646" t="s">
        <v>74</v>
      </c>
      <c r="AZ646" t="s">
        <v>74</v>
      </c>
      <c r="BA646" t="s">
        <v>74</v>
      </c>
      <c r="BB646" t="s">
        <v>74</v>
      </c>
      <c r="BC646" t="s">
        <v>74</v>
      </c>
      <c r="BD646">
        <v>100806</v>
      </c>
      <c r="BE646" t="s">
        <v>12761</v>
      </c>
      <c r="BF646" t="str">
        <f>HYPERLINK("http://dx.doi.org/10.1016/j.margen.2020.100806","http://dx.doi.org/10.1016/j.margen.2020.100806")</f>
        <v>http://dx.doi.org/10.1016/j.margen.2020.100806</v>
      </c>
      <c r="BG646" t="s">
        <v>74</v>
      </c>
      <c r="BH646" t="s">
        <v>12028</v>
      </c>
      <c r="BI646">
        <v>9</v>
      </c>
      <c r="BJ646" t="s">
        <v>2618</v>
      </c>
      <c r="BK646" t="s">
        <v>101</v>
      </c>
      <c r="BL646" t="s">
        <v>2618</v>
      </c>
      <c r="BM646" t="s">
        <v>12762</v>
      </c>
      <c r="BN646">
        <v>32773253</v>
      </c>
      <c r="BO646" t="s">
        <v>1492</v>
      </c>
      <c r="BP646" t="s">
        <v>74</v>
      </c>
      <c r="BQ646" t="s">
        <v>74</v>
      </c>
      <c r="BR646" t="s">
        <v>104</v>
      </c>
      <c r="BS646" t="s">
        <v>12763</v>
      </c>
      <c r="BT646" t="str">
        <f>HYPERLINK("https%3A%2F%2Fwww.webofscience.com%2Fwos%2Fwoscc%2Ffull-record%2FWOS:000668992200006","View Full Record in Web of Science")</f>
        <v>View Full Record in Web of Science</v>
      </c>
    </row>
    <row r="647" spans="1:72" x14ac:dyDescent="0.15">
      <c r="A647" t="s">
        <v>72</v>
      </c>
      <c r="B647" t="s">
        <v>12764</v>
      </c>
      <c r="C647" t="s">
        <v>74</v>
      </c>
      <c r="D647" t="s">
        <v>74</v>
      </c>
      <c r="E647" t="s">
        <v>74</v>
      </c>
      <c r="F647" t="s">
        <v>12765</v>
      </c>
      <c r="G647" t="s">
        <v>74</v>
      </c>
      <c r="H647" t="s">
        <v>74</v>
      </c>
      <c r="I647" t="s">
        <v>12766</v>
      </c>
      <c r="J647" t="s">
        <v>12767</v>
      </c>
      <c r="K647" t="s">
        <v>74</v>
      </c>
      <c r="L647" t="s">
        <v>74</v>
      </c>
      <c r="M647" t="s">
        <v>78</v>
      </c>
      <c r="N647" t="s">
        <v>79</v>
      </c>
      <c r="O647" t="s">
        <v>74</v>
      </c>
      <c r="P647" t="s">
        <v>74</v>
      </c>
      <c r="Q647" t="s">
        <v>74</v>
      </c>
      <c r="R647" t="s">
        <v>74</v>
      </c>
      <c r="S647" t="s">
        <v>74</v>
      </c>
      <c r="T647" t="s">
        <v>12768</v>
      </c>
      <c r="U647" t="s">
        <v>12769</v>
      </c>
      <c r="V647" t="s">
        <v>12770</v>
      </c>
      <c r="W647" t="s">
        <v>12771</v>
      </c>
      <c r="X647" t="s">
        <v>12772</v>
      </c>
      <c r="Y647" t="s">
        <v>12773</v>
      </c>
      <c r="Z647" t="s">
        <v>12774</v>
      </c>
      <c r="AA647" t="s">
        <v>74</v>
      </c>
      <c r="AB647" t="s">
        <v>74</v>
      </c>
      <c r="AC647" t="s">
        <v>12775</v>
      </c>
      <c r="AD647" t="s">
        <v>12776</v>
      </c>
      <c r="AE647" t="s">
        <v>12777</v>
      </c>
      <c r="AF647" t="s">
        <v>74</v>
      </c>
      <c r="AG647">
        <v>75</v>
      </c>
      <c r="AH647">
        <v>24</v>
      </c>
      <c r="AI647">
        <v>24</v>
      </c>
      <c r="AJ647">
        <v>4</v>
      </c>
      <c r="AK647">
        <v>40</v>
      </c>
      <c r="AL647" t="s">
        <v>576</v>
      </c>
      <c r="AM647" t="s">
        <v>577</v>
      </c>
      <c r="AN647" t="s">
        <v>578</v>
      </c>
      <c r="AO647" t="s">
        <v>12778</v>
      </c>
      <c r="AP647" t="s">
        <v>12779</v>
      </c>
      <c r="AQ647" t="s">
        <v>74</v>
      </c>
      <c r="AR647" t="s">
        <v>12780</v>
      </c>
      <c r="AS647" t="s">
        <v>12781</v>
      </c>
      <c r="AT647" t="s">
        <v>2859</v>
      </c>
      <c r="AU647">
        <v>2021</v>
      </c>
      <c r="AV647">
        <v>79</v>
      </c>
      <c r="AW647" t="s">
        <v>74</v>
      </c>
      <c r="AX647" t="s">
        <v>74</v>
      </c>
      <c r="AY647" t="s">
        <v>74</v>
      </c>
      <c r="AZ647" t="s">
        <v>74</v>
      </c>
      <c r="BA647" t="s">
        <v>74</v>
      </c>
      <c r="BB647" t="s">
        <v>74</v>
      </c>
      <c r="BC647" t="s">
        <v>74</v>
      </c>
      <c r="BD647">
        <v>104394</v>
      </c>
      <c r="BE647" t="s">
        <v>12782</v>
      </c>
      <c r="BF647" t="str">
        <f>HYPERLINK("http://dx.doi.org/10.1016/j.jff.2021.104394","http://dx.doi.org/10.1016/j.jff.2021.104394")</f>
        <v>http://dx.doi.org/10.1016/j.jff.2021.104394</v>
      </c>
      <c r="BG647" t="s">
        <v>74</v>
      </c>
      <c r="BH647" t="s">
        <v>12028</v>
      </c>
      <c r="BI647">
        <v>13</v>
      </c>
      <c r="BJ647" t="s">
        <v>12783</v>
      </c>
      <c r="BK647" t="s">
        <v>101</v>
      </c>
      <c r="BL647" t="s">
        <v>12783</v>
      </c>
      <c r="BM647" t="s">
        <v>12784</v>
      </c>
      <c r="BN647" t="s">
        <v>74</v>
      </c>
      <c r="BO647" t="s">
        <v>317</v>
      </c>
      <c r="BP647" t="s">
        <v>74</v>
      </c>
      <c r="BQ647" t="s">
        <v>74</v>
      </c>
      <c r="BR647" t="s">
        <v>104</v>
      </c>
      <c r="BS647" t="s">
        <v>12785</v>
      </c>
      <c r="BT647" t="str">
        <f>HYPERLINK("https%3A%2F%2Fwww.webofscience.com%2Fwos%2Fwoscc%2Ffull-record%2FWOS:000641380600008","View Full Record in Web of Science")</f>
        <v>View Full Record in Web of Science</v>
      </c>
    </row>
    <row r="648" spans="1:72" x14ac:dyDescent="0.15">
      <c r="A648" t="s">
        <v>72</v>
      </c>
      <c r="B648" t="s">
        <v>12786</v>
      </c>
      <c r="C648" t="s">
        <v>74</v>
      </c>
      <c r="D648" t="s">
        <v>74</v>
      </c>
      <c r="E648" t="s">
        <v>74</v>
      </c>
      <c r="F648" t="s">
        <v>12787</v>
      </c>
      <c r="G648" t="s">
        <v>74</v>
      </c>
      <c r="H648" t="s">
        <v>74</v>
      </c>
      <c r="I648" t="s">
        <v>12788</v>
      </c>
      <c r="J648" t="s">
        <v>7448</v>
      </c>
      <c r="K648" t="s">
        <v>74</v>
      </c>
      <c r="L648" t="s">
        <v>74</v>
      </c>
      <c r="M648" t="s">
        <v>78</v>
      </c>
      <c r="N648" t="s">
        <v>79</v>
      </c>
      <c r="O648" t="s">
        <v>74</v>
      </c>
      <c r="P648" t="s">
        <v>74</v>
      </c>
      <c r="Q648" t="s">
        <v>74</v>
      </c>
      <c r="R648" t="s">
        <v>74</v>
      </c>
      <c r="S648" t="s">
        <v>74</v>
      </c>
      <c r="T648" t="s">
        <v>12789</v>
      </c>
      <c r="U648" t="s">
        <v>12790</v>
      </c>
      <c r="V648" t="s">
        <v>12791</v>
      </c>
      <c r="W648" t="s">
        <v>12792</v>
      </c>
      <c r="X648" t="s">
        <v>12793</v>
      </c>
      <c r="Y648" t="s">
        <v>12794</v>
      </c>
      <c r="Z648" t="s">
        <v>12795</v>
      </c>
      <c r="AA648" t="s">
        <v>12796</v>
      </c>
      <c r="AB648" t="s">
        <v>12797</v>
      </c>
      <c r="AC648" t="s">
        <v>12798</v>
      </c>
      <c r="AD648" t="s">
        <v>12799</v>
      </c>
      <c r="AE648" t="s">
        <v>12800</v>
      </c>
      <c r="AF648" t="s">
        <v>74</v>
      </c>
      <c r="AG648">
        <v>88</v>
      </c>
      <c r="AH648">
        <v>5</v>
      </c>
      <c r="AI648">
        <v>7</v>
      </c>
      <c r="AJ648">
        <v>2</v>
      </c>
      <c r="AK648">
        <v>14</v>
      </c>
      <c r="AL648" t="s">
        <v>1058</v>
      </c>
      <c r="AM648" t="s">
        <v>891</v>
      </c>
      <c r="AN648" t="s">
        <v>1059</v>
      </c>
      <c r="AO648" t="s">
        <v>7461</v>
      </c>
      <c r="AP648" t="s">
        <v>7462</v>
      </c>
      <c r="AQ648" t="s">
        <v>74</v>
      </c>
      <c r="AR648" t="s">
        <v>7463</v>
      </c>
      <c r="AS648" t="s">
        <v>7464</v>
      </c>
      <c r="AT648" t="s">
        <v>2859</v>
      </c>
      <c r="AU648">
        <v>2021</v>
      </c>
      <c r="AV648">
        <v>130</v>
      </c>
      <c r="AW648" t="s">
        <v>74</v>
      </c>
      <c r="AX648" t="s">
        <v>74</v>
      </c>
      <c r="AY648" t="s">
        <v>74</v>
      </c>
      <c r="AZ648" t="s">
        <v>74</v>
      </c>
      <c r="BA648" t="s">
        <v>74</v>
      </c>
      <c r="BB648" t="s">
        <v>74</v>
      </c>
      <c r="BC648" t="s">
        <v>74</v>
      </c>
      <c r="BD648">
        <v>104209</v>
      </c>
      <c r="BE648" t="s">
        <v>12801</v>
      </c>
      <c r="BF648" t="str">
        <f>HYPERLINK("http://dx.doi.org/10.1016/j.jinsphys.2021.104209","http://dx.doi.org/10.1016/j.jinsphys.2021.104209")</f>
        <v>http://dx.doi.org/10.1016/j.jinsphys.2021.104209</v>
      </c>
      <c r="BG648" t="s">
        <v>74</v>
      </c>
      <c r="BH648" t="s">
        <v>12028</v>
      </c>
      <c r="BI648">
        <v>8</v>
      </c>
      <c r="BJ648" t="s">
        <v>7466</v>
      </c>
      <c r="BK648" t="s">
        <v>101</v>
      </c>
      <c r="BL648" t="s">
        <v>7466</v>
      </c>
      <c r="BM648" t="s">
        <v>12802</v>
      </c>
      <c r="BN648">
        <v>33609519</v>
      </c>
      <c r="BO648" t="s">
        <v>74</v>
      </c>
      <c r="BP648" t="s">
        <v>74</v>
      </c>
      <c r="BQ648" t="s">
        <v>74</v>
      </c>
      <c r="BR648" t="s">
        <v>104</v>
      </c>
      <c r="BS648" t="s">
        <v>12803</v>
      </c>
      <c r="BT648" t="str">
        <f>HYPERLINK("https%3A%2F%2Fwww.webofscience.com%2Fwos%2Fwoscc%2Ffull-record%2FWOS:000641044400009","View Full Record in Web of Science")</f>
        <v>View Full Record in Web of Science</v>
      </c>
    </row>
    <row r="649" spans="1:72" x14ac:dyDescent="0.15">
      <c r="A649" t="s">
        <v>72</v>
      </c>
      <c r="B649" t="s">
        <v>12804</v>
      </c>
      <c r="C649" t="s">
        <v>74</v>
      </c>
      <c r="D649" t="s">
        <v>74</v>
      </c>
      <c r="E649" t="s">
        <v>74</v>
      </c>
      <c r="F649" t="s">
        <v>12805</v>
      </c>
      <c r="G649" t="s">
        <v>74</v>
      </c>
      <c r="H649" t="s">
        <v>74</v>
      </c>
      <c r="I649" t="s">
        <v>12806</v>
      </c>
      <c r="J649" t="s">
        <v>2490</v>
      </c>
      <c r="K649" t="s">
        <v>74</v>
      </c>
      <c r="L649" t="s">
        <v>74</v>
      </c>
      <c r="M649" t="s">
        <v>78</v>
      </c>
      <c r="N649" t="s">
        <v>79</v>
      </c>
      <c r="O649" t="s">
        <v>74</v>
      </c>
      <c r="P649" t="s">
        <v>74</v>
      </c>
      <c r="Q649" t="s">
        <v>74</v>
      </c>
      <c r="R649" t="s">
        <v>74</v>
      </c>
      <c r="S649" t="s">
        <v>74</v>
      </c>
      <c r="T649" t="s">
        <v>12807</v>
      </c>
      <c r="U649" t="s">
        <v>12808</v>
      </c>
      <c r="V649" t="s">
        <v>12809</v>
      </c>
      <c r="W649" t="s">
        <v>12810</v>
      </c>
      <c r="X649" t="s">
        <v>74</v>
      </c>
      <c r="Y649" t="s">
        <v>12811</v>
      </c>
      <c r="Z649" t="s">
        <v>12812</v>
      </c>
      <c r="AA649" t="s">
        <v>12813</v>
      </c>
      <c r="AB649" t="s">
        <v>12814</v>
      </c>
      <c r="AC649" t="s">
        <v>12815</v>
      </c>
      <c r="AD649" t="s">
        <v>12816</v>
      </c>
      <c r="AE649" t="s">
        <v>12817</v>
      </c>
      <c r="AF649" t="s">
        <v>74</v>
      </c>
      <c r="AG649">
        <v>66</v>
      </c>
      <c r="AH649">
        <v>4</v>
      </c>
      <c r="AI649">
        <v>4</v>
      </c>
      <c r="AJ649">
        <v>0</v>
      </c>
      <c r="AK649">
        <v>4</v>
      </c>
      <c r="AL649" t="s">
        <v>603</v>
      </c>
      <c r="AM649" t="s">
        <v>604</v>
      </c>
      <c r="AN649" t="s">
        <v>605</v>
      </c>
      <c r="AO649" t="s">
        <v>2503</v>
      </c>
      <c r="AP649" t="s">
        <v>74</v>
      </c>
      <c r="AQ649" t="s">
        <v>74</v>
      </c>
      <c r="AR649" t="s">
        <v>2504</v>
      </c>
      <c r="AS649" t="s">
        <v>2505</v>
      </c>
      <c r="AT649" t="s">
        <v>12818</v>
      </c>
      <c r="AU649">
        <v>2021</v>
      </c>
      <c r="AV649">
        <v>12</v>
      </c>
      <c r="AW649" t="s">
        <v>74</v>
      </c>
      <c r="AX649" t="s">
        <v>74</v>
      </c>
      <c r="AY649" t="s">
        <v>74</v>
      </c>
      <c r="AZ649" t="s">
        <v>74</v>
      </c>
      <c r="BA649" t="s">
        <v>74</v>
      </c>
      <c r="BB649" t="s">
        <v>74</v>
      </c>
      <c r="BC649" t="s">
        <v>74</v>
      </c>
      <c r="BD649">
        <v>635491</v>
      </c>
      <c r="BE649" t="s">
        <v>12819</v>
      </c>
      <c r="BF649" t="str">
        <f>HYPERLINK("http://dx.doi.org/10.3389/fpls.2021.635491","http://dx.doi.org/10.3389/fpls.2021.635491")</f>
        <v>http://dx.doi.org/10.3389/fpls.2021.635491</v>
      </c>
      <c r="BG649" t="s">
        <v>74</v>
      </c>
      <c r="BH649" t="s">
        <v>74</v>
      </c>
      <c r="BI649">
        <v>12</v>
      </c>
      <c r="BJ649" t="s">
        <v>2508</v>
      </c>
      <c r="BK649" t="s">
        <v>101</v>
      </c>
      <c r="BL649" t="s">
        <v>2508</v>
      </c>
      <c r="BM649" t="s">
        <v>12820</v>
      </c>
      <c r="BN649">
        <v>33732277</v>
      </c>
      <c r="BO649" t="s">
        <v>298</v>
      </c>
      <c r="BP649" t="s">
        <v>74</v>
      </c>
      <c r="BQ649" t="s">
        <v>74</v>
      </c>
      <c r="BR649" t="s">
        <v>104</v>
      </c>
      <c r="BS649" t="s">
        <v>12821</v>
      </c>
      <c r="BT649" t="str">
        <f>HYPERLINK("https%3A%2F%2Fwww.webofscience.com%2Fwos%2Fwoscc%2Ffull-record%2FWOS:000626476900001","View Full Record in Web of Science")</f>
        <v>View Full Record in Web of Science</v>
      </c>
    </row>
    <row r="650" spans="1:72" x14ac:dyDescent="0.15">
      <c r="A650" t="s">
        <v>72</v>
      </c>
      <c r="B650" t="s">
        <v>12822</v>
      </c>
      <c r="C650" t="s">
        <v>74</v>
      </c>
      <c r="D650" t="s">
        <v>74</v>
      </c>
      <c r="E650" t="s">
        <v>74</v>
      </c>
      <c r="F650" t="s">
        <v>12823</v>
      </c>
      <c r="G650" t="s">
        <v>74</v>
      </c>
      <c r="H650" t="s">
        <v>74</v>
      </c>
      <c r="I650" t="s">
        <v>12824</v>
      </c>
      <c r="J650" t="s">
        <v>1666</v>
      </c>
      <c r="K650" t="s">
        <v>74</v>
      </c>
      <c r="L650" t="s">
        <v>74</v>
      </c>
      <c r="M650" t="s">
        <v>78</v>
      </c>
      <c r="N650" t="s">
        <v>79</v>
      </c>
      <c r="O650" t="s">
        <v>74</v>
      </c>
      <c r="P650" t="s">
        <v>74</v>
      </c>
      <c r="Q650" t="s">
        <v>74</v>
      </c>
      <c r="R650" t="s">
        <v>74</v>
      </c>
      <c r="S650" t="s">
        <v>74</v>
      </c>
      <c r="T650" t="s">
        <v>12825</v>
      </c>
      <c r="U650" t="s">
        <v>12826</v>
      </c>
      <c r="V650" t="s">
        <v>12827</v>
      </c>
      <c r="W650" t="s">
        <v>12828</v>
      </c>
      <c r="X650" t="s">
        <v>12829</v>
      </c>
      <c r="Y650" t="s">
        <v>12830</v>
      </c>
      <c r="Z650" t="s">
        <v>12831</v>
      </c>
      <c r="AA650" t="s">
        <v>12832</v>
      </c>
      <c r="AB650" t="s">
        <v>12833</v>
      </c>
      <c r="AC650" t="s">
        <v>12834</v>
      </c>
      <c r="AD650" t="s">
        <v>12835</v>
      </c>
      <c r="AE650" t="s">
        <v>12836</v>
      </c>
      <c r="AF650" t="s">
        <v>74</v>
      </c>
      <c r="AG650">
        <v>101</v>
      </c>
      <c r="AH650">
        <v>8</v>
      </c>
      <c r="AI650">
        <v>8</v>
      </c>
      <c r="AJ650">
        <v>4</v>
      </c>
      <c r="AK650">
        <v>16</v>
      </c>
      <c r="AL650" t="s">
        <v>1058</v>
      </c>
      <c r="AM650" t="s">
        <v>891</v>
      </c>
      <c r="AN650" t="s">
        <v>1059</v>
      </c>
      <c r="AO650" t="s">
        <v>1679</v>
      </c>
      <c r="AP650" t="s">
        <v>1680</v>
      </c>
      <c r="AQ650" t="s">
        <v>74</v>
      </c>
      <c r="AR650" t="s">
        <v>1681</v>
      </c>
      <c r="AS650" t="s">
        <v>1682</v>
      </c>
      <c r="AT650" t="s">
        <v>8646</v>
      </c>
      <c r="AU650">
        <v>2021</v>
      </c>
      <c r="AV650">
        <v>256</v>
      </c>
      <c r="AW650" t="s">
        <v>74</v>
      </c>
      <c r="AX650" t="s">
        <v>74</v>
      </c>
      <c r="AY650" t="s">
        <v>74</v>
      </c>
      <c r="AZ650" t="s">
        <v>74</v>
      </c>
      <c r="BA650" t="s">
        <v>74</v>
      </c>
      <c r="BB650" t="s">
        <v>74</v>
      </c>
      <c r="BC650" t="s">
        <v>74</v>
      </c>
      <c r="BD650">
        <v>106841</v>
      </c>
      <c r="BE650" t="s">
        <v>12837</v>
      </c>
      <c r="BF650" t="str">
        <f>HYPERLINK("http://dx.doi.org/10.1016/j.quascirev.2021.106841","http://dx.doi.org/10.1016/j.quascirev.2021.106841")</f>
        <v>http://dx.doi.org/10.1016/j.quascirev.2021.106841</v>
      </c>
      <c r="BG650" t="s">
        <v>74</v>
      </c>
      <c r="BH650" t="s">
        <v>12028</v>
      </c>
      <c r="BI650">
        <v>13</v>
      </c>
      <c r="BJ650" t="s">
        <v>1685</v>
      </c>
      <c r="BK650" t="s">
        <v>101</v>
      </c>
      <c r="BL650" t="s">
        <v>1686</v>
      </c>
      <c r="BM650" t="s">
        <v>12838</v>
      </c>
      <c r="BN650" t="s">
        <v>74</v>
      </c>
      <c r="BO650" t="s">
        <v>712</v>
      </c>
      <c r="BP650" t="s">
        <v>74</v>
      </c>
      <c r="BQ650" t="s">
        <v>74</v>
      </c>
      <c r="BR650" t="s">
        <v>104</v>
      </c>
      <c r="BS650" t="s">
        <v>12839</v>
      </c>
      <c r="BT650" t="str">
        <f>HYPERLINK("https%3A%2F%2Fwww.webofscience.com%2Fwos%2Fwoscc%2Ffull-record%2FWOS:000626320300012","View Full Record in Web of Science")</f>
        <v>View Full Record in Web of Science</v>
      </c>
    </row>
    <row r="651" spans="1:72" x14ac:dyDescent="0.15">
      <c r="A651" t="s">
        <v>72</v>
      </c>
      <c r="B651" t="s">
        <v>12840</v>
      </c>
      <c r="C651" t="s">
        <v>74</v>
      </c>
      <c r="D651" t="s">
        <v>74</v>
      </c>
      <c r="E651" t="s">
        <v>74</v>
      </c>
      <c r="F651" t="s">
        <v>12841</v>
      </c>
      <c r="G651" t="s">
        <v>74</v>
      </c>
      <c r="H651" t="s">
        <v>74</v>
      </c>
      <c r="I651" t="s">
        <v>12842</v>
      </c>
      <c r="J651" t="s">
        <v>3057</v>
      </c>
      <c r="K651" t="s">
        <v>74</v>
      </c>
      <c r="L651" t="s">
        <v>74</v>
      </c>
      <c r="M651" t="s">
        <v>78</v>
      </c>
      <c r="N651" t="s">
        <v>3058</v>
      </c>
      <c r="O651" t="s">
        <v>74</v>
      </c>
      <c r="P651" t="s">
        <v>74</v>
      </c>
      <c r="Q651" t="s">
        <v>74</v>
      </c>
      <c r="R651" t="s">
        <v>74</v>
      </c>
      <c r="S651" t="s">
        <v>74</v>
      </c>
      <c r="T651" t="s">
        <v>74</v>
      </c>
      <c r="U651" t="s">
        <v>12843</v>
      </c>
      <c r="V651" t="s">
        <v>12844</v>
      </c>
      <c r="W651" t="s">
        <v>12845</v>
      </c>
      <c r="X651" t="s">
        <v>12846</v>
      </c>
      <c r="Y651" t="s">
        <v>12847</v>
      </c>
      <c r="Z651" t="s">
        <v>12848</v>
      </c>
      <c r="AA651" t="s">
        <v>12849</v>
      </c>
      <c r="AB651" t="s">
        <v>12850</v>
      </c>
      <c r="AC651" t="s">
        <v>10057</v>
      </c>
      <c r="AD651" t="s">
        <v>5166</v>
      </c>
      <c r="AE651" t="s">
        <v>74</v>
      </c>
      <c r="AF651" t="s">
        <v>74</v>
      </c>
      <c r="AG651">
        <v>17</v>
      </c>
      <c r="AH651">
        <v>3</v>
      </c>
      <c r="AI651">
        <v>3</v>
      </c>
      <c r="AJ651">
        <v>0</v>
      </c>
      <c r="AK651">
        <v>7</v>
      </c>
      <c r="AL651" t="s">
        <v>1269</v>
      </c>
      <c r="AM651" t="s">
        <v>1270</v>
      </c>
      <c r="AN651" t="s">
        <v>1271</v>
      </c>
      <c r="AO651" t="s">
        <v>3069</v>
      </c>
      <c r="AP651" t="s">
        <v>3070</v>
      </c>
      <c r="AQ651" t="s">
        <v>74</v>
      </c>
      <c r="AR651" t="s">
        <v>3071</v>
      </c>
      <c r="AS651" t="s">
        <v>3072</v>
      </c>
      <c r="AT651" t="s">
        <v>12818</v>
      </c>
      <c r="AU651">
        <v>2021</v>
      </c>
      <c r="AV651">
        <v>13</v>
      </c>
      <c r="AW651">
        <v>2</v>
      </c>
      <c r="AX651" t="s">
        <v>74</v>
      </c>
      <c r="AY651" t="s">
        <v>74</v>
      </c>
      <c r="AZ651" t="s">
        <v>74</v>
      </c>
      <c r="BA651" t="s">
        <v>74</v>
      </c>
      <c r="BB651">
        <v>609</v>
      </c>
      <c r="BC651">
        <v>615</v>
      </c>
      <c r="BD651" t="s">
        <v>74</v>
      </c>
      <c r="BE651" t="s">
        <v>12851</v>
      </c>
      <c r="BF651" t="str">
        <f>HYPERLINK("http://dx.doi.org/10.5194/essd-13-609-2021","http://dx.doi.org/10.5194/essd-13-609-2021")</f>
        <v>http://dx.doi.org/10.5194/essd-13-609-2021</v>
      </c>
      <c r="BG651" t="s">
        <v>74</v>
      </c>
      <c r="BH651" t="s">
        <v>74</v>
      </c>
      <c r="BI651">
        <v>7</v>
      </c>
      <c r="BJ651" t="s">
        <v>2907</v>
      </c>
      <c r="BK651" t="s">
        <v>101</v>
      </c>
      <c r="BL651" t="s">
        <v>2908</v>
      </c>
      <c r="BM651" t="s">
        <v>12852</v>
      </c>
      <c r="BN651" t="s">
        <v>74</v>
      </c>
      <c r="BO651" t="s">
        <v>7355</v>
      </c>
      <c r="BP651" t="s">
        <v>74</v>
      </c>
      <c r="BQ651" t="s">
        <v>74</v>
      </c>
      <c r="BR651" t="s">
        <v>104</v>
      </c>
      <c r="BS651" t="s">
        <v>12853</v>
      </c>
      <c r="BT651" t="str">
        <f>HYPERLINK("https%3A%2F%2Fwww.webofscience.com%2Fwos%2Fwoscc%2Ffull-record%2FWOS:000622997600004","View Full Record in Web of Science")</f>
        <v>View Full Record in Web of Science</v>
      </c>
    </row>
    <row r="652" spans="1:72" x14ac:dyDescent="0.15">
      <c r="A652" t="s">
        <v>72</v>
      </c>
      <c r="B652" t="s">
        <v>12854</v>
      </c>
      <c r="C652" t="s">
        <v>74</v>
      </c>
      <c r="D652" t="s">
        <v>74</v>
      </c>
      <c r="E652" t="s">
        <v>74</v>
      </c>
      <c r="F652" t="s">
        <v>12855</v>
      </c>
      <c r="G652" t="s">
        <v>74</v>
      </c>
      <c r="H652" t="s">
        <v>74</v>
      </c>
      <c r="I652" t="s">
        <v>12856</v>
      </c>
      <c r="J652" t="s">
        <v>2687</v>
      </c>
      <c r="K652" t="s">
        <v>74</v>
      </c>
      <c r="L652" t="s">
        <v>74</v>
      </c>
      <c r="M652" t="s">
        <v>78</v>
      </c>
      <c r="N652" t="s">
        <v>79</v>
      </c>
      <c r="O652" t="s">
        <v>74</v>
      </c>
      <c r="P652" t="s">
        <v>74</v>
      </c>
      <c r="Q652" t="s">
        <v>74</v>
      </c>
      <c r="R652" t="s">
        <v>74</v>
      </c>
      <c r="S652" t="s">
        <v>74</v>
      </c>
      <c r="T652" t="s">
        <v>12857</v>
      </c>
      <c r="U652" t="s">
        <v>12858</v>
      </c>
      <c r="V652" t="s">
        <v>12859</v>
      </c>
      <c r="W652" t="s">
        <v>12860</v>
      </c>
      <c r="X652" t="s">
        <v>12861</v>
      </c>
      <c r="Y652" t="s">
        <v>12862</v>
      </c>
      <c r="Z652" t="s">
        <v>12863</v>
      </c>
      <c r="AA652" t="s">
        <v>12864</v>
      </c>
      <c r="AB652" t="s">
        <v>12865</v>
      </c>
      <c r="AC652" t="s">
        <v>12866</v>
      </c>
      <c r="AD652" t="s">
        <v>12867</v>
      </c>
      <c r="AE652" t="s">
        <v>12868</v>
      </c>
      <c r="AF652" t="s">
        <v>74</v>
      </c>
      <c r="AG652">
        <v>96</v>
      </c>
      <c r="AH652">
        <v>5</v>
      </c>
      <c r="AI652">
        <v>5</v>
      </c>
      <c r="AJ652">
        <v>2</v>
      </c>
      <c r="AK652">
        <v>17</v>
      </c>
      <c r="AL652" t="s">
        <v>603</v>
      </c>
      <c r="AM652" t="s">
        <v>604</v>
      </c>
      <c r="AN652" t="s">
        <v>605</v>
      </c>
      <c r="AO652" t="s">
        <v>74</v>
      </c>
      <c r="AP652" t="s">
        <v>2699</v>
      </c>
      <c r="AQ652" t="s">
        <v>74</v>
      </c>
      <c r="AR652" t="s">
        <v>2700</v>
      </c>
      <c r="AS652" t="s">
        <v>2701</v>
      </c>
      <c r="AT652" t="s">
        <v>12818</v>
      </c>
      <c r="AU652">
        <v>2021</v>
      </c>
      <c r="AV652">
        <v>8</v>
      </c>
      <c r="AW652" t="s">
        <v>74</v>
      </c>
      <c r="AX652" t="s">
        <v>74</v>
      </c>
      <c r="AY652" t="s">
        <v>74</v>
      </c>
      <c r="AZ652" t="s">
        <v>74</v>
      </c>
      <c r="BA652" t="s">
        <v>74</v>
      </c>
      <c r="BB652" t="s">
        <v>74</v>
      </c>
      <c r="BC652" t="s">
        <v>74</v>
      </c>
      <c r="BD652" t="s">
        <v>74</v>
      </c>
      <c r="BE652" t="s">
        <v>12869</v>
      </c>
      <c r="BF652" t="str">
        <f>HYPERLINK("http://dx.doi.org/10.3389/fmars.2021.578144","http://dx.doi.org/10.3389/fmars.2021.578144")</f>
        <v>http://dx.doi.org/10.3389/fmars.2021.578144</v>
      </c>
      <c r="BG652" t="s">
        <v>74</v>
      </c>
      <c r="BH652" t="s">
        <v>74</v>
      </c>
      <c r="BI652">
        <v>14</v>
      </c>
      <c r="BJ652" t="s">
        <v>1646</v>
      </c>
      <c r="BK652" t="s">
        <v>101</v>
      </c>
      <c r="BL652" t="s">
        <v>710</v>
      </c>
      <c r="BM652" t="s">
        <v>12870</v>
      </c>
      <c r="BN652" t="s">
        <v>74</v>
      </c>
      <c r="BO652" t="s">
        <v>1319</v>
      </c>
      <c r="BP652" t="s">
        <v>74</v>
      </c>
      <c r="BQ652" t="s">
        <v>74</v>
      </c>
      <c r="BR652" t="s">
        <v>104</v>
      </c>
      <c r="BS652" t="s">
        <v>12871</v>
      </c>
      <c r="BT652" t="str">
        <f>HYPERLINK("https%3A%2F%2Fwww.webofscience.com%2Fwos%2Fwoscc%2Ffull-record%2FWOS:000625189100001","View Full Record in Web of Science")</f>
        <v>View Full Record in Web of Science</v>
      </c>
    </row>
    <row r="653" spans="1:72" x14ac:dyDescent="0.15">
      <c r="A653" t="s">
        <v>72</v>
      </c>
      <c r="B653" t="s">
        <v>12872</v>
      </c>
      <c r="C653" t="s">
        <v>74</v>
      </c>
      <c r="D653" t="s">
        <v>74</v>
      </c>
      <c r="E653" t="s">
        <v>74</v>
      </c>
      <c r="F653" t="s">
        <v>12873</v>
      </c>
      <c r="G653" t="s">
        <v>74</v>
      </c>
      <c r="H653" t="s">
        <v>74</v>
      </c>
      <c r="I653" t="s">
        <v>12874</v>
      </c>
      <c r="J653" t="s">
        <v>7633</v>
      </c>
      <c r="K653" t="s">
        <v>74</v>
      </c>
      <c r="L653" t="s">
        <v>74</v>
      </c>
      <c r="M653" t="s">
        <v>78</v>
      </c>
      <c r="N653" t="s">
        <v>79</v>
      </c>
      <c r="O653" t="s">
        <v>74</v>
      </c>
      <c r="P653" t="s">
        <v>74</v>
      </c>
      <c r="Q653" t="s">
        <v>74</v>
      </c>
      <c r="R653" t="s">
        <v>74</v>
      </c>
      <c r="S653" t="s">
        <v>74</v>
      </c>
      <c r="T653" t="s">
        <v>12875</v>
      </c>
      <c r="U653" t="s">
        <v>12876</v>
      </c>
      <c r="V653" t="s">
        <v>12877</v>
      </c>
      <c r="W653" t="s">
        <v>12878</v>
      </c>
      <c r="X653" t="s">
        <v>12879</v>
      </c>
      <c r="Y653" t="s">
        <v>12880</v>
      </c>
      <c r="Z653" t="s">
        <v>12881</v>
      </c>
      <c r="AA653" t="s">
        <v>12882</v>
      </c>
      <c r="AB653" t="s">
        <v>12883</v>
      </c>
      <c r="AC653" t="s">
        <v>12884</v>
      </c>
      <c r="AD653" t="s">
        <v>12885</v>
      </c>
      <c r="AE653" t="s">
        <v>12886</v>
      </c>
      <c r="AF653" t="s">
        <v>74</v>
      </c>
      <c r="AG653">
        <v>58</v>
      </c>
      <c r="AH653">
        <v>16</v>
      </c>
      <c r="AI653">
        <v>17</v>
      </c>
      <c r="AJ653">
        <v>1</v>
      </c>
      <c r="AK653">
        <v>10</v>
      </c>
      <c r="AL653" t="s">
        <v>7646</v>
      </c>
      <c r="AM653" t="s">
        <v>390</v>
      </c>
      <c r="AN653" t="s">
        <v>7647</v>
      </c>
      <c r="AO653" t="s">
        <v>7648</v>
      </c>
      <c r="AP653" t="s">
        <v>74</v>
      </c>
      <c r="AQ653" t="s">
        <v>74</v>
      </c>
      <c r="AR653" t="s">
        <v>7650</v>
      </c>
      <c r="AS653" t="s">
        <v>7651</v>
      </c>
      <c r="AT653" t="s">
        <v>12818</v>
      </c>
      <c r="AU653">
        <v>2021</v>
      </c>
      <c r="AV653">
        <v>118</v>
      </c>
      <c r="AW653">
        <v>8</v>
      </c>
      <c r="AX653" t="s">
        <v>74</v>
      </c>
      <c r="AY653" t="s">
        <v>74</v>
      </c>
      <c r="AZ653" t="s">
        <v>74</v>
      </c>
      <c r="BA653" t="s">
        <v>74</v>
      </c>
      <c r="BB653" t="s">
        <v>74</v>
      </c>
      <c r="BC653" t="s">
        <v>74</v>
      </c>
      <c r="BD653" t="s">
        <v>12887</v>
      </c>
      <c r="BE653" t="s">
        <v>12888</v>
      </c>
      <c r="BF653" t="str">
        <f>HYPERLINK("http://dx.doi.org/10.1073/pnas.2017750118","http://dx.doi.org/10.1073/pnas.2017750118")</f>
        <v>http://dx.doi.org/10.1073/pnas.2017750118</v>
      </c>
      <c r="BG653" t="s">
        <v>74</v>
      </c>
      <c r="BH653" t="s">
        <v>74</v>
      </c>
      <c r="BI653">
        <v>7</v>
      </c>
      <c r="BJ653" t="s">
        <v>555</v>
      </c>
      <c r="BK653" t="s">
        <v>101</v>
      </c>
      <c r="BL653" t="s">
        <v>556</v>
      </c>
      <c r="BM653" t="s">
        <v>12889</v>
      </c>
      <c r="BN653">
        <v>33608458</v>
      </c>
      <c r="BO653" t="s">
        <v>1492</v>
      </c>
      <c r="BP653" t="s">
        <v>74</v>
      </c>
      <c r="BQ653" t="s">
        <v>74</v>
      </c>
      <c r="BR653" t="s">
        <v>104</v>
      </c>
      <c r="BS653" t="s">
        <v>12890</v>
      </c>
      <c r="BT653" t="str">
        <f>HYPERLINK("https%3A%2F%2Fwww.webofscience.com%2Fwos%2Fwoscc%2Ffull-record%2FWOS:000621797000042","View Full Record in Web of Science")</f>
        <v>View Full Record in Web of Science</v>
      </c>
    </row>
    <row r="654" spans="1:72" x14ac:dyDescent="0.15">
      <c r="A654" t="s">
        <v>72</v>
      </c>
      <c r="B654" t="s">
        <v>12891</v>
      </c>
      <c r="C654" t="s">
        <v>74</v>
      </c>
      <c r="D654" t="s">
        <v>74</v>
      </c>
      <c r="E654" t="s">
        <v>74</v>
      </c>
      <c r="F654" t="s">
        <v>12892</v>
      </c>
      <c r="G654" t="s">
        <v>74</v>
      </c>
      <c r="H654" t="s">
        <v>74</v>
      </c>
      <c r="I654" t="s">
        <v>12893</v>
      </c>
      <c r="J654" t="s">
        <v>2868</v>
      </c>
      <c r="K654" t="s">
        <v>74</v>
      </c>
      <c r="L654" t="s">
        <v>74</v>
      </c>
      <c r="M654" t="s">
        <v>78</v>
      </c>
      <c r="N654" t="s">
        <v>79</v>
      </c>
      <c r="O654" t="s">
        <v>74</v>
      </c>
      <c r="P654" t="s">
        <v>74</v>
      </c>
      <c r="Q654" t="s">
        <v>74</v>
      </c>
      <c r="R654" t="s">
        <v>74</v>
      </c>
      <c r="S654" t="s">
        <v>74</v>
      </c>
      <c r="T654" t="s">
        <v>12894</v>
      </c>
      <c r="U654" t="s">
        <v>12895</v>
      </c>
      <c r="V654" t="s">
        <v>12896</v>
      </c>
      <c r="W654" t="s">
        <v>12897</v>
      </c>
      <c r="X654" t="s">
        <v>12898</v>
      </c>
      <c r="Y654" t="s">
        <v>12899</v>
      </c>
      <c r="Z654" t="s">
        <v>12900</v>
      </c>
      <c r="AA654" t="s">
        <v>12901</v>
      </c>
      <c r="AB654" t="s">
        <v>12902</v>
      </c>
      <c r="AC654" t="s">
        <v>12903</v>
      </c>
      <c r="AD654" t="s">
        <v>12904</v>
      </c>
      <c r="AE654" t="s">
        <v>12905</v>
      </c>
      <c r="AF654" t="s">
        <v>74</v>
      </c>
      <c r="AG654">
        <v>77</v>
      </c>
      <c r="AH654">
        <v>12</v>
      </c>
      <c r="AI654">
        <v>12</v>
      </c>
      <c r="AJ654">
        <v>4</v>
      </c>
      <c r="AK654">
        <v>26</v>
      </c>
      <c r="AL654" t="s">
        <v>603</v>
      </c>
      <c r="AM654" t="s">
        <v>604</v>
      </c>
      <c r="AN654" t="s">
        <v>605</v>
      </c>
      <c r="AO654" t="s">
        <v>74</v>
      </c>
      <c r="AP654" t="s">
        <v>2881</v>
      </c>
      <c r="AQ654" t="s">
        <v>74</v>
      </c>
      <c r="AR654" t="s">
        <v>2882</v>
      </c>
      <c r="AS654" t="s">
        <v>2883</v>
      </c>
      <c r="AT654" t="s">
        <v>12818</v>
      </c>
      <c r="AU654">
        <v>2021</v>
      </c>
      <c r="AV654">
        <v>12</v>
      </c>
      <c r="AW654" t="s">
        <v>74</v>
      </c>
      <c r="AX654" t="s">
        <v>74</v>
      </c>
      <c r="AY654" t="s">
        <v>74</v>
      </c>
      <c r="AZ654" t="s">
        <v>74</v>
      </c>
      <c r="BA654" t="s">
        <v>74</v>
      </c>
      <c r="BB654" t="s">
        <v>74</v>
      </c>
      <c r="BC654" t="s">
        <v>74</v>
      </c>
      <c r="BD654">
        <v>624071</v>
      </c>
      <c r="BE654" t="s">
        <v>12906</v>
      </c>
      <c r="BF654" t="str">
        <f>HYPERLINK("http://dx.doi.org/10.3389/fmicb.2021.624071","http://dx.doi.org/10.3389/fmicb.2021.624071")</f>
        <v>http://dx.doi.org/10.3389/fmicb.2021.624071</v>
      </c>
      <c r="BG654" t="s">
        <v>74</v>
      </c>
      <c r="BH654" t="s">
        <v>74</v>
      </c>
      <c r="BI654">
        <v>18</v>
      </c>
      <c r="BJ654" t="s">
        <v>396</v>
      </c>
      <c r="BK654" t="s">
        <v>101</v>
      </c>
      <c r="BL654" t="s">
        <v>396</v>
      </c>
      <c r="BM654" t="s">
        <v>12907</v>
      </c>
      <c r="BN654">
        <v>33732221</v>
      </c>
      <c r="BO654" t="s">
        <v>558</v>
      </c>
      <c r="BP654" t="s">
        <v>74</v>
      </c>
      <c r="BQ654" t="s">
        <v>74</v>
      </c>
      <c r="BR654" t="s">
        <v>104</v>
      </c>
      <c r="BS654" t="s">
        <v>12908</v>
      </c>
      <c r="BT654" t="str">
        <f>HYPERLINK("https%3A%2F%2Fwww.webofscience.com%2Fwos%2Fwoscc%2Ffull-record%2FWOS:000626285200001","View Full Record in Web of Science")</f>
        <v>View Full Record in Web of Science</v>
      </c>
    </row>
    <row r="655" spans="1:72" x14ac:dyDescent="0.15">
      <c r="A655" t="s">
        <v>72</v>
      </c>
      <c r="B655" t="s">
        <v>12909</v>
      </c>
      <c r="C655" t="s">
        <v>74</v>
      </c>
      <c r="D655" t="s">
        <v>74</v>
      </c>
      <c r="E655" t="s">
        <v>74</v>
      </c>
      <c r="F655" t="s">
        <v>12910</v>
      </c>
      <c r="G655" t="s">
        <v>74</v>
      </c>
      <c r="H655" t="s">
        <v>74</v>
      </c>
      <c r="I655" t="s">
        <v>12911</v>
      </c>
      <c r="J655" t="s">
        <v>1692</v>
      </c>
      <c r="K655" t="s">
        <v>74</v>
      </c>
      <c r="L655" t="s">
        <v>74</v>
      </c>
      <c r="M655" t="s">
        <v>78</v>
      </c>
      <c r="N655" t="s">
        <v>79</v>
      </c>
      <c r="O655" t="s">
        <v>74</v>
      </c>
      <c r="P655" t="s">
        <v>74</v>
      </c>
      <c r="Q655" t="s">
        <v>74</v>
      </c>
      <c r="R655" t="s">
        <v>74</v>
      </c>
      <c r="S655" t="s">
        <v>74</v>
      </c>
      <c r="T655" t="s">
        <v>74</v>
      </c>
      <c r="U655" t="s">
        <v>74</v>
      </c>
      <c r="V655" t="s">
        <v>12912</v>
      </c>
      <c r="W655" t="s">
        <v>12913</v>
      </c>
      <c r="X655" t="s">
        <v>12914</v>
      </c>
      <c r="Y655" t="s">
        <v>12915</v>
      </c>
      <c r="Z655" t="s">
        <v>12916</v>
      </c>
      <c r="AA655" t="s">
        <v>12917</v>
      </c>
      <c r="AB655" t="s">
        <v>12918</v>
      </c>
      <c r="AC655" t="s">
        <v>12919</v>
      </c>
      <c r="AD655" t="s">
        <v>12920</v>
      </c>
      <c r="AE655" t="s">
        <v>12921</v>
      </c>
      <c r="AF655" t="s">
        <v>74</v>
      </c>
      <c r="AG655">
        <v>70</v>
      </c>
      <c r="AH655">
        <v>17</v>
      </c>
      <c r="AI655">
        <v>18</v>
      </c>
      <c r="AJ655">
        <v>3</v>
      </c>
      <c r="AK655">
        <v>12</v>
      </c>
      <c r="AL655" t="s">
        <v>3620</v>
      </c>
      <c r="AM655" t="s">
        <v>862</v>
      </c>
      <c r="AN655" t="s">
        <v>863</v>
      </c>
      <c r="AO655" t="s">
        <v>1704</v>
      </c>
      <c r="AP655" t="s">
        <v>74</v>
      </c>
      <c r="AQ655" t="s">
        <v>74</v>
      </c>
      <c r="AR655" t="s">
        <v>1705</v>
      </c>
      <c r="AS655" t="s">
        <v>1706</v>
      </c>
      <c r="AT655" t="s">
        <v>12818</v>
      </c>
      <c r="AU655">
        <v>2021</v>
      </c>
      <c r="AV655">
        <v>12</v>
      </c>
      <c r="AW655">
        <v>1</v>
      </c>
      <c r="AX655" t="s">
        <v>74</v>
      </c>
      <c r="AY655" t="s">
        <v>74</v>
      </c>
      <c r="AZ655" t="s">
        <v>74</v>
      </c>
      <c r="BA655" t="s">
        <v>74</v>
      </c>
      <c r="BB655" t="s">
        <v>74</v>
      </c>
      <c r="BC655" t="s">
        <v>74</v>
      </c>
      <c r="BD655">
        <v>1133</v>
      </c>
      <c r="BE655" t="s">
        <v>12922</v>
      </c>
      <c r="BF655" t="str">
        <f>HYPERLINK("http://dx.doi.org/10.1038/s41467-021-21321-1","http://dx.doi.org/10.1038/s41467-021-21321-1")</f>
        <v>http://dx.doi.org/10.1038/s41467-021-21321-1</v>
      </c>
      <c r="BG655" t="s">
        <v>74</v>
      </c>
      <c r="BH655" t="s">
        <v>74</v>
      </c>
      <c r="BI655">
        <v>10</v>
      </c>
      <c r="BJ655" t="s">
        <v>555</v>
      </c>
      <c r="BK655" t="s">
        <v>101</v>
      </c>
      <c r="BL655" t="s">
        <v>556</v>
      </c>
      <c r="BM655" t="s">
        <v>12923</v>
      </c>
      <c r="BN655">
        <v>33623011</v>
      </c>
      <c r="BO655" t="s">
        <v>5570</v>
      </c>
      <c r="BP655" t="s">
        <v>74</v>
      </c>
      <c r="BQ655" t="s">
        <v>74</v>
      </c>
      <c r="BR655" t="s">
        <v>104</v>
      </c>
      <c r="BS655" t="s">
        <v>12924</v>
      </c>
      <c r="BT655" t="str">
        <f>HYPERLINK("https%3A%2F%2Fwww.webofscience.com%2Fwos%2Fwoscc%2Ffull-record%2FWOS:000623784900001","View Full Record in Web of Science")</f>
        <v>View Full Record in Web of Science</v>
      </c>
    </row>
    <row r="656" spans="1:72" x14ac:dyDescent="0.15">
      <c r="A656" t="s">
        <v>72</v>
      </c>
      <c r="B656" t="s">
        <v>12925</v>
      </c>
      <c r="C656" t="s">
        <v>74</v>
      </c>
      <c r="D656" t="s">
        <v>74</v>
      </c>
      <c r="E656" t="s">
        <v>74</v>
      </c>
      <c r="F656" t="s">
        <v>12926</v>
      </c>
      <c r="G656" t="s">
        <v>74</v>
      </c>
      <c r="H656" t="s">
        <v>74</v>
      </c>
      <c r="I656" t="s">
        <v>12927</v>
      </c>
      <c r="J656" t="s">
        <v>9855</v>
      </c>
      <c r="K656" t="s">
        <v>74</v>
      </c>
      <c r="L656" t="s">
        <v>74</v>
      </c>
      <c r="M656" t="s">
        <v>78</v>
      </c>
      <c r="N656" t="s">
        <v>79</v>
      </c>
      <c r="O656" t="s">
        <v>74</v>
      </c>
      <c r="P656" t="s">
        <v>74</v>
      </c>
      <c r="Q656" t="s">
        <v>74</v>
      </c>
      <c r="R656" t="s">
        <v>74</v>
      </c>
      <c r="S656" t="s">
        <v>74</v>
      </c>
      <c r="T656" t="s">
        <v>12928</v>
      </c>
      <c r="U656" t="s">
        <v>12929</v>
      </c>
      <c r="V656" t="s">
        <v>12930</v>
      </c>
      <c r="W656" t="s">
        <v>12931</v>
      </c>
      <c r="X656" t="s">
        <v>9859</v>
      </c>
      <c r="Y656" t="s">
        <v>12932</v>
      </c>
      <c r="Z656" t="s">
        <v>12933</v>
      </c>
      <c r="AA656" t="s">
        <v>74</v>
      </c>
      <c r="AB656" t="s">
        <v>74</v>
      </c>
      <c r="AC656" t="s">
        <v>12934</v>
      </c>
      <c r="AD656" t="s">
        <v>6780</v>
      </c>
      <c r="AE656" t="s">
        <v>12935</v>
      </c>
      <c r="AF656" t="s">
        <v>74</v>
      </c>
      <c r="AG656">
        <v>49</v>
      </c>
      <c r="AH656">
        <v>16</v>
      </c>
      <c r="AI656">
        <v>17</v>
      </c>
      <c r="AJ656">
        <v>3</v>
      </c>
      <c r="AK656">
        <v>40</v>
      </c>
      <c r="AL656" t="s">
        <v>9867</v>
      </c>
      <c r="AM656" t="s">
        <v>9868</v>
      </c>
      <c r="AN656" t="s">
        <v>9869</v>
      </c>
      <c r="AO656" t="s">
        <v>9870</v>
      </c>
      <c r="AP656" t="s">
        <v>74</v>
      </c>
      <c r="AQ656" t="s">
        <v>74</v>
      </c>
      <c r="AR656" t="s">
        <v>9871</v>
      </c>
      <c r="AS656" t="s">
        <v>9872</v>
      </c>
      <c r="AT656" t="s">
        <v>2859</v>
      </c>
      <c r="AU656">
        <v>2021</v>
      </c>
      <c r="AV656">
        <v>12</v>
      </c>
      <c r="AW656">
        <v>4</v>
      </c>
      <c r="AX656" t="s">
        <v>74</v>
      </c>
      <c r="AY656" t="s">
        <v>74</v>
      </c>
      <c r="AZ656" t="s">
        <v>74</v>
      </c>
      <c r="BA656" t="s">
        <v>74</v>
      </c>
      <c r="BB656">
        <v>14</v>
      </c>
      <c r="BC656">
        <v>20</v>
      </c>
      <c r="BD656" t="s">
        <v>74</v>
      </c>
      <c r="BE656" t="s">
        <v>12936</v>
      </c>
      <c r="BF656" t="str">
        <f>HYPERLINK("http://dx.doi.org/10.1016/j.apr.2021.02.007","http://dx.doi.org/10.1016/j.apr.2021.02.007")</f>
        <v>http://dx.doi.org/10.1016/j.apr.2021.02.007</v>
      </c>
      <c r="BG656" t="s">
        <v>74</v>
      </c>
      <c r="BH656" t="s">
        <v>12028</v>
      </c>
      <c r="BI656">
        <v>7</v>
      </c>
      <c r="BJ656" t="s">
        <v>224</v>
      </c>
      <c r="BK656" t="s">
        <v>101</v>
      </c>
      <c r="BL656" t="s">
        <v>225</v>
      </c>
      <c r="BM656" t="s">
        <v>12937</v>
      </c>
      <c r="BN656" t="s">
        <v>74</v>
      </c>
      <c r="BO656" t="s">
        <v>712</v>
      </c>
      <c r="BP656" t="s">
        <v>74</v>
      </c>
      <c r="BQ656" t="s">
        <v>74</v>
      </c>
      <c r="BR656" t="s">
        <v>104</v>
      </c>
      <c r="BS656" t="s">
        <v>12938</v>
      </c>
      <c r="BT656" t="str">
        <f>HYPERLINK("https%3A%2F%2Fwww.webofscience.com%2Fwos%2Fwoscc%2Ffull-record%2FWOS:000635598900002","View Full Record in Web of Science")</f>
        <v>View Full Record in Web of Science</v>
      </c>
    </row>
    <row r="657" spans="1:72" x14ac:dyDescent="0.15">
      <c r="A657" t="s">
        <v>72</v>
      </c>
      <c r="B657" t="s">
        <v>12939</v>
      </c>
      <c r="C657" t="s">
        <v>74</v>
      </c>
      <c r="D657" t="s">
        <v>74</v>
      </c>
      <c r="E657" t="s">
        <v>74</v>
      </c>
      <c r="F657" t="s">
        <v>12940</v>
      </c>
      <c r="G657" t="s">
        <v>74</v>
      </c>
      <c r="H657" t="s">
        <v>74</v>
      </c>
      <c r="I657" t="s">
        <v>12941</v>
      </c>
      <c r="J657" t="s">
        <v>12942</v>
      </c>
      <c r="K657" t="s">
        <v>74</v>
      </c>
      <c r="L657" t="s">
        <v>74</v>
      </c>
      <c r="M657" t="s">
        <v>78</v>
      </c>
      <c r="N657" t="s">
        <v>79</v>
      </c>
      <c r="O657" t="s">
        <v>74</v>
      </c>
      <c r="P657" t="s">
        <v>74</v>
      </c>
      <c r="Q657" t="s">
        <v>74</v>
      </c>
      <c r="R657" t="s">
        <v>74</v>
      </c>
      <c r="S657" t="s">
        <v>74</v>
      </c>
      <c r="T657" t="s">
        <v>12943</v>
      </c>
      <c r="U657" t="s">
        <v>74</v>
      </c>
      <c r="V657" t="s">
        <v>12944</v>
      </c>
      <c r="W657" t="s">
        <v>12945</v>
      </c>
      <c r="X657" t="s">
        <v>12946</v>
      </c>
      <c r="Y657" t="s">
        <v>12947</v>
      </c>
      <c r="Z657" t="s">
        <v>12948</v>
      </c>
      <c r="AA657" t="s">
        <v>74</v>
      </c>
      <c r="AB657" t="s">
        <v>12949</v>
      </c>
      <c r="AC657" t="s">
        <v>12950</v>
      </c>
      <c r="AD657" t="s">
        <v>12951</v>
      </c>
      <c r="AE657" t="s">
        <v>12952</v>
      </c>
      <c r="AF657" t="s">
        <v>74</v>
      </c>
      <c r="AG657">
        <v>59</v>
      </c>
      <c r="AH657">
        <v>6</v>
      </c>
      <c r="AI657">
        <v>6</v>
      </c>
      <c r="AJ657">
        <v>2</v>
      </c>
      <c r="AK657">
        <v>12</v>
      </c>
      <c r="AL657" t="s">
        <v>8038</v>
      </c>
      <c r="AM657" t="s">
        <v>8039</v>
      </c>
      <c r="AN657" t="s">
        <v>8040</v>
      </c>
      <c r="AO657" t="s">
        <v>12953</v>
      </c>
      <c r="AP657" t="s">
        <v>12954</v>
      </c>
      <c r="AQ657" t="s">
        <v>74</v>
      </c>
      <c r="AR657" t="s">
        <v>12955</v>
      </c>
      <c r="AS657" t="s">
        <v>12956</v>
      </c>
      <c r="AT657" t="s">
        <v>1809</v>
      </c>
      <c r="AU657">
        <v>2021</v>
      </c>
      <c r="AV657">
        <v>213</v>
      </c>
      <c r="AW657">
        <v>1</v>
      </c>
      <c r="AX657" t="s">
        <v>74</v>
      </c>
      <c r="AY657" t="s">
        <v>74</v>
      </c>
      <c r="AZ657" t="s">
        <v>74</v>
      </c>
      <c r="BA657" t="s">
        <v>74</v>
      </c>
      <c r="BB657" t="s">
        <v>74</v>
      </c>
      <c r="BC657" t="s">
        <v>74</v>
      </c>
      <c r="BD657">
        <v>107705</v>
      </c>
      <c r="BE657" t="s">
        <v>12957</v>
      </c>
      <c r="BF657" t="str">
        <f>HYPERLINK("http://dx.doi.org/10.1016/j.jsb.2021.107705","http://dx.doi.org/10.1016/j.jsb.2021.107705")</f>
        <v>http://dx.doi.org/10.1016/j.jsb.2021.107705</v>
      </c>
      <c r="BG657" t="s">
        <v>74</v>
      </c>
      <c r="BH657" t="s">
        <v>12028</v>
      </c>
      <c r="BI657">
        <v>11</v>
      </c>
      <c r="BJ657" t="s">
        <v>12958</v>
      </c>
      <c r="BK657" t="s">
        <v>101</v>
      </c>
      <c r="BL657" t="s">
        <v>12958</v>
      </c>
      <c r="BM657" t="s">
        <v>12959</v>
      </c>
      <c r="BN657">
        <v>33577904</v>
      </c>
      <c r="BO657" t="s">
        <v>712</v>
      </c>
      <c r="BP657" t="s">
        <v>74</v>
      </c>
      <c r="BQ657" t="s">
        <v>74</v>
      </c>
      <c r="BR657" t="s">
        <v>104</v>
      </c>
      <c r="BS657" t="s">
        <v>12960</v>
      </c>
      <c r="BT657" t="str">
        <f>HYPERLINK("https%3A%2F%2Fwww.webofscience.com%2Fwos%2Fwoscc%2Ffull-record%2FWOS:000629940300028","View Full Record in Web of Science")</f>
        <v>View Full Record in Web of Science</v>
      </c>
    </row>
    <row r="658" spans="1:72" x14ac:dyDescent="0.15">
      <c r="A658" t="s">
        <v>72</v>
      </c>
      <c r="B658" t="s">
        <v>12961</v>
      </c>
      <c r="C658" t="s">
        <v>74</v>
      </c>
      <c r="D658" t="s">
        <v>74</v>
      </c>
      <c r="E658" t="s">
        <v>74</v>
      </c>
      <c r="F658" t="s">
        <v>12962</v>
      </c>
      <c r="G658" t="s">
        <v>74</v>
      </c>
      <c r="H658" t="s">
        <v>74</v>
      </c>
      <c r="I658" t="s">
        <v>12963</v>
      </c>
      <c r="J658" t="s">
        <v>2021</v>
      </c>
      <c r="K658" t="s">
        <v>74</v>
      </c>
      <c r="L658" t="s">
        <v>74</v>
      </c>
      <c r="M658" t="s">
        <v>78</v>
      </c>
      <c r="N658" t="s">
        <v>79</v>
      </c>
      <c r="O658" t="s">
        <v>74</v>
      </c>
      <c r="P658" t="s">
        <v>74</v>
      </c>
      <c r="Q658" t="s">
        <v>74</v>
      </c>
      <c r="R658" t="s">
        <v>74</v>
      </c>
      <c r="S658" t="s">
        <v>74</v>
      </c>
      <c r="T658" t="s">
        <v>74</v>
      </c>
      <c r="U658" t="s">
        <v>74</v>
      </c>
      <c r="V658" t="s">
        <v>12964</v>
      </c>
      <c r="W658" t="s">
        <v>12965</v>
      </c>
      <c r="X658" t="s">
        <v>12966</v>
      </c>
      <c r="Y658" t="s">
        <v>12967</v>
      </c>
      <c r="Z658" t="s">
        <v>12968</v>
      </c>
      <c r="AA658" t="s">
        <v>12969</v>
      </c>
      <c r="AB658" t="s">
        <v>12970</v>
      </c>
      <c r="AC658" t="s">
        <v>12971</v>
      </c>
      <c r="AD658" t="s">
        <v>12972</v>
      </c>
      <c r="AE658" t="s">
        <v>12973</v>
      </c>
      <c r="AF658" t="s">
        <v>74</v>
      </c>
      <c r="AG658">
        <v>63</v>
      </c>
      <c r="AH658">
        <v>3</v>
      </c>
      <c r="AI658">
        <v>4</v>
      </c>
      <c r="AJ658">
        <v>0</v>
      </c>
      <c r="AK658">
        <v>19</v>
      </c>
      <c r="AL658" t="s">
        <v>861</v>
      </c>
      <c r="AM658" t="s">
        <v>862</v>
      </c>
      <c r="AN658" t="s">
        <v>863</v>
      </c>
      <c r="AO658" t="s">
        <v>2033</v>
      </c>
      <c r="AP658" t="s">
        <v>74</v>
      </c>
      <c r="AQ658" t="s">
        <v>74</v>
      </c>
      <c r="AR658" t="s">
        <v>2034</v>
      </c>
      <c r="AS658" t="s">
        <v>2035</v>
      </c>
      <c r="AT658" t="s">
        <v>12974</v>
      </c>
      <c r="AU658">
        <v>2021</v>
      </c>
      <c r="AV658">
        <v>11</v>
      </c>
      <c r="AW658">
        <v>1</v>
      </c>
      <c r="AX658" t="s">
        <v>74</v>
      </c>
      <c r="AY658" t="s">
        <v>74</v>
      </c>
      <c r="AZ658" t="s">
        <v>74</v>
      </c>
      <c r="BA658" t="s">
        <v>74</v>
      </c>
      <c r="BB658" t="s">
        <v>74</v>
      </c>
      <c r="BC658" t="s">
        <v>74</v>
      </c>
      <c r="BD658">
        <v>4288</v>
      </c>
      <c r="BE658" t="s">
        <v>12975</v>
      </c>
      <c r="BF658" t="str">
        <f>HYPERLINK("http://dx.doi.org/10.1038/s41598-021-81954-6","http://dx.doi.org/10.1038/s41598-021-81954-6")</f>
        <v>http://dx.doi.org/10.1038/s41598-021-81954-6</v>
      </c>
      <c r="BG658" t="s">
        <v>74</v>
      </c>
      <c r="BH658" t="s">
        <v>74</v>
      </c>
      <c r="BI658">
        <v>11</v>
      </c>
      <c r="BJ658" t="s">
        <v>555</v>
      </c>
      <c r="BK658" t="s">
        <v>101</v>
      </c>
      <c r="BL658" t="s">
        <v>556</v>
      </c>
      <c r="BM658" t="s">
        <v>12976</v>
      </c>
      <c r="BN658">
        <v>33619291</v>
      </c>
      <c r="BO658" t="s">
        <v>558</v>
      </c>
      <c r="BP658" t="s">
        <v>74</v>
      </c>
      <c r="BQ658" t="s">
        <v>74</v>
      </c>
      <c r="BR658" t="s">
        <v>104</v>
      </c>
      <c r="BS658" t="s">
        <v>12977</v>
      </c>
      <c r="BT658" t="str">
        <f>HYPERLINK("https%3A%2F%2Fwww.webofscience.com%2Fwos%2Fwoscc%2Ffull-record%2FWOS:000621911100002","View Full Record in Web of Science")</f>
        <v>View Full Record in Web of Science</v>
      </c>
    </row>
    <row r="659" spans="1:72" x14ac:dyDescent="0.15">
      <c r="A659" t="s">
        <v>72</v>
      </c>
      <c r="B659" t="s">
        <v>12978</v>
      </c>
      <c r="C659" t="s">
        <v>74</v>
      </c>
      <c r="D659" t="s">
        <v>74</v>
      </c>
      <c r="E659" t="s">
        <v>74</v>
      </c>
      <c r="F659" t="s">
        <v>12979</v>
      </c>
      <c r="G659" t="s">
        <v>74</v>
      </c>
      <c r="H659" t="s">
        <v>74</v>
      </c>
      <c r="I659" t="s">
        <v>12980</v>
      </c>
      <c r="J659" t="s">
        <v>12981</v>
      </c>
      <c r="K659" t="s">
        <v>74</v>
      </c>
      <c r="L659" t="s">
        <v>74</v>
      </c>
      <c r="M659" t="s">
        <v>78</v>
      </c>
      <c r="N659" t="s">
        <v>79</v>
      </c>
      <c r="O659" t="s">
        <v>74</v>
      </c>
      <c r="P659" t="s">
        <v>74</v>
      </c>
      <c r="Q659" t="s">
        <v>74</v>
      </c>
      <c r="R659" t="s">
        <v>74</v>
      </c>
      <c r="S659" t="s">
        <v>74</v>
      </c>
      <c r="T659" t="s">
        <v>12982</v>
      </c>
      <c r="U659" t="s">
        <v>74</v>
      </c>
      <c r="V659" t="s">
        <v>12983</v>
      </c>
      <c r="W659" t="s">
        <v>12984</v>
      </c>
      <c r="X659" t="s">
        <v>12985</v>
      </c>
      <c r="Y659" t="s">
        <v>12986</v>
      </c>
      <c r="Z659" t="s">
        <v>12987</v>
      </c>
      <c r="AA659" t="s">
        <v>12988</v>
      </c>
      <c r="AB659" t="s">
        <v>12989</v>
      </c>
      <c r="AC659" t="s">
        <v>12990</v>
      </c>
      <c r="AD659" t="s">
        <v>12991</v>
      </c>
      <c r="AE659" t="s">
        <v>12992</v>
      </c>
      <c r="AF659" t="s">
        <v>74</v>
      </c>
      <c r="AG659">
        <v>46</v>
      </c>
      <c r="AH659">
        <v>4</v>
      </c>
      <c r="AI659">
        <v>5</v>
      </c>
      <c r="AJ659">
        <v>1</v>
      </c>
      <c r="AK659">
        <v>23</v>
      </c>
      <c r="AL659" t="s">
        <v>890</v>
      </c>
      <c r="AM659" t="s">
        <v>891</v>
      </c>
      <c r="AN659" t="s">
        <v>892</v>
      </c>
      <c r="AO659" t="s">
        <v>12993</v>
      </c>
      <c r="AP659" t="s">
        <v>12994</v>
      </c>
      <c r="AQ659" t="s">
        <v>74</v>
      </c>
      <c r="AR659" t="s">
        <v>12995</v>
      </c>
      <c r="AS659" t="s">
        <v>12996</v>
      </c>
      <c r="AT659" t="s">
        <v>5649</v>
      </c>
      <c r="AU659">
        <v>2021</v>
      </c>
      <c r="AV659">
        <v>67</v>
      </c>
      <c r="AW659">
        <v>7</v>
      </c>
      <c r="AX659" t="s">
        <v>74</v>
      </c>
      <c r="AY659" t="s">
        <v>74</v>
      </c>
      <c r="AZ659" t="s">
        <v>74</v>
      </c>
      <c r="BA659" t="s">
        <v>74</v>
      </c>
      <c r="BB659">
        <v>2120</v>
      </c>
      <c r="BC659">
        <v>2139</v>
      </c>
      <c r="BD659" t="s">
        <v>74</v>
      </c>
      <c r="BE659" t="s">
        <v>12997</v>
      </c>
      <c r="BF659" t="str">
        <f>HYPERLINK("http://dx.doi.org/10.1016/j.asr.2021.01.016","http://dx.doi.org/10.1016/j.asr.2021.01.016")</f>
        <v>http://dx.doi.org/10.1016/j.asr.2021.01.016</v>
      </c>
      <c r="BG659" t="s">
        <v>74</v>
      </c>
      <c r="BH659" t="s">
        <v>12028</v>
      </c>
      <c r="BI659">
        <v>20</v>
      </c>
      <c r="BJ659" t="s">
        <v>12998</v>
      </c>
      <c r="BK659" t="s">
        <v>101</v>
      </c>
      <c r="BL659" t="s">
        <v>12999</v>
      </c>
      <c r="BM659" t="s">
        <v>13000</v>
      </c>
      <c r="BN659" t="s">
        <v>74</v>
      </c>
      <c r="BO659" t="s">
        <v>74</v>
      </c>
      <c r="BP659" t="s">
        <v>74</v>
      </c>
      <c r="BQ659" t="s">
        <v>74</v>
      </c>
      <c r="BR659" t="s">
        <v>104</v>
      </c>
      <c r="BS659" t="s">
        <v>13001</v>
      </c>
      <c r="BT659" t="str">
        <f>HYPERLINK("https%3A%2F%2Fwww.webofscience.com%2Fwos%2Fwoscc%2Ffull-record%2FWOS:000621310300006","View Full Record in Web of Science")</f>
        <v>View Full Record in Web of Science</v>
      </c>
    </row>
    <row r="660" spans="1:72" x14ac:dyDescent="0.15">
      <c r="A660" t="s">
        <v>72</v>
      </c>
      <c r="B660" t="s">
        <v>13002</v>
      </c>
      <c r="C660" t="s">
        <v>74</v>
      </c>
      <c r="D660" t="s">
        <v>74</v>
      </c>
      <c r="E660" t="s">
        <v>74</v>
      </c>
      <c r="F660" t="s">
        <v>13003</v>
      </c>
      <c r="G660" t="s">
        <v>74</v>
      </c>
      <c r="H660" t="s">
        <v>74</v>
      </c>
      <c r="I660" t="s">
        <v>13004</v>
      </c>
      <c r="J660" t="s">
        <v>1421</v>
      </c>
      <c r="K660" t="s">
        <v>74</v>
      </c>
      <c r="L660" t="s">
        <v>74</v>
      </c>
      <c r="M660" t="s">
        <v>78</v>
      </c>
      <c r="N660" t="s">
        <v>79</v>
      </c>
      <c r="O660" t="s">
        <v>74</v>
      </c>
      <c r="P660" t="s">
        <v>74</v>
      </c>
      <c r="Q660" t="s">
        <v>74</v>
      </c>
      <c r="R660" t="s">
        <v>74</v>
      </c>
      <c r="S660" t="s">
        <v>74</v>
      </c>
      <c r="T660" t="s">
        <v>13005</v>
      </c>
      <c r="U660" t="s">
        <v>13006</v>
      </c>
      <c r="V660" t="s">
        <v>13007</v>
      </c>
      <c r="W660" t="s">
        <v>13008</v>
      </c>
      <c r="X660" t="s">
        <v>13009</v>
      </c>
      <c r="Y660" t="s">
        <v>13010</v>
      </c>
      <c r="Z660" t="s">
        <v>13011</v>
      </c>
      <c r="AA660" t="s">
        <v>13012</v>
      </c>
      <c r="AB660" t="s">
        <v>13013</v>
      </c>
      <c r="AC660" t="s">
        <v>13014</v>
      </c>
      <c r="AD660" t="s">
        <v>13015</v>
      </c>
      <c r="AE660" t="s">
        <v>13016</v>
      </c>
      <c r="AF660" t="s">
        <v>74</v>
      </c>
      <c r="AG660">
        <v>62</v>
      </c>
      <c r="AH660">
        <v>3</v>
      </c>
      <c r="AI660">
        <v>3</v>
      </c>
      <c r="AJ660">
        <v>1</v>
      </c>
      <c r="AK660">
        <v>6</v>
      </c>
      <c r="AL660" t="s">
        <v>166</v>
      </c>
      <c r="AM660" t="s">
        <v>167</v>
      </c>
      <c r="AN660" t="s">
        <v>168</v>
      </c>
      <c r="AO660" t="s">
        <v>1433</v>
      </c>
      <c r="AP660" t="s">
        <v>1434</v>
      </c>
      <c r="AQ660" t="s">
        <v>74</v>
      </c>
      <c r="AR660" t="s">
        <v>1435</v>
      </c>
      <c r="AS660" t="s">
        <v>1436</v>
      </c>
      <c r="AT660" t="s">
        <v>1809</v>
      </c>
      <c r="AU660">
        <v>2021</v>
      </c>
      <c r="AV660">
        <v>44</v>
      </c>
      <c r="AW660">
        <v>3</v>
      </c>
      <c r="AX660" t="s">
        <v>74</v>
      </c>
      <c r="AY660" t="s">
        <v>74</v>
      </c>
      <c r="AZ660" t="s">
        <v>74</v>
      </c>
      <c r="BA660" t="s">
        <v>74</v>
      </c>
      <c r="BB660">
        <v>559</v>
      </c>
      <c r="BC660">
        <v>573</v>
      </c>
      <c r="BD660" t="s">
        <v>74</v>
      </c>
      <c r="BE660" t="s">
        <v>13017</v>
      </c>
      <c r="BF660" t="str">
        <f>HYPERLINK("http://dx.doi.org/10.1007/s00300-021-02813-8","http://dx.doi.org/10.1007/s00300-021-02813-8")</f>
        <v>http://dx.doi.org/10.1007/s00300-021-02813-8</v>
      </c>
      <c r="BG660" t="s">
        <v>74</v>
      </c>
      <c r="BH660" t="s">
        <v>12028</v>
      </c>
      <c r="BI660">
        <v>15</v>
      </c>
      <c r="BJ660" t="s">
        <v>1438</v>
      </c>
      <c r="BK660" t="s">
        <v>101</v>
      </c>
      <c r="BL660" t="s">
        <v>1439</v>
      </c>
      <c r="BM660" t="s">
        <v>13018</v>
      </c>
      <c r="BN660" t="s">
        <v>74</v>
      </c>
      <c r="BO660" t="s">
        <v>1756</v>
      </c>
      <c r="BP660" t="s">
        <v>74</v>
      </c>
      <c r="BQ660" t="s">
        <v>74</v>
      </c>
      <c r="BR660" t="s">
        <v>104</v>
      </c>
      <c r="BS660" t="s">
        <v>13019</v>
      </c>
      <c r="BT660" t="str">
        <f>HYPERLINK("https%3A%2F%2Fwww.webofscience.com%2Fwos%2Fwoscc%2Ffull-record%2FWOS:000620456900003","View Full Record in Web of Science")</f>
        <v>View Full Record in Web of Science</v>
      </c>
    </row>
    <row r="661" spans="1:72" x14ac:dyDescent="0.15">
      <c r="A661" t="s">
        <v>72</v>
      </c>
      <c r="B661" t="s">
        <v>13020</v>
      </c>
      <c r="C661" t="s">
        <v>74</v>
      </c>
      <c r="D661" t="s">
        <v>74</v>
      </c>
      <c r="E661" t="s">
        <v>74</v>
      </c>
      <c r="F661" t="s">
        <v>13021</v>
      </c>
      <c r="G661" t="s">
        <v>74</v>
      </c>
      <c r="H661" t="s">
        <v>74</v>
      </c>
      <c r="I661" t="s">
        <v>13022</v>
      </c>
      <c r="J661" t="s">
        <v>1421</v>
      </c>
      <c r="K661" t="s">
        <v>74</v>
      </c>
      <c r="L661" t="s">
        <v>74</v>
      </c>
      <c r="M661" t="s">
        <v>78</v>
      </c>
      <c r="N661" t="s">
        <v>79</v>
      </c>
      <c r="O661" t="s">
        <v>74</v>
      </c>
      <c r="P661" t="s">
        <v>74</v>
      </c>
      <c r="Q661" t="s">
        <v>74</v>
      </c>
      <c r="R661" t="s">
        <v>74</v>
      </c>
      <c r="S661" t="s">
        <v>74</v>
      </c>
      <c r="T661" t="s">
        <v>13023</v>
      </c>
      <c r="U661" t="s">
        <v>74</v>
      </c>
      <c r="V661" t="s">
        <v>13024</v>
      </c>
      <c r="W661" t="s">
        <v>13025</v>
      </c>
      <c r="X661" t="s">
        <v>13026</v>
      </c>
      <c r="Y661" t="s">
        <v>13027</v>
      </c>
      <c r="Z661" t="s">
        <v>13028</v>
      </c>
      <c r="AA661" t="s">
        <v>13029</v>
      </c>
      <c r="AB661" t="s">
        <v>13030</v>
      </c>
      <c r="AC661" t="s">
        <v>13031</v>
      </c>
      <c r="AD661" t="s">
        <v>13032</v>
      </c>
      <c r="AE661" t="s">
        <v>13033</v>
      </c>
      <c r="AF661" t="s">
        <v>74</v>
      </c>
      <c r="AG661">
        <v>36</v>
      </c>
      <c r="AH661">
        <v>4</v>
      </c>
      <c r="AI661">
        <v>4</v>
      </c>
      <c r="AJ661">
        <v>1</v>
      </c>
      <c r="AK661">
        <v>11</v>
      </c>
      <c r="AL661" t="s">
        <v>166</v>
      </c>
      <c r="AM661" t="s">
        <v>167</v>
      </c>
      <c r="AN661" t="s">
        <v>168</v>
      </c>
      <c r="AO661" t="s">
        <v>1433</v>
      </c>
      <c r="AP661" t="s">
        <v>1434</v>
      </c>
      <c r="AQ661" t="s">
        <v>74</v>
      </c>
      <c r="AR661" t="s">
        <v>1435</v>
      </c>
      <c r="AS661" t="s">
        <v>1436</v>
      </c>
      <c r="AT661" t="s">
        <v>1809</v>
      </c>
      <c r="AU661">
        <v>2021</v>
      </c>
      <c r="AV661">
        <v>44</v>
      </c>
      <c r="AW661">
        <v>3</v>
      </c>
      <c r="AX661" t="s">
        <v>74</v>
      </c>
      <c r="AY661" t="s">
        <v>74</v>
      </c>
      <c r="AZ661" t="s">
        <v>74</v>
      </c>
      <c r="BA661" t="s">
        <v>74</v>
      </c>
      <c r="BB661">
        <v>621</v>
      </c>
      <c r="BC661">
        <v>629</v>
      </c>
      <c r="BD661" t="s">
        <v>74</v>
      </c>
      <c r="BE661" t="s">
        <v>13034</v>
      </c>
      <c r="BF661" t="str">
        <f>HYPERLINK("http://dx.doi.org/10.1007/s00300-021-02816-5","http://dx.doi.org/10.1007/s00300-021-02816-5")</f>
        <v>http://dx.doi.org/10.1007/s00300-021-02816-5</v>
      </c>
      <c r="BG661" t="s">
        <v>74</v>
      </c>
      <c r="BH661" t="s">
        <v>12028</v>
      </c>
      <c r="BI661">
        <v>9</v>
      </c>
      <c r="BJ661" t="s">
        <v>1438</v>
      </c>
      <c r="BK661" t="s">
        <v>101</v>
      </c>
      <c r="BL661" t="s">
        <v>1439</v>
      </c>
      <c r="BM661" t="s">
        <v>13018</v>
      </c>
      <c r="BN661" t="s">
        <v>74</v>
      </c>
      <c r="BO661" t="s">
        <v>712</v>
      </c>
      <c r="BP661" t="s">
        <v>74</v>
      </c>
      <c r="BQ661" t="s">
        <v>74</v>
      </c>
      <c r="BR661" t="s">
        <v>104</v>
      </c>
      <c r="BS661" t="s">
        <v>13035</v>
      </c>
      <c r="BT661" t="str">
        <f>HYPERLINK("https%3A%2F%2Fwww.webofscience.com%2Fwos%2Fwoscc%2Ffull-record%2FWOS:000620456900001","View Full Record in Web of Science")</f>
        <v>View Full Record in Web of Science</v>
      </c>
    </row>
    <row r="662" spans="1:72" x14ac:dyDescent="0.15">
      <c r="A662" t="s">
        <v>72</v>
      </c>
      <c r="B662" t="s">
        <v>13036</v>
      </c>
      <c r="C662" t="s">
        <v>74</v>
      </c>
      <c r="D662" t="s">
        <v>74</v>
      </c>
      <c r="E662" t="s">
        <v>74</v>
      </c>
      <c r="F662" t="s">
        <v>13037</v>
      </c>
      <c r="G662" t="s">
        <v>74</v>
      </c>
      <c r="H662" t="s">
        <v>74</v>
      </c>
      <c r="I662" t="s">
        <v>13038</v>
      </c>
      <c r="J662" t="s">
        <v>13039</v>
      </c>
      <c r="K662" t="s">
        <v>74</v>
      </c>
      <c r="L662" t="s">
        <v>74</v>
      </c>
      <c r="M662" t="s">
        <v>78</v>
      </c>
      <c r="N662" t="s">
        <v>79</v>
      </c>
      <c r="O662" t="s">
        <v>74</v>
      </c>
      <c r="P662" t="s">
        <v>74</v>
      </c>
      <c r="Q662" t="s">
        <v>74</v>
      </c>
      <c r="R662" t="s">
        <v>74</v>
      </c>
      <c r="S662" t="s">
        <v>74</v>
      </c>
      <c r="T662" t="s">
        <v>13040</v>
      </c>
      <c r="U662" t="s">
        <v>13041</v>
      </c>
      <c r="V662" t="s">
        <v>13042</v>
      </c>
      <c r="W662" t="s">
        <v>13043</v>
      </c>
      <c r="X662" t="s">
        <v>13044</v>
      </c>
      <c r="Y662" t="s">
        <v>13045</v>
      </c>
      <c r="Z662" t="s">
        <v>13046</v>
      </c>
      <c r="AA662" t="s">
        <v>13047</v>
      </c>
      <c r="AB662" t="s">
        <v>13048</v>
      </c>
      <c r="AC662" t="s">
        <v>13049</v>
      </c>
      <c r="AD662" t="s">
        <v>13050</v>
      </c>
      <c r="AE662" t="s">
        <v>13051</v>
      </c>
      <c r="AF662" t="s">
        <v>74</v>
      </c>
      <c r="AG662">
        <v>79</v>
      </c>
      <c r="AH662">
        <v>15</v>
      </c>
      <c r="AI662">
        <v>18</v>
      </c>
      <c r="AJ662">
        <v>1</v>
      </c>
      <c r="AK662">
        <v>18</v>
      </c>
      <c r="AL662" t="s">
        <v>8134</v>
      </c>
      <c r="AM662" t="s">
        <v>1909</v>
      </c>
      <c r="AN662" t="s">
        <v>8135</v>
      </c>
      <c r="AO662" t="s">
        <v>13052</v>
      </c>
      <c r="AP662" t="s">
        <v>74</v>
      </c>
      <c r="AQ662" t="s">
        <v>74</v>
      </c>
      <c r="AR662" t="s">
        <v>13053</v>
      </c>
      <c r="AS662" t="s">
        <v>13054</v>
      </c>
      <c r="AT662" t="s">
        <v>12974</v>
      </c>
      <c r="AU662">
        <v>2021</v>
      </c>
      <c r="AV662">
        <v>9</v>
      </c>
      <c r="AW662">
        <v>1</v>
      </c>
      <c r="AX662" t="s">
        <v>74</v>
      </c>
      <c r="AY662" t="s">
        <v>74</v>
      </c>
      <c r="AZ662" t="s">
        <v>74</v>
      </c>
      <c r="BA662" t="s">
        <v>74</v>
      </c>
      <c r="BB662" t="s">
        <v>74</v>
      </c>
      <c r="BC662" t="s">
        <v>74</v>
      </c>
      <c r="BD662">
        <v>7</v>
      </c>
      <c r="BE662" t="s">
        <v>13055</v>
      </c>
      <c r="BF662" t="str">
        <f>HYPERLINK("http://dx.doi.org/10.1186/s40462-021-00243-z","http://dx.doi.org/10.1186/s40462-021-00243-z")</f>
        <v>http://dx.doi.org/10.1186/s40462-021-00243-z</v>
      </c>
      <c r="BG662" t="s">
        <v>74</v>
      </c>
      <c r="BH662" t="s">
        <v>74</v>
      </c>
      <c r="BI662">
        <v>16</v>
      </c>
      <c r="BJ662" t="s">
        <v>4663</v>
      </c>
      <c r="BK662" t="s">
        <v>101</v>
      </c>
      <c r="BL662" t="s">
        <v>225</v>
      </c>
      <c r="BM662" t="s">
        <v>13056</v>
      </c>
      <c r="BN662">
        <v>33618773</v>
      </c>
      <c r="BO662" t="s">
        <v>5570</v>
      </c>
      <c r="BP662" t="s">
        <v>74</v>
      </c>
      <c r="BQ662" t="s">
        <v>74</v>
      </c>
      <c r="BR662" t="s">
        <v>104</v>
      </c>
      <c r="BS662" t="s">
        <v>13057</v>
      </c>
      <c r="BT662" t="str">
        <f>HYPERLINK("https%3A%2F%2Fwww.webofscience.com%2Fwos%2Fwoscc%2Ffull-record%2FWOS:000620596800001","View Full Record in Web of Science")</f>
        <v>View Full Record in Web of Science</v>
      </c>
    </row>
    <row r="663" spans="1:72" x14ac:dyDescent="0.15">
      <c r="A663" t="s">
        <v>72</v>
      </c>
      <c r="B663" t="s">
        <v>13058</v>
      </c>
      <c r="C663" t="s">
        <v>74</v>
      </c>
      <c r="D663" t="s">
        <v>74</v>
      </c>
      <c r="E663" t="s">
        <v>74</v>
      </c>
      <c r="F663" t="s">
        <v>13059</v>
      </c>
      <c r="G663" t="s">
        <v>74</v>
      </c>
      <c r="H663" t="s">
        <v>74</v>
      </c>
      <c r="I663" t="s">
        <v>13060</v>
      </c>
      <c r="J663" t="s">
        <v>13061</v>
      </c>
      <c r="K663" t="s">
        <v>74</v>
      </c>
      <c r="L663" t="s">
        <v>74</v>
      </c>
      <c r="M663" t="s">
        <v>78</v>
      </c>
      <c r="N663" t="s">
        <v>79</v>
      </c>
      <c r="O663" t="s">
        <v>74</v>
      </c>
      <c r="P663" t="s">
        <v>74</v>
      </c>
      <c r="Q663" t="s">
        <v>74</v>
      </c>
      <c r="R663" t="s">
        <v>74</v>
      </c>
      <c r="S663" t="s">
        <v>74</v>
      </c>
      <c r="T663" t="s">
        <v>74</v>
      </c>
      <c r="U663" t="s">
        <v>74</v>
      </c>
      <c r="V663" t="s">
        <v>13062</v>
      </c>
      <c r="W663" t="s">
        <v>13063</v>
      </c>
      <c r="X663" t="s">
        <v>13064</v>
      </c>
      <c r="Y663" t="s">
        <v>13065</v>
      </c>
      <c r="Z663" t="s">
        <v>13066</v>
      </c>
      <c r="AA663" t="s">
        <v>13067</v>
      </c>
      <c r="AB663" t="s">
        <v>13068</v>
      </c>
      <c r="AC663" t="s">
        <v>13069</v>
      </c>
      <c r="AD663" t="s">
        <v>13070</v>
      </c>
      <c r="AE663" t="s">
        <v>13071</v>
      </c>
      <c r="AF663" t="s">
        <v>74</v>
      </c>
      <c r="AG663">
        <v>82</v>
      </c>
      <c r="AH663">
        <v>142</v>
      </c>
      <c r="AI663">
        <v>162</v>
      </c>
      <c r="AJ663">
        <v>7</v>
      </c>
      <c r="AK663">
        <v>23</v>
      </c>
      <c r="AL663" t="s">
        <v>3620</v>
      </c>
      <c r="AM663" t="s">
        <v>862</v>
      </c>
      <c r="AN663" t="s">
        <v>863</v>
      </c>
      <c r="AO663" t="s">
        <v>13072</v>
      </c>
      <c r="AP663" t="s">
        <v>74</v>
      </c>
      <c r="AQ663" t="s">
        <v>74</v>
      </c>
      <c r="AR663" t="s">
        <v>13073</v>
      </c>
      <c r="AS663" t="s">
        <v>13074</v>
      </c>
      <c r="AT663" t="s">
        <v>127</v>
      </c>
      <c r="AU663">
        <v>2021</v>
      </c>
      <c r="AV663">
        <v>5</v>
      </c>
      <c r="AW663">
        <v>5</v>
      </c>
      <c r="AX663" t="s">
        <v>74</v>
      </c>
      <c r="AY663" t="s">
        <v>74</v>
      </c>
      <c r="AZ663" t="s">
        <v>74</v>
      </c>
      <c r="BA663" t="s">
        <v>74</v>
      </c>
      <c r="BB663">
        <v>510</v>
      </c>
      <c r="BC663" t="s">
        <v>867</v>
      </c>
      <c r="BD663" t="s">
        <v>74</v>
      </c>
      <c r="BE663" t="s">
        <v>13075</v>
      </c>
      <c r="BF663" t="str">
        <f>HYPERLINK("http://dx.doi.org/10.1038/s41550-020-01295-8","http://dx.doi.org/10.1038/s41550-020-01295-8")</f>
        <v>http://dx.doi.org/10.1038/s41550-020-01295-8</v>
      </c>
      <c r="BG663" t="s">
        <v>74</v>
      </c>
      <c r="BH663" t="s">
        <v>12028</v>
      </c>
      <c r="BI663">
        <v>17</v>
      </c>
      <c r="BJ663" t="s">
        <v>4844</v>
      </c>
      <c r="BK663" t="s">
        <v>101</v>
      </c>
      <c r="BL663" t="s">
        <v>4844</v>
      </c>
      <c r="BM663" t="s">
        <v>13076</v>
      </c>
      <c r="BN663" t="s">
        <v>74</v>
      </c>
      <c r="BO663" t="s">
        <v>8164</v>
      </c>
      <c r="BP663" t="s">
        <v>871</v>
      </c>
      <c r="BQ663" t="s">
        <v>872</v>
      </c>
      <c r="BR663" t="s">
        <v>104</v>
      </c>
      <c r="BS663" t="s">
        <v>13077</v>
      </c>
      <c r="BT663" t="str">
        <f>HYPERLINK("https%3A%2F%2Fwww.webofscience.com%2Fwos%2Fwoscc%2Ffull-record%2FWOS:000620431500002","View Full Record in Web of Science")</f>
        <v>View Full Record in Web of Science</v>
      </c>
    </row>
    <row r="664" spans="1:72" x14ac:dyDescent="0.15">
      <c r="A664" t="s">
        <v>72</v>
      </c>
      <c r="B664" t="s">
        <v>13078</v>
      </c>
      <c r="C664" t="s">
        <v>74</v>
      </c>
      <c r="D664" t="s">
        <v>74</v>
      </c>
      <c r="E664" t="s">
        <v>74</v>
      </c>
      <c r="F664" t="s">
        <v>13079</v>
      </c>
      <c r="G664" t="s">
        <v>74</v>
      </c>
      <c r="H664" t="s">
        <v>74</v>
      </c>
      <c r="I664" t="s">
        <v>13080</v>
      </c>
      <c r="J664" t="s">
        <v>1692</v>
      </c>
      <c r="K664" t="s">
        <v>74</v>
      </c>
      <c r="L664" t="s">
        <v>74</v>
      </c>
      <c r="M664" t="s">
        <v>78</v>
      </c>
      <c r="N664" t="s">
        <v>79</v>
      </c>
      <c r="O664" t="s">
        <v>74</v>
      </c>
      <c r="P664" t="s">
        <v>74</v>
      </c>
      <c r="Q664" t="s">
        <v>74</v>
      </c>
      <c r="R664" t="s">
        <v>74</v>
      </c>
      <c r="S664" t="s">
        <v>74</v>
      </c>
      <c r="T664" t="s">
        <v>74</v>
      </c>
      <c r="U664" t="s">
        <v>13081</v>
      </c>
      <c r="V664" t="s">
        <v>13082</v>
      </c>
      <c r="W664" t="s">
        <v>13083</v>
      </c>
      <c r="X664" t="s">
        <v>13084</v>
      </c>
      <c r="Y664" t="s">
        <v>13085</v>
      </c>
      <c r="Z664" t="s">
        <v>13086</v>
      </c>
      <c r="AA664" t="s">
        <v>13087</v>
      </c>
      <c r="AB664" t="s">
        <v>13088</v>
      </c>
      <c r="AC664" t="s">
        <v>13089</v>
      </c>
      <c r="AD664" t="s">
        <v>13090</v>
      </c>
      <c r="AE664" t="s">
        <v>13091</v>
      </c>
      <c r="AF664" t="s">
        <v>74</v>
      </c>
      <c r="AG664">
        <v>67</v>
      </c>
      <c r="AH664">
        <v>26</v>
      </c>
      <c r="AI664">
        <v>31</v>
      </c>
      <c r="AJ664">
        <v>2</v>
      </c>
      <c r="AK664">
        <v>36</v>
      </c>
      <c r="AL664" t="s">
        <v>861</v>
      </c>
      <c r="AM664" t="s">
        <v>862</v>
      </c>
      <c r="AN664" t="s">
        <v>863</v>
      </c>
      <c r="AO664" t="s">
        <v>74</v>
      </c>
      <c r="AP664" t="s">
        <v>1704</v>
      </c>
      <c r="AQ664" t="s">
        <v>74</v>
      </c>
      <c r="AR664" t="s">
        <v>1705</v>
      </c>
      <c r="AS664" t="s">
        <v>1706</v>
      </c>
      <c r="AT664" t="s">
        <v>12974</v>
      </c>
      <c r="AU664">
        <v>2021</v>
      </c>
      <c r="AV664">
        <v>12</v>
      </c>
      <c r="AW664">
        <v>1</v>
      </c>
      <c r="AX664" t="s">
        <v>74</v>
      </c>
      <c r="AY664" t="s">
        <v>74</v>
      </c>
      <c r="AZ664" t="s">
        <v>74</v>
      </c>
      <c r="BA664" t="s">
        <v>74</v>
      </c>
      <c r="BB664" t="s">
        <v>74</v>
      </c>
      <c r="BC664" t="s">
        <v>74</v>
      </c>
      <c r="BD664">
        <v>1211</v>
      </c>
      <c r="BE664" t="s">
        <v>13092</v>
      </c>
      <c r="BF664" t="str">
        <f>HYPERLINK("http://dx.doi.org/10.1038/s41467-021-21339-5","http://dx.doi.org/10.1038/s41467-021-21339-5")</f>
        <v>http://dx.doi.org/10.1038/s41467-021-21339-5</v>
      </c>
      <c r="BG664" t="s">
        <v>74</v>
      </c>
      <c r="BH664" t="s">
        <v>74</v>
      </c>
      <c r="BI664">
        <v>11</v>
      </c>
      <c r="BJ664" t="s">
        <v>555</v>
      </c>
      <c r="BK664" t="s">
        <v>101</v>
      </c>
      <c r="BL664" t="s">
        <v>556</v>
      </c>
      <c r="BM664" t="s">
        <v>13093</v>
      </c>
      <c r="BN664">
        <v>33619262</v>
      </c>
      <c r="BO664" t="s">
        <v>558</v>
      </c>
      <c r="BP664" t="s">
        <v>74</v>
      </c>
      <c r="BQ664" t="s">
        <v>74</v>
      </c>
      <c r="BR664" t="s">
        <v>104</v>
      </c>
      <c r="BS664" t="s">
        <v>13094</v>
      </c>
      <c r="BT664" t="str">
        <f>HYPERLINK("https%3A%2F%2Fwww.webofscience.com%2Fwos%2Fwoscc%2Ffull-record%2FWOS:000621929900003","View Full Record in Web of Science")</f>
        <v>View Full Record in Web of Science</v>
      </c>
    </row>
    <row r="665" spans="1:72" x14ac:dyDescent="0.15">
      <c r="A665" t="s">
        <v>72</v>
      </c>
      <c r="B665" t="s">
        <v>13095</v>
      </c>
      <c r="C665" t="s">
        <v>74</v>
      </c>
      <c r="D665" t="s">
        <v>74</v>
      </c>
      <c r="E665" t="s">
        <v>74</v>
      </c>
      <c r="F665" t="s">
        <v>13096</v>
      </c>
      <c r="G665" t="s">
        <v>74</v>
      </c>
      <c r="H665" t="s">
        <v>74</v>
      </c>
      <c r="I665" t="s">
        <v>13097</v>
      </c>
      <c r="J665" t="s">
        <v>13098</v>
      </c>
      <c r="K665" t="s">
        <v>74</v>
      </c>
      <c r="L665" t="s">
        <v>74</v>
      </c>
      <c r="M665" t="s">
        <v>78</v>
      </c>
      <c r="N665" t="s">
        <v>79</v>
      </c>
      <c r="O665" t="s">
        <v>74</v>
      </c>
      <c r="P665" t="s">
        <v>74</v>
      </c>
      <c r="Q665" t="s">
        <v>74</v>
      </c>
      <c r="R665" t="s">
        <v>74</v>
      </c>
      <c r="S665" t="s">
        <v>74</v>
      </c>
      <c r="T665" t="s">
        <v>74</v>
      </c>
      <c r="U665" t="s">
        <v>13099</v>
      </c>
      <c r="V665" t="s">
        <v>13100</v>
      </c>
      <c r="W665" t="s">
        <v>13101</v>
      </c>
      <c r="X665" t="s">
        <v>13102</v>
      </c>
      <c r="Y665" t="s">
        <v>13103</v>
      </c>
      <c r="Z665" t="s">
        <v>13104</v>
      </c>
      <c r="AA665" t="s">
        <v>13105</v>
      </c>
      <c r="AB665" t="s">
        <v>13106</v>
      </c>
      <c r="AC665" t="s">
        <v>13107</v>
      </c>
      <c r="AD665" t="s">
        <v>13108</v>
      </c>
      <c r="AE665" t="s">
        <v>13109</v>
      </c>
      <c r="AF665" t="s">
        <v>74</v>
      </c>
      <c r="AG665">
        <v>80</v>
      </c>
      <c r="AH665">
        <v>21</v>
      </c>
      <c r="AI665">
        <v>26</v>
      </c>
      <c r="AJ665">
        <v>7</v>
      </c>
      <c r="AK665">
        <v>48</v>
      </c>
      <c r="AL665" t="s">
        <v>861</v>
      </c>
      <c r="AM665" t="s">
        <v>862</v>
      </c>
      <c r="AN665" t="s">
        <v>863</v>
      </c>
      <c r="AO665" t="s">
        <v>13110</v>
      </c>
      <c r="AP665" t="s">
        <v>13111</v>
      </c>
      <c r="AQ665" t="s">
        <v>74</v>
      </c>
      <c r="AR665" t="s">
        <v>13112</v>
      </c>
      <c r="AS665" t="s">
        <v>13113</v>
      </c>
      <c r="AT665" t="s">
        <v>1809</v>
      </c>
      <c r="AU665">
        <v>2021</v>
      </c>
      <c r="AV665">
        <v>14</v>
      </c>
      <c r="AW665">
        <v>3</v>
      </c>
      <c r="AX665" t="s">
        <v>74</v>
      </c>
      <c r="AY665" t="s">
        <v>74</v>
      </c>
      <c r="AZ665" t="s">
        <v>74</v>
      </c>
      <c r="BA665" t="s">
        <v>74</v>
      </c>
      <c r="BB665">
        <v>156</v>
      </c>
      <c r="BC665" t="s">
        <v>867</v>
      </c>
      <c r="BD665" t="s">
        <v>74</v>
      </c>
      <c r="BE665" t="s">
        <v>13114</v>
      </c>
      <c r="BF665" t="str">
        <f>HYPERLINK("http://dx.doi.org/10.1038/s41561-021-00697-1","http://dx.doi.org/10.1038/s41561-021-00697-1")</f>
        <v>http://dx.doi.org/10.1038/s41561-021-00697-1</v>
      </c>
      <c r="BG665" t="s">
        <v>74</v>
      </c>
      <c r="BH665" t="s">
        <v>12028</v>
      </c>
      <c r="BI665">
        <v>11</v>
      </c>
      <c r="BJ665" t="s">
        <v>100</v>
      </c>
      <c r="BK665" t="s">
        <v>101</v>
      </c>
      <c r="BL665" t="s">
        <v>102</v>
      </c>
      <c r="BM665" t="s">
        <v>13115</v>
      </c>
      <c r="BN665" t="s">
        <v>74</v>
      </c>
      <c r="BO665" t="s">
        <v>663</v>
      </c>
      <c r="BP665" t="s">
        <v>74</v>
      </c>
      <c r="BQ665" t="s">
        <v>74</v>
      </c>
      <c r="BR665" t="s">
        <v>104</v>
      </c>
      <c r="BS665" t="s">
        <v>13116</v>
      </c>
      <c r="BT665" t="str">
        <f>HYPERLINK("https%3A%2F%2Fwww.webofscience.com%2Fwos%2Fwoscc%2Ffull-record%2FWOS:000620437700001","View Full Record in Web of Science")</f>
        <v>View Full Record in Web of Science</v>
      </c>
    </row>
    <row r="666" spans="1:72" x14ac:dyDescent="0.15">
      <c r="A666" t="s">
        <v>72</v>
      </c>
      <c r="B666" t="s">
        <v>13117</v>
      </c>
      <c r="C666" t="s">
        <v>74</v>
      </c>
      <c r="D666" t="s">
        <v>74</v>
      </c>
      <c r="E666" t="s">
        <v>74</v>
      </c>
      <c r="F666" t="s">
        <v>13118</v>
      </c>
      <c r="G666" t="s">
        <v>74</v>
      </c>
      <c r="H666" t="s">
        <v>74</v>
      </c>
      <c r="I666" t="s">
        <v>13119</v>
      </c>
      <c r="J666" t="s">
        <v>1421</v>
      </c>
      <c r="K666" t="s">
        <v>74</v>
      </c>
      <c r="L666" t="s">
        <v>74</v>
      </c>
      <c r="M666" t="s">
        <v>78</v>
      </c>
      <c r="N666" t="s">
        <v>79</v>
      </c>
      <c r="O666" t="s">
        <v>74</v>
      </c>
      <c r="P666" t="s">
        <v>74</v>
      </c>
      <c r="Q666" t="s">
        <v>74</v>
      </c>
      <c r="R666" t="s">
        <v>74</v>
      </c>
      <c r="S666" t="s">
        <v>74</v>
      </c>
      <c r="T666" t="s">
        <v>13120</v>
      </c>
      <c r="U666" t="s">
        <v>74</v>
      </c>
      <c r="V666" t="s">
        <v>13121</v>
      </c>
      <c r="W666" t="s">
        <v>13122</v>
      </c>
      <c r="X666" t="s">
        <v>13123</v>
      </c>
      <c r="Y666" t="s">
        <v>13124</v>
      </c>
      <c r="Z666" t="s">
        <v>13125</v>
      </c>
      <c r="AA666" t="s">
        <v>74</v>
      </c>
      <c r="AB666" t="s">
        <v>13126</v>
      </c>
      <c r="AC666" t="s">
        <v>13127</v>
      </c>
      <c r="AD666" t="s">
        <v>13128</v>
      </c>
      <c r="AE666" t="s">
        <v>13129</v>
      </c>
      <c r="AF666" t="s">
        <v>74</v>
      </c>
      <c r="AG666">
        <v>28</v>
      </c>
      <c r="AH666">
        <v>0</v>
      </c>
      <c r="AI666">
        <v>0</v>
      </c>
      <c r="AJ666">
        <v>0</v>
      </c>
      <c r="AK666">
        <v>2</v>
      </c>
      <c r="AL666" t="s">
        <v>166</v>
      </c>
      <c r="AM666" t="s">
        <v>167</v>
      </c>
      <c r="AN666" t="s">
        <v>168</v>
      </c>
      <c r="AO666" t="s">
        <v>1433</v>
      </c>
      <c r="AP666" t="s">
        <v>1434</v>
      </c>
      <c r="AQ666" t="s">
        <v>74</v>
      </c>
      <c r="AR666" t="s">
        <v>1435</v>
      </c>
      <c r="AS666" t="s">
        <v>1436</v>
      </c>
      <c r="AT666" t="s">
        <v>1809</v>
      </c>
      <c r="AU666">
        <v>2021</v>
      </c>
      <c r="AV666">
        <v>44</v>
      </c>
      <c r="AW666">
        <v>3</v>
      </c>
      <c r="AX666" t="s">
        <v>74</v>
      </c>
      <c r="AY666" t="s">
        <v>74</v>
      </c>
      <c r="AZ666" t="s">
        <v>74</v>
      </c>
      <c r="BA666" t="s">
        <v>74</v>
      </c>
      <c r="BB666">
        <v>631</v>
      </c>
      <c r="BC666">
        <v>635</v>
      </c>
      <c r="BD666" t="s">
        <v>74</v>
      </c>
      <c r="BE666" t="s">
        <v>13130</v>
      </c>
      <c r="BF666" t="str">
        <f>HYPERLINK("http://dx.doi.org/10.1007/s00300-021-02828-1","http://dx.doi.org/10.1007/s00300-021-02828-1")</f>
        <v>http://dx.doi.org/10.1007/s00300-021-02828-1</v>
      </c>
      <c r="BG666" t="s">
        <v>74</v>
      </c>
      <c r="BH666" t="s">
        <v>12028</v>
      </c>
      <c r="BI666">
        <v>5</v>
      </c>
      <c r="BJ666" t="s">
        <v>1438</v>
      </c>
      <c r="BK666" t="s">
        <v>101</v>
      </c>
      <c r="BL666" t="s">
        <v>1439</v>
      </c>
      <c r="BM666" t="s">
        <v>13018</v>
      </c>
      <c r="BN666" t="s">
        <v>74</v>
      </c>
      <c r="BO666" t="s">
        <v>398</v>
      </c>
      <c r="BP666" t="s">
        <v>74</v>
      </c>
      <c r="BQ666" t="s">
        <v>74</v>
      </c>
      <c r="BR666" t="s">
        <v>104</v>
      </c>
      <c r="BS666" t="s">
        <v>13131</v>
      </c>
      <c r="BT666" t="str">
        <f>HYPERLINK("https%3A%2F%2Fwww.webofscience.com%2Fwos%2Fwoscc%2Ffull-record%2FWOS:000620456900002","View Full Record in Web of Science")</f>
        <v>View Full Record in Web of Science</v>
      </c>
    </row>
    <row r="667" spans="1:72" x14ac:dyDescent="0.15">
      <c r="A667" t="s">
        <v>72</v>
      </c>
      <c r="B667" t="s">
        <v>13132</v>
      </c>
      <c r="C667" t="s">
        <v>74</v>
      </c>
      <c r="D667" t="s">
        <v>74</v>
      </c>
      <c r="E667" t="s">
        <v>74</v>
      </c>
      <c r="F667" t="s">
        <v>13133</v>
      </c>
      <c r="G667" t="s">
        <v>74</v>
      </c>
      <c r="H667" t="s">
        <v>74</v>
      </c>
      <c r="I667" t="s">
        <v>13134</v>
      </c>
      <c r="J667" t="s">
        <v>8961</v>
      </c>
      <c r="K667" t="s">
        <v>74</v>
      </c>
      <c r="L667" t="s">
        <v>74</v>
      </c>
      <c r="M667" t="s">
        <v>78</v>
      </c>
      <c r="N667" t="s">
        <v>79</v>
      </c>
      <c r="O667" t="s">
        <v>74</v>
      </c>
      <c r="P667" t="s">
        <v>74</v>
      </c>
      <c r="Q667" t="s">
        <v>74</v>
      </c>
      <c r="R667" t="s">
        <v>74</v>
      </c>
      <c r="S667" t="s">
        <v>74</v>
      </c>
      <c r="T667" t="s">
        <v>13135</v>
      </c>
      <c r="U667" t="s">
        <v>13136</v>
      </c>
      <c r="V667" t="s">
        <v>13137</v>
      </c>
      <c r="W667" t="s">
        <v>13138</v>
      </c>
      <c r="X667" t="s">
        <v>13139</v>
      </c>
      <c r="Y667" t="s">
        <v>13140</v>
      </c>
      <c r="Z667" t="s">
        <v>13141</v>
      </c>
      <c r="AA667" t="s">
        <v>13142</v>
      </c>
      <c r="AB667" t="s">
        <v>13143</v>
      </c>
      <c r="AC667" t="s">
        <v>13144</v>
      </c>
      <c r="AD667" t="s">
        <v>13145</v>
      </c>
      <c r="AE667" t="s">
        <v>13146</v>
      </c>
      <c r="AF667" t="s">
        <v>74</v>
      </c>
      <c r="AG667">
        <v>50</v>
      </c>
      <c r="AH667">
        <v>25</v>
      </c>
      <c r="AI667">
        <v>26</v>
      </c>
      <c r="AJ667">
        <v>5</v>
      </c>
      <c r="AK667">
        <v>95</v>
      </c>
      <c r="AL667" t="s">
        <v>3000</v>
      </c>
      <c r="AM667" t="s">
        <v>167</v>
      </c>
      <c r="AN667" t="s">
        <v>3001</v>
      </c>
      <c r="AO667" t="s">
        <v>8972</v>
      </c>
      <c r="AP667" t="s">
        <v>8973</v>
      </c>
      <c r="AQ667" t="s">
        <v>74</v>
      </c>
      <c r="AR667" t="s">
        <v>8974</v>
      </c>
      <c r="AS667" t="s">
        <v>8975</v>
      </c>
      <c r="AT667" t="s">
        <v>1683</v>
      </c>
      <c r="AU667">
        <v>2021</v>
      </c>
      <c r="AV667">
        <v>254</v>
      </c>
      <c r="AW667" t="s">
        <v>74</v>
      </c>
      <c r="AX667" t="s">
        <v>74</v>
      </c>
      <c r="AY667" t="s">
        <v>74</v>
      </c>
      <c r="AZ667" t="s">
        <v>74</v>
      </c>
      <c r="BA667" t="s">
        <v>74</v>
      </c>
      <c r="BB667" t="s">
        <v>74</v>
      </c>
      <c r="BC667" t="s">
        <v>74</v>
      </c>
      <c r="BD667">
        <v>105516</v>
      </c>
      <c r="BE667" t="s">
        <v>13147</v>
      </c>
      <c r="BF667" t="str">
        <f>HYPERLINK("http://dx.doi.org/10.1016/j.atmosres.2021.105516","http://dx.doi.org/10.1016/j.atmosres.2021.105516")</f>
        <v>http://dx.doi.org/10.1016/j.atmosres.2021.105516</v>
      </c>
      <c r="BG667" t="s">
        <v>74</v>
      </c>
      <c r="BH667" t="s">
        <v>12028</v>
      </c>
      <c r="BI667">
        <v>12</v>
      </c>
      <c r="BJ667" t="s">
        <v>129</v>
      </c>
      <c r="BK667" t="s">
        <v>101</v>
      </c>
      <c r="BL667" t="s">
        <v>129</v>
      </c>
      <c r="BM667" t="s">
        <v>13148</v>
      </c>
      <c r="BN667" t="s">
        <v>74</v>
      </c>
      <c r="BO667" t="s">
        <v>74</v>
      </c>
      <c r="BP667" t="s">
        <v>74</v>
      </c>
      <c r="BQ667" t="s">
        <v>74</v>
      </c>
      <c r="BR667" t="s">
        <v>104</v>
      </c>
      <c r="BS667" t="s">
        <v>13149</v>
      </c>
      <c r="BT667" t="str">
        <f>HYPERLINK("https%3A%2F%2Fwww.webofscience.com%2Fwos%2Fwoscc%2Ffull-record%2FWOS:000636300800001","View Full Record in Web of Science")</f>
        <v>View Full Record in Web of Science</v>
      </c>
    </row>
    <row r="668" spans="1:72" x14ac:dyDescent="0.15">
      <c r="A668" t="s">
        <v>72</v>
      </c>
      <c r="B668" t="s">
        <v>13150</v>
      </c>
      <c r="C668" t="s">
        <v>74</v>
      </c>
      <c r="D668" t="s">
        <v>74</v>
      </c>
      <c r="E668" t="s">
        <v>74</v>
      </c>
      <c r="F668" t="s">
        <v>13151</v>
      </c>
      <c r="G668" t="s">
        <v>74</v>
      </c>
      <c r="H668" t="s">
        <v>74</v>
      </c>
      <c r="I668" t="s">
        <v>13152</v>
      </c>
      <c r="J668" t="s">
        <v>877</v>
      </c>
      <c r="K668" t="s">
        <v>74</v>
      </c>
      <c r="L668" t="s">
        <v>74</v>
      </c>
      <c r="M668" t="s">
        <v>78</v>
      </c>
      <c r="N668" t="s">
        <v>79</v>
      </c>
      <c r="O668" t="s">
        <v>74</v>
      </c>
      <c r="P668" t="s">
        <v>74</v>
      </c>
      <c r="Q668" t="s">
        <v>74</v>
      </c>
      <c r="R668" t="s">
        <v>74</v>
      </c>
      <c r="S668" t="s">
        <v>74</v>
      </c>
      <c r="T668" t="s">
        <v>13153</v>
      </c>
      <c r="U668" t="s">
        <v>13154</v>
      </c>
      <c r="V668" t="s">
        <v>13155</v>
      </c>
      <c r="W668" t="s">
        <v>13156</v>
      </c>
      <c r="X668" t="s">
        <v>13157</v>
      </c>
      <c r="Y668" t="s">
        <v>13158</v>
      </c>
      <c r="Z668" t="s">
        <v>2185</v>
      </c>
      <c r="AA668" t="s">
        <v>13159</v>
      </c>
      <c r="AB668" t="s">
        <v>13160</v>
      </c>
      <c r="AC668" t="s">
        <v>13161</v>
      </c>
      <c r="AD668" t="s">
        <v>13161</v>
      </c>
      <c r="AE668" t="s">
        <v>13162</v>
      </c>
      <c r="AF668" t="s">
        <v>74</v>
      </c>
      <c r="AG668">
        <v>74</v>
      </c>
      <c r="AH668">
        <v>20</v>
      </c>
      <c r="AI668">
        <v>21</v>
      </c>
      <c r="AJ668">
        <v>4</v>
      </c>
      <c r="AK668">
        <v>61</v>
      </c>
      <c r="AL668" t="s">
        <v>890</v>
      </c>
      <c r="AM668" t="s">
        <v>891</v>
      </c>
      <c r="AN668" t="s">
        <v>892</v>
      </c>
      <c r="AO668" t="s">
        <v>893</v>
      </c>
      <c r="AP668" t="s">
        <v>894</v>
      </c>
      <c r="AQ668" t="s">
        <v>74</v>
      </c>
      <c r="AR668" t="s">
        <v>895</v>
      </c>
      <c r="AS668" t="s">
        <v>896</v>
      </c>
      <c r="AT668" t="s">
        <v>4706</v>
      </c>
      <c r="AU668">
        <v>2021</v>
      </c>
      <c r="AV668">
        <v>276</v>
      </c>
      <c r="AW668" t="s">
        <v>74</v>
      </c>
      <c r="AX668" t="s">
        <v>74</v>
      </c>
      <c r="AY668" t="s">
        <v>74</v>
      </c>
      <c r="AZ668" t="s">
        <v>74</v>
      </c>
      <c r="BA668" t="s">
        <v>74</v>
      </c>
      <c r="BB668" t="s">
        <v>74</v>
      </c>
      <c r="BC668" t="s">
        <v>74</v>
      </c>
      <c r="BD668">
        <v>116734</v>
      </c>
      <c r="BE668" t="s">
        <v>13163</v>
      </c>
      <c r="BF668" t="str">
        <f>HYPERLINK("http://dx.doi.org/10.1016/j.envpol.2021.116734","http://dx.doi.org/10.1016/j.envpol.2021.116734")</f>
        <v>http://dx.doi.org/10.1016/j.envpol.2021.116734</v>
      </c>
      <c r="BG668" t="s">
        <v>74</v>
      </c>
      <c r="BH668" t="s">
        <v>12028</v>
      </c>
      <c r="BI668">
        <v>7</v>
      </c>
      <c r="BJ668" t="s">
        <v>224</v>
      </c>
      <c r="BK668" t="s">
        <v>101</v>
      </c>
      <c r="BL668" t="s">
        <v>225</v>
      </c>
      <c r="BM668" t="s">
        <v>13164</v>
      </c>
      <c r="BN668">
        <v>33621733</v>
      </c>
      <c r="BO668" t="s">
        <v>663</v>
      </c>
      <c r="BP668" t="s">
        <v>74</v>
      </c>
      <c r="BQ668" t="s">
        <v>74</v>
      </c>
      <c r="BR668" t="s">
        <v>104</v>
      </c>
      <c r="BS668" t="s">
        <v>13165</v>
      </c>
      <c r="BT668" t="str">
        <f>HYPERLINK("https%3A%2F%2Fwww.webofscience.com%2Fwos%2Fwoscc%2Ffull-record%2FWOS:000630774100063","View Full Record in Web of Science")</f>
        <v>View Full Record in Web of Science</v>
      </c>
    </row>
    <row r="669" spans="1:72" x14ac:dyDescent="0.15">
      <c r="A669" t="s">
        <v>72</v>
      </c>
      <c r="B669" t="s">
        <v>13166</v>
      </c>
      <c r="C669" t="s">
        <v>74</v>
      </c>
      <c r="D669" t="s">
        <v>74</v>
      </c>
      <c r="E669" t="s">
        <v>74</v>
      </c>
      <c r="F669" t="s">
        <v>13167</v>
      </c>
      <c r="G669" t="s">
        <v>74</v>
      </c>
      <c r="H669" t="s">
        <v>74</v>
      </c>
      <c r="I669" t="s">
        <v>13168</v>
      </c>
      <c r="J669" t="s">
        <v>13169</v>
      </c>
      <c r="K669" t="s">
        <v>74</v>
      </c>
      <c r="L669" t="s">
        <v>74</v>
      </c>
      <c r="M669" t="s">
        <v>78</v>
      </c>
      <c r="N669" t="s">
        <v>79</v>
      </c>
      <c r="O669" t="s">
        <v>74</v>
      </c>
      <c r="P669" t="s">
        <v>74</v>
      </c>
      <c r="Q669" t="s">
        <v>74</v>
      </c>
      <c r="R669" t="s">
        <v>74</v>
      </c>
      <c r="S669" t="s">
        <v>74</v>
      </c>
      <c r="T669" t="s">
        <v>13170</v>
      </c>
      <c r="U669" t="s">
        <v>74</v>
      </c>
      <c r="V669" t="s">
        <v>13171</v>
      </c>
      <c r="W669" t="s">
        <v>13172</v>
      </c>
      <c r="X669" t="s">
        <v>13173</v>
      </c>
      <c r="Y669" t="s">
        <v>13174</v>
      </c>
      <c r="Z669" t="s">
        <v>13175</v>
      </c>
      <c r="AA669" t="s">
        <v>74</v>
      </c>
      <c r="AB669" t="s">
        <v>74</v>
      </c>
      <c r="AC669" t="s">
        <v>74</v>
      </c>
      <c r="AD669" t="s">
        <v>74</v>
      </c>
      <c r="AE669" t="s">
        <v>74</v>
      </c>
      <c r="AF669" t="s">
        <v>74</v>
      </c>
      <c r="AG669">
        <v>45</v>
      </c>
      <c r="AH669">
        <v>0</v>
      </c>
      <c r="AI669">
        <v>0</v>
      </c>
      <c r="AJ669">
        <v>0</v>
      </c>
      <c r="AK669">
        <v>2</v>
      </c>
      <c r="AL669" t="s">
        <v>13176</v>
      </c>
      <c r="AM669" t="s">
        <v>13177</v>
      </c>
      <c r="AN669" t="s">
        <v>13178</v>
      </c>
      <c r="AO669" t="s">
        <v>13179</v>
      </c>
      <c r="AP669" t="s">
        <v>13180</v>
      </c>
      <c r="AQ669" t="s">
        <v>74</v>
      </c>
      <c r="AR669" t="s">
        <v>13181</v>
      </c>
      <c r="AS669" t="s">
        <v>13182</v>
      </c>
      <c r="AT669" t="s">
        <v>3866</v>
      </c>
      <c r="AU669">
        <v>2021</v>
      </c>
      <c r="AV669">
        <v>11</v>
      </c>
      <c r="AW669">
        <v>2</v>
      </c>
      <c r="AX669" t="s">
        <v>74</v>
      </c>
      <c r="AY669" t="s">
        <v>74</v>
      </c>
      <c r="AZ669" t="s">
        <v>803</v>
      </c>
      <c r="BA669" t="s">
        <v>74</v>
      </c>
      <c r="BB669">
        <v>197</v>
      </c>
      <c r="BC669">
        <v>220</v>
      </c>
      <c r="BD669" t="s">
        <v>74</v>
      </c>
      <c r="BE669" t="s">
        <v>13183</v>
      </c>
      <c r="BF669" t="str">
        <f>HYPERLINK("http://dx.doi.org/10.1080/2201473X.2021.1888406","http://dx.doi.org/10.1080/2201473X.2021.1888406")</f>
        <v>http://dx.doi.org/10.1080/2201473X.2021.1888406</v>
      </c>
      <c r="BG669" t="s">
        <v>74</v>
      </c>
      <c r="BH669" t="s">
        <v>12028</v>
      </c>
      <c r="BI669">
        <v>24</v>
      </c>
      <c r="BJ669" t="s">
        <v>13184</v>
      </c>
      <c r="BK669" t="s">
        <v>342</v>
      </c>
      <c r="BL669" t="s">
        <v>13185</v>
      </c>
      <c r="BM669" t="s">
        <v>13186</v>
      </c>
      <c r="BN669" t="s">
        <v>74</v>
      </c>
      <c r="BO669" t="s">
        <v>74</v>
      </c>
      <c r="BP669" t="s">
        <v>74</v>
      </c>
      <c r="BQ669" t="s">
        <v>74</v>
      </c>
      <c r="BR669" t="s">
        <v>104</v>
      </c>
      <c r="BS669" t="s">
        <v>13187</v>
      </c>
      <c r="BT669" t="str">
        <f>HYPERLINK("https%3A%2F%2Fwww.webofscience.com%2Fwos%2Fwoscc%2Ffull-record%2FWOS:000620510200001","View Full Record in Web of Science")</f>
        <v>View Full Record in Web of Science</v>
      </c>
    </row>
    <row r="670" spans="1:72" x14ac:dyDescent="0.15">
      <c r="A670" t="s">
        <v>72</v>
      </c>
      <c r="B670" t="s">
        <v>13188</v>
      </c>
      <c r="C670" t="s">
        <v>74</v>
      </c>
      <c r="D670" t="s">
        <v>74</v>
      </c>
      <c r="E670" t="s">
        <v>74</v>
      </c>
      <c r="F670" t="s">
        <v>13189</v>
      </c>
      <c r="G670" t="s">
        <v>74</v>
      </c>
      <c r="H670" t="s">
        <v>74</v>
      </c>
      <c r="I670" t="s">
        <v>13190</v>
      </c>
      <c r="J670" t="s">
        <v>13191</v>
      </c>
      <c r="K670" t="s">
        <v>74</v>
      </c>
      <c r="L670" t="s">
        <v>74</v>
      </c>
      <c r="M670" t="s">
        <v>78</v>
      </c>
      <c r="N670" t="s">
        <v>79</v>
      </c>
      <c r="O670" t="s">
        <v>74</v>
      </c>
      <c r="P670" t="s">
        <v>74</v>
      </c>
      <c r="Q670" t="s">
        <v>74</v>
      </c>
      <c r="R670" t="s">
        <v>74</v>
      </c>
      <c r="S670" t="s">
        <v>74</v>
      </c>
      <c r="T670" t="s">
        <v>13192</v>
      </c>
      <c r="U670" t="s">
        <v>13193</v>
      </c>
      <c r="V670" t="s">
        <v>13194</v>
      </c>
      <c r="W670" t="s">
        <v>13195</v>
      </c>
      <c r="X670" t="s">
        <v>13196</v>
      </c>
      <c r="Y670" t="s">
        <v>13197</v>
      </c>
      <c r="Z670" t="s">
        <v>13198</v>
      </c>
      <c r="AA670" t="s">
        <v>74</v>
      </c>
      <c r="AB670" t="s">
        <v>13199</v>
      </c>
      <c r="AC670" t="s">
        <v>13200</v>
      </c>
      <c r="AD670" t="s">
        <v>13201</v>
      </c>
      <c r="AE670" t="s">
        <v>13202</v>
      </c>
      <c r="AF670" t="s">
        <v>74</v>
      </c>
      <c r="AG670">
        <v>65</v>
      </c>
      <c r="AH670">
        <v>4</v>
      </c>
      <c r="AI670">
        <v>4</v>
      </c>
      <c r="AJ670">
        <v>2</v>
      </c>
      <c r="AK670">
        <v>23</v>
      </c>
      <c r="AL670" t="s">
        <v>890</v>
      </c>
      <c r="AM670" t="s">
        <v>891</v>
      </c>
      <c r="AN670" t="s">
        <v>892</v>
      </c>
      <c r="AO670" t="s">
        <v>13203</v>
      </c>
      <c r="AP670" t="s">
        <v>13204</v>
      </c>
      <c r="AQ670" t="s">
        <v>74</v>
      </c>
      <c r="AR670" t="s">
        <v>13205</v>
      </c>
      <c r="AS670" t="s">
        <v>13206</v>
      </c>
      <c r="AT670" t="s">
        <v>1809</v>
      </c>
      <c r="AU670">
        <v>2021</v>
      </c>
      <c r="AV670">
        <v>125</v>
      </c>
      <c r="AW670">
        <v>3</v>
      </c>
      <c r="AX670" t="s">
        <v>74</v>
      </c>
      <c r="AY670" t="s">
        <v>74</v>
      </c>
      <c r="AZ670" t="s">
        <v>74</v>
      </c>
      <c r="BA670" t="s">
        <v>74</v>
      </c>
      <c r="BB670">
        <v>218</v>
      </c>
      <c r="BC670">
        <v>230</v>
      </c>
      <c r="BD670" t="s">
        <v>74</v>
      </c>
      <c r="BE670" t="s">
        <v>13207</v>
      </c>
      <c r="BF670" t="str">
        <f>HYPERLINK("http://dx.doi.org/10.1016/j.funbio.2020.11.003","http://dx.doi.org/10.1016/j.funbio.2020.11.003")</f>
        <v>http://dx.doi.org/10.1016/j.funbio.2020.11.003</v>
      </c>
      <c r="BG670" t="s">
        <v>74</v>
      </c>
      <c r="BH670" t="s">
        <v>12028</v>
      </c>
      <c r="BI670">
        <v>13</v>
      </c>
      <c r="BJ670" t="s">
        <v>13208</v>
      </c>
      <c r="BK670" t="s">
        <v>101</v>
      </c>
      <c r="BL670" t="s">
        <v>13208</v>
      </c>
      <c r="BM670" t="s">
        <v>13209</v>
      </c>
      <c r="BN670">
        <v>33622538</v>
      </c>
      <c r="BO670" t="s">
        <v>74</v>
      </c>
      <c r="BP670" t="s">
        <v>74</v>
      </c>
      <c r="BQ670" t="s">
        <v>74</v>
      </c>
      <c r="BR670" t="s">
        <v>104</v>
      </c>
      <c r="BS670" t="s">
        <v>13210</v>
      </c>
      <c r="BT670" t="str">
        <f>HYPERLINK("https%3A%2F%2Fwww.webofscience.com%2Fwos%2Fwoscc%2Ffull-record%2FWOS:000621095700007","View Full Record in Web of Science")</f>
        <v>View Full Record in Web of Science</v>
      </c>
    </row>
    <row r="671" spans="1:72" x14ac:dyDescent="0.15">
      <c r="A671" t="s">
        <v>72</v>
      </c>
      <c r="B671" t="s">
        <v>13211</v>
      </c>
      <c r="C671" t="s">
        <v>74</v>
      </c>
      <c r="D671" t="s">
        <v>74</v>
      </c>
      <c r="E671" t="s">
        <v>74</v>
      </c>
      <c r="F671" t="s">
        <v>13212</v>
      </c>
      <c r="G671" t="s">
        <v>74</v>
      </c>
      <c r="H671" t="s">
        <v>74</v>
      </c>
      <c r="I671" t="s">
        <v>13213</v>
      </c>
      <c r="J671" t="s">
        <v>1421</v>
      </c>
      <c r="K671" t="s">
        <v>74</v>
      </c>
      <c r="L671" t="s">
        <v>74</v>
      </c>
      <c r="M671" t="s">
        <v>78</v>
      </c>
      <c r="N671" t="s">
        <v>79</v>
      </c>
      <c r="O671" t="s">
        <v>74</v>
      </c>
      <c r="P671" t="s">
        <v>74</v>
      </c>
      <c r="Q671" t="s">
        <v>74</v>
      </c>
      <c r="R671" t="s">
        <v>74</v>
      </c>
      <c r="S671" t="s">
        <v>74</v>
      </c>
      <c r="T671" t="s">
        <v>13214</v>
      </c>
      <c r="U671" t="s">
        <v>13215</v>
      </c>
      <c r="V671" t="s">
        <v>13216</v>
      </c>
      <c r="W671" t="s">
        <v>13217</v>
      </c>
      <c r="X671" t="s">
        <v>13218</v>
      </c>
      <c r="Y671" t="s">
        <v>13219</v>
      </c>
      <c r="Z671" t="s">
        <v>13220</v>
      </c>
      <c r="AA671" t="s">
        <v>74</v>
      </c>
      <c r="AB671" t="s">
        <v>13221</v>
      </c>
      <c r="AC671" t="s">
        <v>13222</v>
      </c>
      <c r="AD671" t="s">
        <v>13223</v>
      </c>
      <c r="AE671" t="s">
        <v>13224</v>
      </c>
      <c r="AF671" t="s">
        <v>74</v>
      </c>
      <c r="AG671">
        <v>38</v>
      </c>
      <c r="AH671">
        <v>5</v>
      </c>
      <c r="AI671">
        <v>5</v>
      </c>
      <c r="AJ671">
        <v>2</v>
      </c>
      <c r="AK671">
        <v>15</v>
      </c>
      <c r="AL671" t="s">
        <v>166</v>
      </c>
      <c r="AM671" t="s">
        <v>167</v>
      </c>
      <c r="AN671" t="s">
        <v>168</v>
      </c>
      <c r="AO671" t="s">
        <v>1433</v>
      </c>
      <c r="AP671" t="s">
        <v>1434</v>
      </c>
      <c r="AQ671" t="s">
        <v>74</v>
      </c>
      <c r="AR671" t="s">
        <v>1435</v>
      </c>
      <c r="AS671" t="s">
        <v>1436</v>
      </c>
      <c r="AT671" t="s">
        <v>1809</v>
      </c>
      <c r="AU671">
        <v>2021</v>
      </c>
      <c r="AV671">
        <v>44</v>
      </c>
      <c r="AW671">
        <v>3</v>
      </c>
      <c r="AX671" t="s">
        <v>74</v>
      </c>
      <c r="AY671" t="s">
        <v>74</v>
      </c>
      <c r="AZ671" t="s">
        <v>74</v>
      </c>
      <c r="BA671" t="s">
        <v>74</v>
      </c>
      <c r="BB671">
        <v>613</v>
      </c>
      <c r="BC671">
        <v>619</v>
      </c>
      <c r="BD671" t="s">
        <v>74</v>
      </c>
      <c r="BE671" t="s">
        <v>13225</v>
      </c>
      <c r="BF671" t="str">
        <f>HYPERLINK("http://dx.doi.org/10.1007/s00300-021-02827-2","http://dx.doi.org/10.1007/s00300-021-02827-2")</f>
        <v>http://dx.doi.org/10.1007/s00300-021-02827-2</v>
      </c>
      <c r="BG671" t="s">
        <v>74</v>
      </c>
      <c r="BH671" t="s">
        <v>12028</v>
      </c>
      <c r="BI671">
        <v>7</v>
      </c>
      <c r="BJ671" t="s">
        <v>1438</v>
      </c>
      <c r="BK671" t="s">
        <v>101</v>
      </c>
      <c r="BL671" t="s">
        <v>1439</v>
      </c>
      <c r="BM671" t="s">
        <v>13018</v>
      </c>
      <c r="BN671" t="s">
        <v>74</v>
      </c>
      <c r="BO671" t="s">
        <v>74</v>
      </c>
      <c r="BP671" t="s">
        <v>74</v>
      </c>
      <c r="BQ671" t="s">
        <v>74</v>
      </c>
      <c r="BR671" t="s">
        <v>104</v>
      </c>
      <c r="BS671" t="s">
        <v>13226</v>
      </c>
      <c r="BT671" t="str">
        <f>HYPERLINK("https%3A%2F%2Fwww.webofscience.com%2Fwos%2Fwoscc%2Ffull-record%2FWOS:000619890100001","View Full Record in Web of Science")</f>
        <v>View Full Record in Web of Science</v>
      </c>
    </row>
    <row r="672" spans="1:72" x14ac:dyDescent="0.15">
      <c r="A672" t="s">
        <v>72</v>
      </c>
      <c r="B672" t="s">
        <v>13227</v>
      </c>
      <c r="C672" t="s">
        <v>74</v>
      </c>
      <c r="D672" t="s">
        <v>74</v>
      </c>
      <c r="E672" t="s">
        <v>74</v>
      </c>
      <c r="F672" t="s">
        <v>13228</v>
      </c>
      <c r="G672" t="s">
        <v>74</v>
      </c>
      <c r="H672" t="s">
        <v>74</v>
      </c>
      <c r="I672" t="s">
        <v>13229</v>
      </c>
      <c r="J672" t="s">
        <v>563</v>
      </c>
      <c r="K672" t="s">
        <v>74</v>
      </c>
      <c r="L672" t="s">
        <v>74</v>
      </c>
      <c r="M672" t="s">
        <v>78</v>
      </c>
      <c r="N672" t="s">
        <v>79</v>
      </c>
      <c r="O672" t="s">
        <v>74</v>
      </c>
      <c r="P672" t="s">
        <v>74</v>
      </c>
      <c r="Q672" t="s">
        <v>74</v>
      </c>
      <c r="R672" t="s">
        <v>74</v>
      </c>
      <c r="S672" t="s">
        <v>74</v>
      </c>
      <c r="T672" t="s">
        <v>13230</v>
      </c>
      <c r="U672" t="s">
        <v>13231</v>
      </c>
      <c r="V672" t="s">
        <v>13232</v>
      </c>
      <c r="W672" t="s">
        <v>13233</v>
      </c>
      <c r="X672" t="s">
        <v>13234</v>
      </c>
      <c r="Y672" t="s">
        <v>13235</v>
      </c>
      <c r="Z672" t="s">
        <v>13236</v>
      </c>
      <c r="AA672" t="s">
        <v>13237</v>
      </c>
      <c r="AB672" t="s">
        <v>13238</v>
      </c>
      <c r="AC672" t="s">
        <v>13239</v>
      </c>
      <c r="AD672" t="s">
        <v>13240</v>
      </c>
      <c r="AE672" t="s">
        <v>13241</v>
      </c>
      <c r="AF672" t="s">
        <v>74</v>
      </c>
      <c r="AG672">
        <v>63</v>
      </c>
      <c r="AH672">
        <v>16</v>
      </c>
      <c r="AI672">
        <v>16</v>
      </c>
      <c r="AJ672">
        <v>20</v>
      </c>
      <c r="AK672">
        <v>164</v>
      </c>
      <c r="AL672" t="s">
        <v>576</v>
      </c>
      <c r="AM672" t="s">
        <v>577</v>
      </c>
      <c r="AN672" t="s">
        <v>578</v>
      </c>
      <c r="AO672" t="s">
        <v>579</v>
      </c>
      <c r="AP672" t="s">
        <v>580</v>
      </c>
      <c r="AQ672" t="s">
        <v>74</v>
      </c>
      <c r="AR672" t="s">
        <v>581</v>
      </c>
      <c r="AS672" t="s">
        <v>582</v>
      </c>
      <c r="AT672" t="s">
        <v>13242</v>
      </c>
      <c r="AU672">
        <v>2021</v>
      </c>
      <c r="AV672">
        <v>756</v>
      </c>
      <c r="AW672" t="s">
        <v>74</v>
      </c>
      <c r="AX672" t="s">
        <v>74</v>
      </c>
      <c r="AY672" t="s">
        <v>74</v>
      </c>
      <c r="AZ672" t="s">
        <v>74</v>
      </c>
      <c r="BA672" t="s">
        <v>74</v>
      </c>
      <c r="BB672" t="s">
        <v>74</v>
      </c>
      <c r="BC672" t="s">
        <v>74</v>
      </c>
      <c r="BD672">
        <v>144088</v>
      </c>
      <c r="BE672" t="s">
        <v>13243</v>
      </c>
      <c r="BF672" t="str">
        <f>HYPERLINK("http://dx.doi.org/10.1016/j.scitotenv.2020.144088","http://dx.doi.org/10.1016/j.scitotenv.2020.144088")</f>
        <v>http://dx.doi.org/10.1016/j.scitotenv.2020.144088</v>
      </c>
      <c r="BG672" t="s">
        <v>74</v>
      </c>
      <c r="BH672" t="s">
        <v>74</v>
      </c>
      <c r="BI672">
        <v>6</v>
      </c>
      <c r="BJ672" t="s">
        <v>224</v>
      </c>
      <c r="BK672" t="s">
        <v>101</v>
      </c>
      <c r="BL672" t="s">
        <v>225</v>
      </c>
      <c r="BM672" t="s">
        <v>13244</v>
      </c>
      <c r="BN672">
        <v>33280871</v>
      </c>
      <c r="BO672" t="s">
        <v>74</v>
      </c>
      <c r="BP672" t="s">
        <v>74</v>
      </c>
      <c r="BQ672" t="s">
        <v>74</v>
      </c>
      <c r="BR672" t="s">
        <v>104</v>
      </c>
      <c r="BS672" t="s">
        <v>13245</v>
      </c>
      <c r="BT672" t="str">
        <f>HYPERLINK("https%3A%2F%2Fwww.webofscience.com%2Fwos%2Fwoscc%2Ffull-record%2FWOS:000603487500129","View Full Record in Web of Science")</f>
        <v>View Full Record in Web of Science</v>
      </c>
    </row>
    <row r="673" spans="1:72" x14ac:dyDescent="0.15">
      <c r="A673" t="s">
        <v>72</v>
      </c>
      <c r="B673" t="s">
        <v>13246</v>
      </c>
      <c r="C673" t="s">
        <v>74</v>
      </c>
      <c r="D673" t="s">
        <v>74</v>
      </c>
      <c r="E673" t="s">
        <v>74</v>
      </c>
      <c r="F673" t="s">
        <v>13247</v>
      </c>
      <c r="G673" t="s">
        <v>74</v>
      </c>
      <c r="H673" t="s">
        <v>74</v>
      </c>
      <c r="I673" t="s">
        <v>13248</v>
      </c>
      <c r="J673" t="s">
        <v>9833</v>
      </c>
      <c r="K673" t="s">
        <v>74</v>
      </c>
      <c r="L673" t="s">
        <v>74</v>
      </c>
      <c r="M673" t="s">
        <v>78</v>
      </c>
      <c r="N673" t="s">
        <v>79</v>
      </c>
      <c r="O673" t="s">
        <v>74</v>
      </c>
      <c r="P673" t="s">
        <v>74</v>
      </c>
      <c r="Q673" t="s">
        <v>74</v>
      </c>
      <c r="R673" t="s">
        <v>74</v>
      </c>
      <c r="S673" t="s">
        <v>74</v>
      </c>
      <c r="T673" t="s">
        <v>74</v>
      </c>
      <c r="U673" t="s">
        <v>13249</v>
      </c>
      <c r="V673" t="s">
        <v>13250</v>
      </c>
      <c r="W673" t="s">
        <v>13251</v>
      </c>
      <c r="X673" t="s">
        <v>13252</v>
      </c>
      <c r="Y673" t="s">
        <v>13253</v>
      </c>
      <c r="Z673" t="s">
        <v>13254</v>
      </c>
      <c r="AA673" t="s">
        <v>13255</v>
      </c>
      <c r="AB673" t="s">
        <v>13256</v>
      </c>
      <c r="AC673" t="s">
        <v>13257</v>
      </c>
      <c r="AD673" t="s">
        <v>13258</v>
      </c>
      <c r="AE673" t="s">
        <v>13259</v>
      </c>
      <c r="AF673" t="s">
        <v>74</v>
      </c>
      <c r="AG673">
        <v>80</v>
      </c>
      <c r="AH673">
        <v>8</v>
      </c>
      <c r="AI673">
        <v>8</v>
      </c>
      <c r="AJ673">
        <v>1</v>
      </c>
      <c r="AK673">
        <v>6</v>
      </c>
      <c r="AL673" t="s">
        <v>576</v>
      </c>
      <c r="AM673" t="s">
        <v>577</v>
      </c>
      <c r="AN673" t="s">
        <v>578</v>
      </c>
      <c r="AO673" t="s">
        <v>9845</v>
      </c>
      <c r="AP673" t="s">
        <v>9846</v>
      </c>
      <c r="AQ673" t="s">
        <v>74</v>
      </c>
      <c r="AR673" t="s">
        <v>9847</v>
      </c>
      <c r="AS673" t="s">
        <v>9848</v>
      </c>
      <c r="AT673" t="s">
        <v>127</v>
      </c>
      <c r="AU673">
        <v>2021</v>
      </c>
      <c r="AV673">
        <v>93</v>
      </c>
      <c r="AW673" t="s">
        <v>74</v>
      </c>
      <c r="AX673" t="s">
        <v>74</v>
      </c>
      <c r="AY673" t="s">
        <v>74</v>
      </c>
      <c r="AZ673" t="s">
        <v>74</v>
      </c>
      <c r="BA673" t="s">
        <v>74</v>
      </c>
      <c r="BB673">
        <v>128</v>
      </c>
      <c r="BC673">
        <v>141</v>
      </c>
      <c r="BD673" t="s">
        <v>74</v>
      </c>
      <c r="BE673" t="s">
        <v>13260</v>
      </c>
      <c r="BF673" t="str">
        <f>HYPERLINK("http://dx.doi.org/10.1016/j.gr.2020.12.032","http://dx.doi.org/10.1016/j.gr.2020.12.032")</f>
        <v>http://dx.doi.org/10.1016/j.gr.2020.12.032</v>
      </c>
      <c r="BG673" t="s">
        <v>74</v>
      </c>
      <c r="BH673" t="s">
        <v>12028</v>
      </c>
      <c r="BI673">
        <v>14</v>
      </c>
      <c r="BJ673" t="s">
        <v>100</v>
      </c>
      <c r="BK673" t="s">
        <v>101</v>
      </c>
      <c r="BL673" t="s">
        <v>102</v>
      </c>
      <c r="BM673" t="s">
        <v>13261</v>
      </c>
      <c r="BN673" t="s">
        <v>74</v>
      </c>
      <c r="BO673" t="s">
        <v>74</v>
      </c>
      <c r="BP673" t="s">
        <v>74</v>
      </c>
      <c r="BQ673" t="s">
        <v>74</v>
      </c>
      <c r="BR673" t="s">
        <v>104</v>
      </c>
      <c r="BS673" t="s">
        <v>13262</v>
      </c>
      <c r="BT673" t="str">
        <f>HYPERLINK("https%3A%2F%2Fwww.webofscience.com%2Fwos%2Fwoscc%2Ffull-record%2FWOS:000634530100003","View Full Record in Web of Science")</f>
        <v>View Full Record in Web of Science</v>
      </c>
    </row>
    <row r="674" spans="1:72" x14ac:dyDescent="0.15">
      <c r="A674" t="s">
        <v>72</v>
      </c>
      <c r="B674" t="s">
        <v>13263</v>
      </c>
      <c r="C674" t="s">
        <v>74</v>
      </c>
      <c r="D674" t="s">
        <v>74</v>
      </c>
      <c r="E674" t="s">
        <v>74</v>
      </c>
      <c r="F674" t="s">
        <v>13264</v>
      </c>
      <c r="G674" t="s">
        <v>74</v>
      </c>
      <c r="H674" t="s">
        <v>74</v>
      </c>
      <c r="I674" t="s">
        <v>13265</v>
      </c>
      <c r="J674" t="s">
        <v>9481</v>
      </c>
      <c r="K674" t="s">
        <v>74</v>
      </c>
      <c r="L674" t="s">
        <v>74</v>
      </c>
      <c r="M674" t="s">
        <v>78</v>
      </c>
      <c r="N674" t="s">
        <v>79</v>
      </c>
      <c r="O674" t="s">
        <v>74</v>
      </c>
      <c r="P674" t="s">
        <v>74</v>
      </c>
      <c r="Q674" t="s">
        <v>74</v>
      </c>
      <c r="R674" t="s">
        <v>74</v>
      </c>
      <c r="S674" t="s">
        <v>74</v>
      </c>
      <c r="T674" t="s">
        <v>13266</v>
      </c>
      <c r="U674" t="s">
        <v>74</v>
      </c>
      <c r="V674" t="s">
        <v>13267</v>
      </c>
      <c r="W674" t="s">
        <v>13268</v>
      </c>
      <c r="X674" t="s">
        <v>13269</v>
      </c>
      <c r="Y674" t="s">
        <v>13270</v>
      </c>
      <c r="Z674" t="s">
        <v>13271</v>
      </c>
      <c r="AA674" t="s">
        <v>13272</v>
      </c>
      <c r="AB674" t="s">
        <v>13273</v>
      </c>
      <c r="AC674" t="s">
        <v>13274</v>
      </c>
      <c r="AD674" t="s">
        <v>13275</v>
      </c>
      <c r="AE674" t="s">
        <v>13276</v>
      </c>
      <c r="AF674" t="s">
        <v>74</v>
      </c>
      <c r="AG674">
        <v>121</v>
      </c>
      <c r="AH674">
        <v>24</v>
      </c>
      <c r="AI674">
        <v>24</v>
      </c>
      <c r="AJ674">
        <v>4</v>
      </c>
      <c r="AK674">
        <v>43</v>
      </c>
      <c r="AL674" t="s">
        <v>576</v>
      </c>
      <c r="AM674" t="s">
        <v>577</v>
      </c>
      <c r="AN674" t="s">
        <v>578</v>
      </c>
      <c r="AO674" t="s">
        <v>9494</v>
      </c>
      <c r="AP674" t="s">
        <v>9495</v>
      </c>
      <c r="AQ674" t="s">
        <v>74</v>
      </c>
      <c r="AR674" t="s">
        <v>9481</v>
      </c>
      <c r="AS674" t="s">
        <v>9496</v>
      </c>
      <c r="AT674" t="s">
        <v>1683</v>
      </c>
      <c r="AU674">
        <v>2021</v>
      </c>
      <c r="AV674">
        <v>391</v>
      </c>
      <c r="AW674" t="s">
        <v>74</v>
      </c>
      <c r="AX674" t="s">
        <v>74</v>
      </c>
      <c r="AY674" t="s">
        <v>74</v>
      </c>
      <c r="AZ674" t="s">
        <v>74</v>
      </c>
      <c r="BA674" t="s">
        <v>74</v>
      </c>
      <c r="BB674" t="s">
        <v>74</v>
      </c>
      <c r="BC674" t="s">
        <v>74</v>
      </c>
      <c r="BD674">
        <v>114950</v>
      </c>
      <c r="BE674" t="s">
        <v>13277</v>
      </c>
      <c r="BF674" t="str">
        <f>HYPERLINK("http://dx.doi.org/10.1016/j.geoderma.2021.114950","http://dx.doi.org/10.1016/j.geoderma.2021.114950")</f>
        <v>http://dx.doi.org/10.1016/j.geoderma.2021.114950</v>
      </c>
      <c r="BG674" t="s">
        <v>74</v>
      </c>
      <c r="BH674" t="s">
        <v>12028</v>
      </c>
      <c r="BI674">
        <v>18</v>
      </c>
      <c r="BJ674" t="s">
        <v>5391</v>
      </c>
      <c r="BK674" t="s">
        <v>101</v>
      </c>
      <c r="BL674" t="s">
        <v>5392</v>
      </c>
      <c r="BM674" t="s">
        <v>13278</v>
      </c>
      <c r="BN674" t="s">
        <v>74</v>
      </c>
      <c r="BO674" t="s">
        <v>74</v>
      </c>
      <c r="BP674" t="s">
        <v>74</v>
      </c>
      <c r="BQ674" t="s">
        <v>74</v>
      </c>
      <c r="BR674" t="s">
        <v>104</v>
      </c>
      <c r="BS674" t="s">
        <v>13279</v>
      </c>
      <c r="BT674" t="str">
        <f>HYPERLINK("https%3A%2F%2Fwww.webofscience.com%2Fwos%2Fwoscc%2Ffull-record%2FWOS:000625877700002","View Full Record in Web of Science")</f>
        <v>View Full Record in Web of Science</v>
      </c>
    </row>
    <row r="675" spans="1:72" x14ac:dyDescent="0.15">
      <c r="A675" t="s">
        <v>72</v>
      </c>
      <c r="B675" t="s">
        <v>13280</v>
      </c>
      <c r="C675" t="s">
        <v>74</v>
      </c>
      <c r="D675" t="s">
        <v>74</v>
      </c>
      <c r="E675" t="s">
        <v>74</v>
      </c>
      <c r="F675" t="s">
        <v>13281</v>
      </c>
      <c r="G675" t="s">
        <v>74</v>
      </c>
      <c r="H675" t="s">
        <v>74</v>
      </c>
      <c r="I675" t="s">
        <v>13282</v>
      </c>
      <c r="J675" t="s">
        <v>13283</v>
      </c>
      <c r="K675" t="s">
        <v>74</v>
      </c>
      <c r="L675" t="s">
        <v>74</v>
      </c>
      <c r="M675" t="s">
        <v>78</v>
      </c>
      <c r="N675" t="s">
        <v>79</v>
      </c>
      <c r="O675" t="s">
        <v>74</v>
      </c>
      <c r="P675" t="s">
        <v>74</v>
      </c>
      <c r="Q675" t="s">
        <v>74</v>
      </c>
      <c r="R675" t="s">
        <v>74</v>
      </c>
      <c r="S675" t="s">
        <v>74</v>
      </c>
      <c r="T675" t="s">
        <v>13284</v>
      </c>
      <c r="U675" t="s">
        <v>74</v>
      </c>
      <c r="V675" t="s">
        <v>13285</v>
      </c>
      <c r="W675" t="s">
        <v>13286</v>
      </c>
      <c r="X675" t="s">
        <v>13287</v>
      </c>
      <c r="Y675" t="s">
        <v>13288</v>
      </c>
      <c r="Z675" t="s">
        <v>13289</v>
      </c>
      <c r="AA675" t="s">
        <v>74</v>
      </c>
      <c r="AB675" t="s">
        <v>74</v>
      </c>
      <c r="AC675" t="s">
        <v>13290</v>
      </c>
      <c r="AD675" t="s">
        <v>13290</v>
      </c>
      <c r="AE675" t="s">
        <v>13291</v>
      </c>
      <c r="AF675" t="s">
        <v>74</v>
      </c>
      <c r="AG675">
        <v>54</v>
      </c>
      <c r="AH675">
        <v>4</v>
      </c>
      <c r="AI675">
        <v>4</v>
      </c>
      <c r="AJ675">
        <v>3</v>
      </c>
      <c r="AK675">
        <v>15</v>
      </c>
      <c r="AL675" t="s">
        <v>1058</v>
      </c>
      <c r="AM675" t="s">
        <v>891</v>
      </c>
      <c r="AN675" t="s">
        <v>1059</v>
      </c>
      <c r="AO675" t="s">
        <v>13292</v>
      </c>
      <c r="AP675" t="s">
        <v>13293</v>
      </c>
      <c r="AQ675" t="s">
        <v>74</v>
      </c>
      <c r="AR675" t="s">
        <v>13294</v>
      </c>
      <c r="AS675" t="s">
        <v>13295</v>
      </c>
      <c r="AT675" t="s">
        <v>8646</v>
      </c>
      <c r="AU675">
        <v>2021</v>
      </c>
      <c r="AV675">
        <v>224</v>
      </c>
      <c r="AW675" t="s">
        <v>74</v>
      </c>
      <c r="AX675" t="s">
        <v>74</v>
      </c>
      <c r="AY675" t="s">
        <v>74</v>
      </c>
      <c r="AZ675" t="s">
        <v>74</v>
      </c>
      <c r="BA675" t="s">
        <v>74</v>
      </c>
      <c r="BB675" t="s">
        <v>74</v>
      </c>
      <c r="BC675" t="s">
        <v>74</v>
      </c>
      <c r="BD675">
        <v>108671</v>
      </c>
      <c r="BE675" t="s">
        <v>13296</v>
      </c>
      <c r="BF675" t="str">
        <f>HYPERLINK("http://dx.doi.org/10.1016/j.oceaneng.2021.108671","http://dx.doi.org/10.1016/j.oceaneng.2021.108671")</f>
        <v>http://dx.doi.org/10.1016/j.oceaneng.2021.108671</v>
      </c>
      <c r="BG675" t="s">
        <v>74</v>
      </c>
      <c r="BH675" t="s">
        <v>12028</v>
      </c>
      <c r="BI675">
        <v>13</v>
      </c>
      <c r="BJ675" t="s">
        <v>13297</v>
      </c>
      <c r="BK675" t="s">
        <v>101</v>
      </c>
      <c r="BL675" t="s">
        <v>5633</v>
      </c>
      <c r="BM675" t="s">
        <v>13298</v>
      </c>
      <c r="BN675" t="s">
        <v>74</v>
      </c>
      <c r="BO675" t="s">
        <v>712</v>
      </c>
      <c r="BP675" t="s">
        <v>74</v>
      </c>
      <c r="BQ675" t="s">
        <v>74</v>
      </c>
      <c r="BR675" t="s">
        <v>104</v>
      </c>
      <c r="BS675" t="s">
        <v>13299</v>
      </c>
      <c r="BT675" t="str">
        <f>HYPERLINK("https%3A%2F%2Fwww.webofscience.com%2Fwos%2Fwoscc%2Ffull-record%2FWOS:000628913000004","View Full Record in Web of Science")</f>
        <v>View Full Record in Web of Science</v>
      </c>
    </row>
    <row r="676" spans="1:72" x14ac:dyDescent="0.15">
      <c r="A676" t="s">
        <v>72</v>
      </c>
      <c r="B676" t="s">
        <v>13300</v>
      </c>
      <c r="C676" t="s">
        <v>74</v>
      </c>
      <c r="D676" t="s">
        <v>74</v>
      </c>
      <c r="E676" t="s">
        <v>74</v>
      </c>
      <c r="F676" t="s">
        <v>13301</v>
      </c>
      <c r="G676" t="s">
        <v>74</v>
      </c>
      <c r="H676" t="s">
        <v>74</v>
      </c>
      <c r="I676" t="s">
        <v>13302</v>
      </c>
      <c r="J676" t="s">
        <v>590</v>
      </c>
      <c r="K676" t="s">
        <v>74</v>
      </c>
      <c r="L676" t="s">
        <v>74</v>
      </c>
      <c r="M676" t="s">
        <v>78</v>
      </c>
      <c r="N676" t="s">
        <v>79</v>
      </c>
      <c r="O676" t="s">
        <v>74</v>
      </c>
      <c r="P676" t="s">
        <v>74</v>
      </c>
      <c r="Q676" t="s">
        <v>74</v>
      </c>
      <c r="R676" t="s">
        <v>74</v>
      </c>
      <c r="S676" t="s">
        <v>74</v>
      </c>
      <c r="T676" t="s">
        <v>13303</v>
      </c>
      <c r="U676" t="s">
        <v>74</v>
      </c>
      <c r="V676" t="s">
        <v>13304</v>
      </c>
      <c r="W676" t="s">
        <v>13305</v>
      </c>
      <c r="X676" t="s">
        <v>13306</v>
      </c>
      <c r="Y676" t="s">
        <v>13307</v>
      </c>
      <c r="Z676" t="s">
        <v>13308</v>
      </c>
      <c r="AA676" t="s">
        <v>13309</v>
      </c>
      <c r="AB676" t="s">
        <v>13310</v>
      </c>
      <c r="AC676" t="s">
        <v>13311</v>
      </c>
      <c r="AD676" t="s">
        <v>13312</v>
      </c>
      <c r="AE676" t="s">
        <v>13313</v>
      </c>
      <c r="AF676" t="s">
        <v>74</v>
      </c>
      <c r="AG676">
        <v>35</v>
      </c>
      <c r="AH676">
        <v>10</v>
      </c>
      <c r="AI676">
        <v>10</v>
      </c>
      <c r="AJ676">
        <v>1</v>
      </c>
      <c r="AK676">
        <v>34</v>
      </c>
      <c r="AL676" t="s">
        <v>603</v>
      </c>
      <c r="AM676" t="s">
        <v>604</v>
      </c>
      <c r="AN676" t="s">
        <v>605</v>
      </c>
      <c r="AO676" t="s">
        <v>74</v>
      </c>
      <c r="AP676" t="s">
        <v>606</v>
      </c>
      <c r="AQ676" t="s">
        <v>74</v>
      </c>
      <c r="AR676" t="s">
        <v>607</v>
      </c>
      <c r="AS676" t="s">
        <v>608</v>
      </c>
      <c r="AT676" t="s">
        <v>13314</v>
      </c>
      <c r="AU676">
        <v>2021</v>
      </c>
      <c r="AV676">
        <v>9</v>
      </c>
      <c r="AW676" t="s">
        <v>74</v>
      </c>
      <c r="AX676" t="s">
        <v>74</v>
      </c>
      <c r="AY676" t="s">
        <v>74</v>
      </c>
      <c r="AZ676" t="s">
        <v>74</v>
      </c>
      <c r="BA676" t="s">
        <v>74</v>
      </c>
      <c r="BB676" t="s">
        <v>74</v>
      </c>
      <c r="BC676" t="s">
        <v>74</v>
      </c>
      <c r="BD676">
        <v>607487</v>
      </c>
      <c r="BE676" t="s">
        <v>13315</v>
      </c>
      <c r="BF676" t="str">
        <f>HYPERLINK("http://dx.doi.org/10.3389/feart.2021.607487","http://dx.doi.org/10.3389/feart.2021.607487")</f>
        <v>http://dx.doi.org/10.3389/feart.2021.607487</v>
      </c>
      <c r="BG676" t="s">
        <v>74</v>
      </c>
      <c r="BH676" t="s">
        <v>74</v>
      </c>
      <c r="BI676">
        <v>11</v>
      </c>
      <c r="BJ676" t="s">
        <v>100</v>
      </c>
      <c r="BK676" t="s">
        <v>101</v>
      </c>
      <c r="BL676" t="s">
        <v>102</v>
      </c>
      <c r="BM676" t="s">
        <v>13316</v>
      </c>
      <c r="BN676" t="s">
        <v>74</v>
      </c>
      <c r="BO676" t="s">
        <v>317</v>
      </c>
      <c r="BP676" t="s">
        <v>74</v>
      </c>
      <c r="BQ676" t="s">
        <v>74</v>
      </c>
      <c r="BR676" t="s">
        <v>104</v>
      </c>
      <c r="BS676" t="s">
        <v>13317</v>
      </c>
      <c r="BT676" t="str">
        <f>HYPERLINK("https%3A%2F%2Fwww.webofscience.com%2Fwos%2Fwoscc%2Ffull-record%2FWOS:000625814900001","View Full Record in Web of Science")</f>
        <v>View Full Record in Web of Science</v>
      </c>
    </row>
    <row r="677" spans="1:72" x14ac:dyDescent="0.15">
      <c r="A677" t="s">
        <v>72</v>
      </c>
      <c r="B677" t="s">
        <v>13318</v>
      </c>
      <c r="C677" t="s">
        <v>74</v>
      </c>
      <c r="D677" t="s">
        <v>74</v>
      </c>
      <c r="E677" t="s">
        <v>74</v>
      </c>
      <c r="F677" t="s">
        <v>13319</v>
      </c>
      <c r="G677" t="s">
        <v>74</v>
      </c>
      <c r="H677" t="s">
        <v>74</v>
      </c>
      <c r="I677" t="s">
        <v>13320</v>
      </c>
      <c r="J677" t="s">
        <v>13321</v>
      </c>
      <c r="K677" t="s">
        <v>74</v>
      </c>
      <c r="L677" t="s">
        <v>74</v>
      </c>
      <c r="M677" t="s">
        <v>78</v>
      </c>
      <c r="N677" t="s">
        <v>79</v>
      </c>
      <c r="O677" t="s">
        <v>74</v>
      </c>
      <c r="P677" t="s">
        <v>74</v>
      </c>
      <c r="Q677" t="s">
        <v>74</v>
      </c>
      <c r="R677" t="s">
        <v>74</v>
      </c>
      <c r="S677" t="s">
        <v>74</v>
      </c>
      <c r="T677" t="s">
        <v>74</v>
      </c>
      <c r="U677" t="s">
        <v>13322</v>
      </c>
      <c r="V677" t="s">
        <v>13323</v>
      </c>
      <c r="W677" t="s">
        <v>13324</v>
      </c>
      <c r="X677" t="s">
        <v>13325</v>
      </c>
      <c r="Y677" t="s">
        <v>13326</v>
      </c>
      <c r="Z677" t="s">
        <v>13327</v>
      </c>
      <c r="AA677" t="s">
        <v>13328</v>
      </c>
      <c r="AB677" t="s">
        <v>13329</v>
      </c>
      <c r="AC677" t="s">
        <v>13330</v>
      </c>
      <c r="AD677" t="s">
        <v>13331</v>
      </c>
      <c r="AE677" t="s">
        <v>13332</v>
      </c>
      <c r="AF677" t="s">
        <v>74</v>
      </c>
      <c r="AG677">
        <v>86</v>
      </c>
      <c r="AH677">
        <v>23</v>
      </c>
      <c r="AI677">
        <v>24</v>
      </c>
      <c r="AJ677">
        <v>0</v>
      </c>
      <c r="AK677">
        <v>5</v>
      </c>
      <c r="AL677" t="s">
        <v>576</v>
      </c>
      <c r="AM677" t="s">
        <v>577</v>
      </c>
      <c r="AN677" t="s">
        <v>578</v>
      </c>
      <c r="AO677" t="s">
        <v>13333</v>
      </c>
      <c r="AP677" t="s">
        <v>13334</v>
      </c>
      <c r="AQ677" t="s">
        <v>74</v>
      </c>
      <c r="AR677" t="s">
        <v>13321</v>
      </c>
      <c r="AS677" t="s">
        <v>13335</v>
      </c>
      <c r="AT677" t="s">
        <v>2859</v>
      </c>
      <c r="AU677">
        <v>2021</v>
      </c>
      <c r="AV677">
        <v>386</v>
      </c>
      <c r="AW677" t="s">
        <v>74</v>
      </c>
      <c r="AX677" t="s">
        <v>74</v>
      </c>
      <c r="AY677" t="s">
        <v>74</v>
      </c>
      <c r="AZ677" t="s">
        <v>74</v>
      </c>
      <c r="BA677" t="s">
        <v>74</v>
      </c>
      <c r="BB677" t="s">
        <v>74</v>
      </c>
      <c r="BC677" t="s">
        <v>74</v>
      </c>
      <c r="BD677">
        <v>106013</v>
      </c>
      <c r="BE677" t="s">
        <v>13336</v>
      </c>
      <c r="BF677" t="str">
        <f>HYPERLINK("http://dx.doi.org/10.1016/j.lithos.2021.106013","http://dx.doi.org/10.1016/j.lithos.2021.106013")</f>
        <v>http://dx.doi.org/10.1016/j.lithos.2021.106013</v>
      </c>
      <c r="BG677" t="s">
        <v>74</v>
      </c>
      <c r="BH677" t="s">
        <v>12028</v>
      </c>
      <c r="BI677">
        <v>14</v>
      </c>
      <c r="BJ677" t="s">
        <v>4732</v>
      </c>
      <c r="BK677" t="s">
        <v>101</v>
      </c>
      <c r="BL677" t="s">
        <v>4732</v>
      </c>
      <c r="BM677" t="s">
        <v>13337</v>
      </c>
      <c r="BN677" t="s">
        <v>74</v>
      </c>
      <c r="BO677" t="s">
        <v>2543</v>
      </c>
      <c r="BP677" t="s">
        <v>74</v>
      </c>
      <c r="BQ677" t="s">
        <v>74</v>
      </c>
      <c r="BR677" t="s">
        <v>104</v>
      </c>
      <c r="BS677" t="s">
        <v>13338</v>
      </c>
      <c r="BT677" t="str">
        <f>HYPERLINK("https%3A%2F%2Fwww.webofscience.com%2Fwos%2Fwoscc%2Ffull-record%2FWOS:000632257200004","View Full Record in Web of Science")</f>
        <v>View Full Record in Web of Science</v>
      </c>
    </row>
    <row r="678" spans="1:72" x14ac:dyDescent="0.15">
      <c r="A678" t="s">
        <v>72</v>
      </c>
      <c r="B678" t="s">
        <v>13339</v>
      </c>
      <c r="C678" t="s">
        <v>74</v>
      </c>
      <c r="D678" t="s">
        <v>74</v>
      </c>
      <c r="E678" t="s">
        <v>74</v>
      </c>
      <c r="F678" t="s">
        <v>13340</v>
      </c>
      <c r="G678" t="s">
        <v>74</v>
      </c>
      <c r="H678" t="s">
        <v>74</v>
      </c>
      <c r="I678" t="s">
        <v>13341</v>
      </c>
      <c r="J678" t="s">
        <v>1557</v>
      </c>
      <c r="K678" t="s">
        <v>74</v>
      </c>
      <c r="L678" t="s">
        <v>74</v>
      </c>
      <c r="M678" t="s">
        <v>78</v>
      </c>
      <c r="N678" t="s">
        <v>79</v>
      </c>
      <c r="O678" t="s">
        <v>74</v>
      </c>
      <c r="P678" t="s">
        <v>74</v>
      </c>
      <c r="Q678" t="s">
        <v>74</v>
      </c>
      <c r="R678" t="s">
        <v>74</v>
      </c>
      <c r="S678" t="s">
        <v>74</v>
      </c>
      <c r="T678" t="s">
        <v>74</v>
      </c>
      <c r="U678" t="s">
        <v>13342</v>
      </c>
      <c r="V678" t="s">
        <v>13343</v>
      </c>
      <c r="W678" t="s">
        <v>13344</v>
      </c>
      <c r="X678" t="s">
        <v>13345</v>
      </c>
      <c r="Y678" t="s">
        <v>13346</v>
      </c>
      <c r="Z678" t="s">
        <v>13347</v>
      </c>
      <c r="AA678" t="s">
        <v>13348</v>
      </c>
      <c r="AB678" t="s">
        <v>13349</v>
      </c>
      <c r="AC678" t="s">
        <v>13350</v>
      </c>
      <c r="AD678" t="s">
        <v>13351</v>
      </c>
      <c r="AE678" t="s">
        <v>13352</v>
      </c>
      <c r="AF678" t="s">
        <v>74</v>
      </c>
      <c r="AG678">
        <v>85</v>
      </c>
      <c r="AH678">
        <v>23</v>
      </c>
      <c r="AI678">
        <v>26</v>
      </c>
      <c r="AJ678">
        <v>2</v>
      </c>
      <c r="AK678">
        <v>13</v>
      </c>
      <c r="AL678" t="s">
        <v>1481</v>
      </c>
      <c r="AM678" t="s">
        <v>1482</v>
      </c>
      <c r="AN678" t="s">
        <v>1483</v>
      </c>
      <c r="AO678" t="s">
        <v>74</v>
      </c>
      <c r="AP678" t="s">
        <v>1569</v>
      </c>
      <c r="AQ678" t="s">
        <v>74</v>
      </c>
      <c r="AR678" t="s">
        <v>1557</v>
      </c>
      <c r="AS678" t="s">
        <v>1570</v>
      </c>
      <c r="AT678" t="s">
        <v>13314</v>
      </c>
      <c r="AU678">
        <v>2021</v>
      </c>
      <c r="AV678">
        <v>24</v>
      </c>
      <c r="AW678">
        <v>2</v>
      </c>
      <c r="AX678" t="s">
        <v>74</v>
      </c>
      <c r="AY678" t="s">
        <v>74</v>
      </c>
      <c r="AZ678" t="s">
        <v>74</v>
      </c>
      <c r="BA678" t="s">
        <v>74</v>
      </c>
      <c r="BB678" t="s">
        <v>74</v>
      </c>
      <c r="BC678" t="s">
        <v>74</v>
      </c>
      <c r="BD678">
        <v>102084</v>
      </c>
      <c r="BE678" t="s">
        <v>13353</v>
      </c>
      <c r="BF678" t="str">
        <f>HYPERLINK("http://dx.doi.org/10.1016/j.isci.2021.102084","http://dx.doi.org/10.1016/j.isci.2021.102084")</f>
        <v>http://dx.doi.org/10.1016/j.isci.2021.102084</v>
      </c>
      <c r="BG678" t="s">
        <v>74</v>
      </c>
      <c r="BH678" t="s">
        <v>74</v>
      </c>
      <c r="BI678">
        <v>25</v>
      </c>
      <c r="BJ678" t="s">
        <v>555</v>
      </c>
      <c r="BK678" t="s">
        <v>101</v>
      </c>
      <c r="BL678" t="s">
        <v>556</v>
      </c>
      <c r="BM678" t="s">
        <v>13354</v>
      </c>
      <c r="BN678">
        <v>33644715</v>
      </c>
      <c r="BO678" t="s">
        <v>558</v>
      </c>
      <c r="BP678" t="s">
        <v>74</v>
      </c>
      <c r="BQ678" t="s">
        <v>74</v>
      </c>
      <c r="BR678" t="s">
        <v>104</v>
      </c>
      <c r="BS678" t="s">
        <v>13355</v>
      </c>
      <c r="BT678" t="str">
        <f>HYPERLINK("https%3A%2F%2Fwww.webofscience.com%2Fwos%2Fwoscc%2Ffull-record%2FWOS:000621266700059","View Full Record in Web of Science")</f>
        <v>View Full Record in Web of Science</v>
      </c>
    </row>
    <row r="679" spans="1:72" x14ac:dyDescent="0.15">
      <c r="A679" t="s">
        <v>72</v>
      </c>
      <c r="B679" t="s">
        <v>13356</v>
      </c>
      <c r="C679" t="s">
        <v>74</v>
      </c>
      <c r="D679" t="s">
        <v>74</v>
      </c>
      <c r="E679" t="s">
        <v>74</v>
      </c>
      <c r="F679" t="s">
        <v>13357</v>
      </c>
      <c r="G679" t="s">
        <v>74</v>
      </c>
      <c r="H679" t="s">
        <v>74</v>
      </c>
      <c r="I679" t="s">
        <v>13358</v>
      </c>
      <c r="J679" t="s">
        <v>8794</v>
      </c>
      <c r="K679" t="s">
        <v>74</v>
      </c>
      <c r="L679" t="s">
        <v>74</v>
      </c>
      <c r="M679" t="s">
        <v>78</v>
      </c>
      <c r="N679" t="s">
        <v>79</v>
      </c>
      <c r="O679" t="s">
        <v>74</v>
      </c>
      <c r="P679" t="s">
        <v>74</v>
      </c>
      <c r="Q679" t="s">
        <v>74</v>
      </c>
      <c r="R679" t="s">
        <v>74</v>
      </c>
      <c r="S679" t="s">
        <v>74</v>
      </c>
      <c r="T679" t="s">
        <v>74</v>
      </c>
      <c r="U679" t="s">
        <v>74</v>
      </c>
      <c r="V679" t="s">
        <v>13359</v>
      </c>
      <c r="W679" t="s">
        <v>13360</v>
      </c>
      <c r="X679" t="s">
        <v>13361</v>
      </c>
      <c r="Y679" t="s">
        <v>13362</v>
      </c>
      <c r="Z679" t="s">
        <v>13363</v>
      </c>
      <c r="AA679" t="s">
        <v>13364</v>
      </c>
      <c r="AB679" t="s">
        <v>13365</v>
      </c>
      <c r="AC679" t="s">
        <v>13366</v>
      </c>
      <c r="AD679" t="s">
        <v>13367</v>
      </c>
      <c r="AE679" t="s">
        <v>13368</v>
      </c>
      <c r="AF679" t="s">
        <v>74</v>
      </c>
      <c r="AG679">
        <v>176</v>
      </c>
      <c r="AH679">
        <v>56</v>
      </c>
      <c r="AI679">
        <v>60</v>
      </c>
      <c r="AJ679">
        <v>8</v>
      </c>
      <c r="AK679">
        <v>103</v>
      </c>
      <c r="AL679" t="s">
        <v>4283</v>
      </c>
      <c r="AM679" t="s">
        <v>390</v>
      </c>
      <c r="AN679" t="s">
        <v>4284</v>
      </c>
      <c r="AO679" t="s">
        <v>8806</v>
      </c>
      <c r="AP679" t="s">
        <v>8807</v>
      </c>
      <c r="AQ679" t="s">
        <v>74</v>
      </c>
      <c r="AR679" t="s">
        <v>8794</v>
      </c>
      <c r="AS679" t="s">
        <v>8808</v>
      </c>
      <c r="AT679" t="s">
        <v>13314</v>
      </c>
      <c r="AU679">
        <v>2021</v>
      </c>
      <c r="AV679">
        <v>371</v>
      </c>
      <c r="AW679">
        <v>6531</v>
      </c>
      <c r="AX679" t="s">
        <v>74</v>
      </c>
      <c r="AY679" t="s">
        <v>74</v>
      </c>
      <c r="AZ679" t="s">
        <v>74</v>
      </c>
      <c r="BA679" t="s">
        <v>74</v>
      </c>
      <c r="BB679">
        <v>811</v>
      </c>
      <c r="BC679" t="s">
        <v>867</v>
      </c>
      <c r="BD679" t="s">
        <v>74</v>
      </c>
      <c r="BE679" t="s">
        <v>13369</v>
      </c>
      <c r="BF679" t="str">
        <f>HYPERLINK("http://dx.doi.org/10.1126/science.abb8677","http://dx.doi.org/10.1126/science.abb8677")</f>
        <v>http://dx.doi.org/10.1126/science.abb8677</v>
      </c>
      <c r="BG679" t="s">
        <v>74</v>
      </c>
      <c r="BH679" t="s">
        <v>74</v>
      </c>
      <c r="BI679">
        <v>103</v>
      </c>
      <c r="BJ679" t="s">
        <v>555</v>
      </c>
      <c r="BK679" t="s">
        <v>1038</v>
      </c>
      <c r="BL679" t="s">
        <v>556</v>
      </c>
      <c r="BM679" t="s">
        <v>13370</v>
      </c>
      <c r="BN679">
        <v>33602851</v>
      </c>
      <c r="BO679" t="s">
        <v>4113</v>
      </c>
      <c r="BP679" t="s">
        <v>74</v>
      </c>
      <c r="BQ679" t="s">
        <v>74</v>
      </c>
      <c r="BR679" t="s">
        <v>104</v>
      </c>
      <c r="BS679" t="s">
        <v>13371</v>
      </c>
      <c r="BT679" t="str">
        <f>HYPERLINK("https%3A%2F%2Fwww.webofscience.com%2Fwos%2Fwoscc%2Ffull-record%2FWOS:000619664700050","View Full Record in Web of Science")</f>
        <v>View Full Record in Web of Science</v>
      </c>
    </row>
    <row r="680" spans="1:72" x14ac:dyDescent="0.15">
      <c r="A680" t="s">
        <v>72</v>
      </c>
      <c r="B680" t="s">
        <v>13372</v>
      </c>
      <c r="C680" t="s">
        <v>74</v>
      </c>
      <c r="D680" t="s">
        <v>74</v>
      </c>
      <c r="E680" t="s">
        <v>74</v>
      </c>
      <c r="F680" t="s">
        <v>13373</v>
      </c>
      <c r="G680" t="s">
        <v>74</v>
      </c>
      <c r="H680" t="s">
        <v>74</v>
      </c>
      <c r="I680" t="s">
        <v>13374</v>
      </c>
      <c r="J680" t="s">
        <v>13375</v>
      </c>
      <c r="K680" t="s">
        <v>74</v>
      </c>
      <c r="L680" t="s">
        <v>74</v>
      </c>
      <c r="M680" t="s">
        <v>78</v>
      </c>
      <c r="N680" t="s">
        <v>79</v>
      </c>
      <c r="O680" t="s">
        <v>74</v>
      </c>
      <c r="P680" t="s">
        <v>74</v>
      </c>
      <c r="Q680" t="s">
        <v>74</v>
      </c>
      <c r="R680" t="s">
        <v>74</v>
      </c>
      <c r="S680" t="s">
        <v>74</v>
      </c>
      <c r="T680" t="s">
        <v>13376</v>
      </c>
      <c r="U680" t="s">
        <v>74</v>
      </c>
      <c r="V680" t="s">
        <v>13377</v>
      </c>
      <c r="W680" t="s">
        <v>13378</v>
      </c>
      <c r="X680" t="s">
        <v>13379</v>
      </c>
      <c r="Y680" t="s">
        <v>13380</v>
      </c>
      <c r="Z680" t="s">
        <v>13381</v>
      </c>
      <c r="AA680" t="s">
        <v>74</v>
      </c>
      <c r="AB680" t="s">
        <v>13382</v>
      </c>
      <c r="AC680" t="s">
        <v>13383</v>
      </c>
      <c r="AD680" t="s">
        <v>13384</v>
      </c>
      <c r="AE680" t="s">
        <v>13385</v>
      </c>
      <c r="AF680" t="s">
        <v>74</v>
      </c>
      <c r="AG680">
        <v>47</v>
      </c>
      <c r="AH680">
        <v>7</v>
      </c>
      <c r="AI680">
        <v>8</v>
      </c>
      <c r="AJ680">
        <v>1</v>
      </c>
      <c r="AK680">
        <v>13</v>
      </c>
      <c r="AL680" t="s">
        <v>1590</v>
      </c>
      <c r="AM680" t="s">
        <v>1591</v>
      </c>
      <c r="AN680" t="s">
        <v>1592</v>
      </c>
      <c r="AO680" t="s">
        <v>13386</v>
      </c>
      <c r="AP680" t="s">
        <v>13387</v>
      </c>
      <c r="AQ680" t="s">
        <v>74</v>
      </c>
      <c r="AR680" t="s">
        <v>13388</v>
      </c>
      <c r="AS680" t="s">
        <v>13389</v>
      </c>
      <c r="AT680" t="s">
        <v>13390</v>
      </c>
      <c r="AU680">
        <v>2021</v>
      </c>
      <c r="AV680">
        <v>44</v>
      </c>
      <c r="AW680">
        <v>12</v>
      </c>
      <c r="AX680" t="s">
        <v>74</v>
      </c>
      <c r="AY680" t="s">
        <v>74</v>
      </c>
      <c r="AZ680" t="s">
        <v>74</v>
      </c>
      <c r="BA680" t="s">
        <v>74</v>
      </c>
      <c r="BB680">
        <v>1818</v>
      </c>
      <c r="BC680">
        <v>1825</v>
      </c>
      <c r="BD680" t="s">
        <v>74</v>
      </c>
      <c r="BE680" t="s">
        <v>13391</v>
      </c>
      <c r="BF680" t="str">
        <f>HYPERLINK("http://dx.doi.org/10.1080/01904167.2021.1884704","http://dx.doi.org/10.1080/01904167.2021.1884704")</f>
        <v>http://dx.doi.org/10.1080/01904167.2021.1884704</v>
      </c>
      <c r="BG680" t="s">
        <v>74</v>
      </c>
      <c r="BH680" t="s">
        <v>12028</v>
      </c>
      <c r="BI680">
        <v>8</v>
      </c>
      <c r="BJ680" t="s">
        <v>2508</v>
      </c>
      <c r="BK680" t="s">
        <v>101</v>
      </c>
      <c r="BL680" t="s">
        <v>2508</v>
      </c>
      <c r="BM680" t="s">
        <v>13392</v>
      </c>
      <c r="BN680" t="s">
        <v>74</v>
      </c>
      <c r="BO680" t="s">
        <v>712</v>
      </c>
      <c r="BP680" t="s">
        <v>74</v>
      </c>
      <c r="BQ680" t="s">
        <v>74</v>
      </c>
      <c r="BR680" t="s">
        <v>104</v>
      </c>
      <c r="BS680" t="s">
        <v>13393</v>
      </c>
      <c r="BT680" t="str">
        <f>HYPERLINK("https%3A%2F%2Fwww.webofscience.com%2Fwos%2Fwoscc%2Ffull-record%2FWOS:000623868600001","View Full Record in Web of Science")</f>
        <v>View Full Record in Web of Science</v>
      </c>
    </row>
    <row r="681" spans="1:72" x14ac:dyDescent="0.15">
      <c r="A681" t="s">
        <v>72</v>
      </c>
      <c r="B681" t="s">
        <v>13394</v>
      </c>
      <c r="C681" t="s">
        <v>74</v>
      </c>
      <c r="D681" t="s">
        <v>74</v>
      </c>
      <c r="E681" t="s">
        <v>74</v>
      </c>
      <c r="F681" t="s">
        <v>13395</v>
      </c>
      <c r="G681" t="s">
        <v>74</v>
      </c>
      <c r="H681" t="s">
        <v>74</v>
      </c>
      <c r="I681" t="s">
        <v>13396</v>
      </c>
      <c r="J681" t="s">
        <v>13397</v>
      </c>
      <c r="K681" t="s">
        <v>74</v>
      </c>
      <c r="L681" t="s">
        <v>74</v>
      </c>
      <c r="M681" t="s">
        <v>78</v>
      </c>
      <c r="N681" t="s">
        <v>79</v>
      </c>
      <c r="O681" t="s">
        <v>74</v>
      </c>
      <c r="P681" t="s">
        <v>74</v>
      </c>
      <c r="Q681" t="s">
        <v>74</v>
      </c>
      <c r="R681" t="s">
        <v>74</v>
      </c>
      <c r="S681" t="s">
        <v>74</v>
      </c>
      <c r="T681" t="s">
        <v>13398</v>
      </c>
      <c r="U681" t="s">
        <v>13399</v>
      </c>
      <c r="V681" t="s">
        <v>13400</v>
      </c>
      <c r="W681" t="s">
        <v>13401</v>
      </c>
      <c r="X681" t="s">
        <v>13402</v>
      </c>
      <c r="Y681" t="s">
        <v>13403</v>
      </c>
      <c r="Z681" t="s">
        <v>13404</v>
      </c>
      <c r="AA681" t="s">
        <v>13405</v>
      </c>
      <c r="AB681" t="s">
        <v>13406</v>
      </c>
      <c r="AC681" t="s">
        <v>13407</v>
      </c>
      <c r="AD681" t="s">
        <v>13408</v>
      </c>
      <c r="AE681" t="s">
        <v>13409</v>
      </c>
      <c r="AF681" t="s">
        <v>74</v>
      </c>
      <c r="AG681">
        <v>88</v>
      </c>
      <c r="AH681">
        <v>10</v>
      </c>
      <c r="AI681">
        <v>10</v>
      </c>
      <c r="AJ681">
        <v>3</v>
      </c>
      <c r="AK681">
        <v>13</v>
      </c>
      <c r="AL681" t="s">
        <v>795</v>
      </c>
      <c r="AM681" t="s">
        <v>796</v>
      </c>
      <c r="AN681" t="s">
        <v>797</v>
      </c>
      <c r="AO681" t="s">
        <v>13410</v>
      </c>
      <c r="AP681" t="s">
        <v>13411</v>
      </c>
      <c r="AQ681" t="s">
        <v>74</v>
      </c>
      <c r="AR681" t="s">
        <v>13412</v>
      </c>
      <c r="AS681" t="s">
        <v>13413</v>
      </c>
      <c r="AT681" t="s">
        <v>127</v>
      </c>
      <c r="AU681">
        <v>2021</v>
      </c>
      <c r="AV681">
        <v>27</v>
      </c>
      <c r="AW681">
        <v>5</v>
      </c>
      <c r="AX681" t="s">
        <v>74</v>
      </c>
      <c r="AY681" t="s">
        <v>74</v>
      </c>
      <c r="AZ681" t="s">
        <v>74</v>
      </c>
      <c r="BA681" t="s">
        <v>74</v>
      </c>
      <c r="BB681">
        <v>766</v>
      </c>
      <c r="BC681">
        <v>783</v>
      </c>
      <c r="BD681" t="s">
        <v>74</v>
      </c>
      <c r="BE681" t="s">
        <v>13414</v>
      </c>
      <c r="BF681" t="str">
        <f>HYPERLINK("http://dx.doi.org/10.1111/ddi.13249","http://dx.doi.org/10.1111/ddi.13249")</f>
        <v>http://dx.doi.org/10.1111/ddi.13249</v>
      </c>
      <c r="BG681" t="s">
        <v>74</v>
      </c>
      <c r="BH681" t="s">
        <v>12028</v>
      </c>
      <c r="BI681">
        <v>18</v>
      </c>
      <c r="BJ681" t="s">
        <v>1438</v>
      </c>
      <c r="BK681" t="s">
        <v>101</v>
      </c>
      <c r="BL681" t="s">
        <v>1439</v>
      </c>
      <c r="BM681" t="s">
        <v>13415</v>
      </c>
      <c r="BN681" t="s">
        <v>74</v>
      </c>
      <c r="BO681" t="s">
        <v>317</v>
      </c>
      <c r="BP681" t="s">
        <v>74</v>
      </c>
      <c r="BQ681" t="s">
        <v>74</v>
      </c>
      <c r="BR681" t="s">
        <v>104</v>
      </c>
      <c r="BS681" t="s">
        <v>13416</v>
      </c>
      <c r="BT681" t="str">
        <f>HYPERLINK("https%3A%2F%2Fwww.webofscience.com%2Fwos%2Fwoscc%2Ffull-record%2FWOS:000619680700001","View Full Record in Web of Science")</f>
        <v>View Full Record in Web of Science</v>
      </c>
    </row>
    <row r="682" spans="1:72" x14ac:dyDescent="0.15">
      <c r="A682" t="s">
        <v>72</v>
      </c>
      <c r="B682" t="s">
        <v>13417</v>
      </c>
      <c r="C682" t="s">
        <v>74</v>
      </c>
      <c r="D682" t="s">
        <v>74</v>
      </c>
      <c r="E682" t="s">
        <v>74</v>
      </c>
      <c r="F682" t="s">
        <v>13418</v>
      </c>
      <c r="G682" t="s">
        <v>74</v>
      </c>
      <c r="H682" t="s">
        <v>74</v>
      </c>
      <c r="I682" t="s">
        <v>13419</v>
      </c>
      <c r="J682" t="s">
        <v>13420</v>
      </c>
      <c r="K682" t="s">
        <v>74</v>
      </c>
      <c r="L682" t="s">
        <v>74</v>
      </c>
      <c r="M682" t="s">
        <v>78</v>
      </c>
      <c r="N682" t="s">
        <v>79</v>
      </c>
      <c r="O682" t="s">
        <v>74</v>
      </c>
      <c r="P682" t="s">
        <v>74</v>
      </c>
      <c r="Q682" t="s">
        <v>74</v>
      </c>
      <c r="R682" t="s">
        <v>74</v>
      </c>
      <c r="S682" t="s">
        <v>74</v>
      </c>
      <c r="T682" t="s">
        <v>74</v>
      </c>
      <c r="U682" t="s">
        <v>74</v>
      </c>
      <c r="V682" t="s">
        <v>13421</v>
      </c>
      <c r="W682" t="s">
        <v>13422</v>
      </c>
      <c r="X682" t="s">
        <v>13423</v>
      </c>
      <c r="Y682" t="s">
        <v>13424</v>
      </c>
      <c r="Z682" t="s">
        <v>74</v>
      </c>
      <c r="AA682" t="s">
        <v>13425</v>
      </c>
      <c r="AB682" t="s">
        <v>13426</v>
      </c>
      <c r="AC682" t="s">
        <v>13427</v>
      </c>
      <c r="AD682" t="s">
        <v>13428</v>
      </c>
      <c r="AE682" t="s">
        <v>13429</v>
      </c>
      <c r="AF682" t="s">
        <v>74</v>
      </c>
      <c r="AG682">
        <v>35</v>
      </c>
      <c r="AH682">
        <v>13</v>
      </c>
      <c r="AI682">
        <v>16</v>
      </c>
      <c r="AJ682">
        <v>0</v>
      </c>
      <c r="AK682">
        <v>2</v>
      </c>
      <c r="AL682" t="s">
        <v>12239</v>
      </c>
      <c r="AM682" t="s">
        <v>12240</v>
      </c>
      <c r="AN682" t="s">
        <v>12241</v>
      </c>
      <c r="AO682" t="s">
        <v>13430</v>
      </c>
      <c r="AP682" t="s">
        <v>13431</v>
      </c>
      <c r="AQ682" t="s">
        <v>74</v>
      </c>
      <c r="AR682" t="s">
        <v>13432</v>
      </c>
      <c r="AS682" t="s">
        <v>13433</v>
      </c>
      <c r="AT682" t="s">
        <v>13314</v>
      </c>
      <c r="AU682">
        <v>2021</v>
      </c>
      <c r="AV682">
        <v>126</v>
      </c>
      <c r="AW682">
        <v>7</v>
      </c>
      <c r="AX682" t="s">
        <v>74</v>
      </c>
      <c r="AY682" t="s">
        <v>74</v>
      </c>
      <c r="AZ682" t="s">
        <v>74</v>
      </c>
      <c r="BA682" t="s">
        <v>74</v>
      </c>
      <c r="BB682" t="s">
        <v>74</v>
      </c>
      <c r="BC682" t="s">
        <v>74</v>
      </c>
      <c r="BD682">
        <v>71103</v>
      </c>
      <c r="BE682" t="s">
        <v>13434</v>
      </c>
      <c r="BF682" t="str">
        <f>HYPERLINK("http://dx.doi.org/10.1103/PhysRevLett.126.071103","http://dx.doi.org/10.1103/PhysRevLett.126.071103")</f>
        <v>http://dx.doi.org/10.1103/PhysRevLett.126.071103</v>
      </c>
      <c r="BG682" t="s">
        <v>74</v>
      </c>
      <c r="BH682" t="s">
        <v>74</v>
      </c>
      <c r="BI682">
        <v>7</v>
      </c>
      <c r="BJ682" t="s">
        <v>13435</v>
      </c>
      <c r="BK682" t="s">
        <v>101</v>
      </c>
      <c r="BL682" t="s">
        <v>12249</v>
      </c>
      <c r="BM682" t="s">
        <v>13436</v>
      </c>
      <c r="BN682">
        <v>33666466</v>
      </c>
      <c r="BO682" t="s">
        <v>899</v>
      </c>
      <c r="BP682" t="s">
        <v>74</v>
      </c>
      <c r="BQ682" t="s">
        <v>74</v>
      </c>
      <c r="BR682" t="s">
        <v>104</v>
      </c>
      <c r="BS682" t="s">
        <v>13437</v>
      </c>
      <c r="BT682" t="str">
        <f>HYPERLINK("https%3A%2F%2Fwww.webofscience.com%2Fwos%2Fwoscc%2Ffull-record%2FWOS:000620021300005","View Full Record in Web of Science")</f>
        <v>View Full Record in Web of Science</v>
      </c>
    </row>
    <row r="683" spans="1:72" x14ac:dyDescent="0.15">
      <c r="A683" t="s">
        <v>72</v>
      </c>
      <c r="B683" t="s">
        <v>10392</v>
      </c>
      <c r="C683" t="s">
        <v>74</v>
      </c>
      <c r="D683" t="s">
        <v>74</v>
      </c>
      <c r="E683" t="s">
        <v>74</v>
      </c>
      <c r="F683" t="s">
        <v>13438</v>
      </c>
      <c r="G683" t="s">
        <v>74</v>
      </c>
      <c r="H683" t="s">
        <v>74</v>
      </c>
      <c r="I683" t="s">
        <v>13439</v>
      </c>
      <c r="J683" t="s">
        <v>5865</v>
      </c>
      <c r="K683" t="s">
        <v>74</v>
      </c>
      <c r="L683" t="s">
        <v>74</v>
      </c>
      <c r="M683" t="s">
        <v>78</v>
      </c>
      <c r="N683" t="s">
        <v>79</v>
      </c>
      <c r="O683" t="s">
        <v>74</v>
      </c>
      <c r="P683" t="s">
        <v>74</v>
      </c>
      <c r="Q683" t="s">
        <v>74</v>
      </c>
      <c r="R683" t="s">
        <v>74</v>
      </c>
      <c r="S683" t="s">
        <v>74</v>
      </c>
      <c r="T683" t="s">
        <v>13440</v>
      </c>
      <c r="U683" t="s">
        <v>13441</v>
      </c>
      <c r="V683" t="s">
        <v>13442</v>
      </c>
      <c r="W683" t="s">
        <v>13443</v>
      </c>
      <c r="X683" t="s">
        <v>10396</v>
      </c>
      <c r="Y683" t="s">
        <v>13444</v>
      </c>
      <c r="Z683" t="s">
        <v>13445</v>
      </c>
      <c r="AA683" t="s">
        <v>74</v>
      </c>
      <c r="AB683" t="s">
        <v>74</v>
      </c>
      <c r="AC683" t="s">
        <v>13446</v>
      </c>
      <c r="AD683" t="s">
        <v>13447</v>
      </c>
      <c r="AE683" t="s">
        <v>13448</v>
      </c>
      <c r="AF683" t="s">
        <v>74</v>
      </c>
      <c r="AG683">
        <v>112</v>
      </c>
      <c r="AH683">
        <v>2</v>
      </c>
      <c r="AI683">
        <v>2</v>
      </c>
      <c r="AJ683">
        <v>0</v>
      </c>
      <c r="AK683">
        <v>3</v>
      </c>
      <c r="AL683" t="s">
        <v>1160</v>
      </c>
      <c r="AM683" t="s">
        <v>891</v>
      </c>
      <c r="AN683" t="s">
        <v>1161</v>
      </c>
      <c r="AO683" t="s">
        <v>5878</v>
      </c>
      <c r="AP683" t="s">
        <v>5879</v>
      </c>
      <c r="AQ683" t="s">
        <v>74</v>
      </c>
      <c r="AR683" t="s">
        <v>5880</v>
      </c>
      <c r="AS683" t="s">
        <v>5881</v>
      </c>
      <c r="AT683" t="s">
        <v>2112</v>
      </c>
      <c r="AU683">
        <v>2021</v>
      </c>
      <c r="AV683">
        <v>193</v>
      </c>
      <c r="AW683">
        <v>4</v>
      </c>
      <c r="AX683" t="s">
        <v>74</v>
      </c>
      <c r="AY683" t="s">
        <v>74</v>
      </c>
      <c r="AZ683" t="s">
        <v>74</v>
      </c>
      <c r="BA683" t="s">
        <v>74</v>
      </c>
      <c r="BB683">
        <v>1392</v>
      </c>
      <c r="BC683">
        <v>1415</v>
      </c>
      <c r="BD683" t="s">
        <v>74</v>
      </c>
      <c r="BE683" t="s">
        <v>13449</v>
      </c>
      <c r="BF683" t="str">
        <f>HYPERLINK("http://dx.doi.org/10.1093/zoolinnean/zlaa176","http://dx.doi.org/10.1093/zoolinnean/zlaa176")</f>
        <v>http://dx.doi.org/10.1093/zoolinnean/zlaa176</v>
      </c>
      <c r="BG683" t="s">
        <v>74</v>
      </c>
      <c r="BH683" t="s">
        <v>12028</v>
      </c>
      <c r="BI683">
        <v>24</v>
      </c>
      <c r="BJ683" t="s">
        <v>1229</v>
      </c>
      <c r="BK683" t="s">
        <v>101</v>
      </c>
      <c r="BL683" t="s">
        <v>1229</v>
      </c>
      <c r="BM683" t="s">
        <v>13450</v>
      </c>
      <c r="BN683" t="s">
        <v>74</v>
      </c>
      <c r="BO683" t="s">
        <v>74</v>
      </c>
      <c r="BP683" t="s">
        <v>74</v>
      </c>
      <c r="BQ683" t="s">
        <v>74</v>
      </c>
      <c r="BR683" t="s">
        <v>104</v>
      </c>
      <c r="BS683" t="s">
        <v>13451</v>
      </c>
      <c r="BT683" t="str">
        <f>HYPERLINK("https%3A%2F%2Fwww.webofscience.com%2Fwos%2Fwoscc%2Ffull-record%2FWOS:000745685500011","View Full Record in Web of Science")</f>
        <v>View Full Record in Web of Science</v>
      </c>
    </row>
    <row r="684" spans="1:72" x14ac:dyDescent="0.15">
      <c r="A684" t="s">
        <v>72</v>
      </c>
      <c r="B684" t="s">
        <v>13452</v>
      </c>
      <c r="C684" t="s">
        <v>74</v>
      </c>
      <c r="D684" t="s">
        <v>74</v>
      </c>
      <c r="E684" t="s">
        <v>74</v>
      </c>
      <c r="F684" t="s">
        <v>13453</v>
      </c>
      <c r="G684" t="s">
        <v>74</v>
      </c>
      <c r="H684" t="s">
        <v>74</v>
      </c>
      <c r="I684" t="s">
        <v>13454</v>
      </c>
      <c r="J684" t="s">
        <v>13455</v>
      </c>
      <c r="K684" t="s">
        <v>74</v>
      </c>
      <c r="L684" t="s">
        <v>74</v>
      </c>
      <c r="M684" t="s">
        <v>78</v>
      </c>
      <c r="N684" t="s">
        <v>79</v>
      </c>
      <c r="O684" t="s">
        <v>74</v>
      </c>
      <c r="P684" t="s">
        <v>74</v>
      </c>
      <c r="Q684" t="s">
        <v>74</v>
      </c>
      <c r="R684" t="s">
        <v>74</v>
      </c>
      <c r="S684" t="s">
        <v>74</v>
      </c>
      <c r="T684" t="s">
        <v>13456</v>
      </c>
      <c r="U684" t="s">
        <v>13457</v>
      </c>
      <c r="V684" t="s">
        <v>13458</v>
      </c>
      <c r="W684" t="s">
        <v>13459</v>
      </c>
      <c r="X684" t="s">
        <v>13460</v>
      </c>
      <c r="Y684" t="s">
        <v>13461</v>
      </c>
      <c r="Z684" t="s">
        <v>13462</v>
      </c>
      <c r="AA684" t="s">
        <v>74</v>
      </c>
      <c r="AB684" t="s">
        <v>13463</v>
      </c>
      <c r="AC684" t="s">
        <v>12336</v>
      </c>
      <c r="AD684" t="s">
        <v>12337</v>
      </c>
      <c r="AE684" t="s">
        <v>12338</v>
      </c>
      <c r="AF684" t="s">
        <v>74</v>
      </c>
      <c r="AG684">
        <v>36</v>
      </c>
      <c r="AH684">
        <v>2</v>
      </c>
      <c r="AI684">
        <v>2</v>
      </c>
      <c r="AJ684">
        <v>1</v>
      </c>
      <c r="AK684">
        <v>4</v>
      </c>
      <c r="AL684" t="s">
        <v>8038</v>
      </c>
      <c r="AM684" t="s">
        <v>8039</v>
      </c>
      <c r="AN684" t="s">
        <v>8040</v>
      </c>
      <c r="AO684" t="s">
        <v>13464</v>
      </c>
      <c r="AP684" t="s">
        <v>13465</v>
      </c>
      <c r="AQ684" t="s">
        <v>74</v>
      </c>
      <c r="AR684" t="s">
        <v>13455</v>
      </c>
      <c r="AS684" t="s">
        <v>13466</v>
      </c>
      <c r="AT684" t="s">
        <v>127</v>
      </c>
      <c r="AU684">
        <v>2021</v>
      </c>
      <c r="AV684">
        <v>113</v>
      </c>
      <c r="AW684">
        <v>3</v>
      </c>
      <c r="AX684" t="s">
        <v>74</v>
      </c>
      <c r="AY684" t="s">
        <v>74</v>
      </c>
      <c r="AZ684" t="s">
        <v>74</v>
      </c>
      <c r="BA684" t="s">
        <v>74</v>
      </c>
      <c r="BB684">
        <v>881</v>
      </c>
      <c r="BC684">
        <v>888</v>
      </c>
      <c r="BD684" t="s">
        <v>74</v>
      </c>
      <c r="BE684" t="s">
        <v>13467</v>
      </c>
      <c r="BF684" t="str">
        <f>HYPERLINK("http://dx.doi.org/10.1016/j.ygeno.2021.01.019","http://dx.doi.org/10.1016/j.ygeno.2021.01.019")</f>
        <v>http://dx.doi.org/10.1016/j.ygeno.2021.01.019</v>
      </c>
      <c r="BG684" t="s">
        <v>74</v>
      </c>
      <c r="BH684" t="s">
        <v>12028</v>
      </c>
      <c r="BI684">
        <v>8</v>
      </c>
      <c r="BJ684" t="s">
        <v>13468</v>
      </c>
      <c r="BK684" t="s">
        <v>101</v>
      </c>
      <c r="BL684" t="s">
        <v>13468</v>
      </c>
      <c r="BM684" t="s">
        <v>13469</v>
      </c>
      <c r="BN684">
        <v>33524499</v>
      </c>
      <c r="BO684" t="s">
        <v>712</v>
      </c>
      <c r="BP684" t="s">
        <v>74</v>
      </c>
      <c r="BQ684" t="s">
        <v>74</v>
      </c>
      <c r="BR684" t="s">
        <v>104</v>
      </c>
      <c r="BS684" t="s">
        <v>13470</v>
      </c>
      <c r="BT684" t="str">
        <f>HYPERLINK("https%3A%2F%2Fwww.webofscience.com%2Fwos%2Fwoscc%2Ffull-record%2FWOS:000661260200003","View Full Record in Web of Science")</f>
        <v>View Full Record in Web of Science</v>
      </c>
    </row>
    <row r="685" spans="1:72" x14ac:dyDescent="0.15">
      <c r="A685" t="s">
        <v>72</v>
      </c>
      <c r="B685" t="s">
        <v>13471</v>
      </c>
      <c r="C685" t="s">
        <v>74</v>
      </c>
      <c r="D685" t="s">
        <v>74</v>
      </c>
      <c r="E685" t="s">
        <v>74</v>
      </c>
      <c r="F685" t="s">
        <v>13472</v>
      </c>
      <c r="G685" t="s">
        <v>74</v>
      </c>
      <c r="H685" t="s">
        <v>74</v>
      </c>
      <c r="I685" t="s">
        <v>13473</v>
      </c>
      <c r="J685" t="s">
        <v>12413</v>
      </c>
      <c r="K685" t="s">
        <v>74</v>
      </c>
      <c r="L685" t="s">
        <v>74</v>
      </c>
      <c r="M685" t="s">
        <v>78</v>
      </c>
      <c r="N685" t="s">
        <v>79</v>
      </c>
      <c r="O685" t="s">
        <v>74</v>
      </c>
      <c r="P685" t="s">
        <v>74</v>
      </c>
      <c r="Q685" t="s">
        <v>74</v>
      </c>
      <c r="R685" t="s">
        <v>74</v>
      </c>
      <c r="S685" t="s">
        <v>74</v>
      </c>
      <c r="T685" t="s">
        <v>13474</v>
      </c>
      <c r="U685" t="s">
        <v>13475</v>
      </c>
      <c r="V685" t="s">
        <v>13476</v>
      </c>
      <c r="W685" t="s">
        <v>13477</v>
      </c>
      <c r="X685" t="s">
        <v>13478</v>
      </c>
      <c r="Y685" t="s">
        <v>13479</v>
      </c>
      <c r="Z685" t="s">
        <v>13480</v>
      </c>
      <c r="AA685" t="s">
        <v>13481</v>
      </c>
      <c r="AB685" t="s">
        <v>13482</v>
      </c>
      <c r="AC685" t="s">
        <v>13483</v>
      </c>
      <c r="AD685" t="s">
        <v>13484</v>
      </c>
      <c r="AE685" t="s">
        <v>13485</v>
      </c>
      <c r="AF685" t="s">
        <v>74</v>
      </c>
      <c r="AG685">
        <v>88</v>
      </c>
      <c r="AH685">
        <v>1</v>
      </c>
      <c r="AI685">
        <v>2</v>
      </c>
      <c r="AJ685">
        <v>1</v>
      </c>
      <c r="AK685">
        <v>17</v>
      </c>
      <c r="AL685" t="s">
        <v>576</v>
      </c>
      <c r="AM685" t="s">
        <v>577</v>
      </c>
      <c r="AN685" t="s">
        <v>578</v>
      </c>
      <c r="AO685" t="s">
        <v>12424</v>
      </c>
      <c r="AP685" t="s">
        <v>12425</v>
      </c>
      <c r="AQ685" t="s">
        <v>74</v>
      </c>
      <c r="AR685" t="s">
        <v>12426</v>
      </c>
      <c r="AS685" t="s">
        <v>12427</v>
      </c>
      <c r="AT685" t="s">
        <v>127</v>
      </c>
      <c r="AU685">
        <v>2021</v>
      </c>
      <c r="AV685">
        <v>538</v>
      </c>
      <c r="AW685" t="s">
        <v>74</v>
      </c>
      <c r="AX685" t="s">
        <v>74</v>
      </c>
      <c r="AY685" t="s">
        <v>74</v>
      </c>
      <c r="AZ685" t="s">
        <v>74</v>
      </c>
      <c r="BA685" t="s">
        <v>74</v>
      </c>
      <c r="BB685" t="s">
        <v>74</v>
      </c>
      <c r="BC685" t="s">
        <v>74</v>
      </c>
      <c r="BD685">
        <v>151527</v>
      </c>
      <c r="BE685" t="s">
        <v>13486</v>
      </c>
      <c r="BF685" t="str">
        <f>HYPERLINK("http://dx.doi.org/10.1016/j.jembe.2021.151527","http://dx.doi.org/10.1016/j.jembe.2021.151527")</f>
        <v>http://dx.doi.org/10.1016/j.jembe.2021.151527</v>
      </c>
      <c r="BG685" t="s">
        <v>74</v>
      </c>
      <c r="BH685" t="s">
        <v>12028</v>
      </c>
      <c r="BI685">
        <v>13</v>
      </c>
      <c r="BJ685" t="s">
        <v>709</v>
      </c>
      <c r="BK685" t="s">
        <v>101</v>
      </c>
      <c r="BL685" t="s">
        <v>710</v>
      </c>
      <c r="BM685" t="s">
        <v>13487</v>
      </c>
      <c r="BN685" t="s">
        <v>74</v>
      </c>
      <c r="BO685" t="s">
        <v>74</v>
      </c>
      <c r="BP685" t="s">
        <v>74</v>
      </c>
      <c r="BQ685" t="s">
        <v>74</v>
      </c>
      <c r="BR685" t="s">
        <v>104</v>
      </c>
      <c r="BS685" t="s">
        <v>13488</v>
      </c>
      <c r="BT685" t="str">
        <f>HYPERLINK("https%3A%2F%2Fwww.webofscience.com%2Fwos%2Fwoscc%2Ffull-record%2FWOS:000641001600003","View Full Record in Web of Science")</f>
        <v>View Full Record in Web of Science</v>
      </c>
    </row>
    <row r="686" spans="1:72" x14ac:dyDescent="0.15">
      <c r="A686" t="s">
        <v>72</v>
      </c>
      <c r="B686" t="s">
        <v>13489</v>
      </c>
      <c r="C686" t="s">
        <v>74</v>
      </c>
      <c r="D686" t="s">
        <v>74</v>
      </c>
      <c r="E686" t="s">
        <v>74</v>
      </c>
      <c r="F686" t="s">
        <v>13490</v>
      </c>
      <c r="G686" t="s">
        <v>74</v>
      </c>
      <c r="H686" t="s">
        <v>74</v>
      </c>
      <c r="I686" t="s">
        <v>13491</v>
      </c>
      <c r="J686" t="s">
        <v>13492</v>
      </c>
      <c r="K686" t="s">
        <v>74</v>
      </c>
      <c r="L686" t="s">
        <v>74</v>
      </c>
      <c r="M686" t="s">
        <v>78</v>
      </c>
      <c r="N686" t="s">
        <v>79</v>
      </c>
      <c r="O686" t="s">
        <v>74</v>
      </c>
      <c r="P686" t="s">
        <v>74</v>
      </c>
      <c r="Q686" t="s">
        <v>74</v>
      </c>
      <c r="R686" t="s">
        <v>74</v>
      </c>
      <c r="S686" t="s">
        <v>74</v>
      </c>
      <c r="T686" t="s">
        <v>13493</v>
      </c>
      <c r="U686" t="s">
        <v>74</v>
      </c>
      <c r="V686" t="s">
        <v>13494</v>
      </c>
      <c r="W686" t="s">
        <v>13495</v>
      </c>
      <c r="X686" t="s">
        <v>13496</v>
      </c>
      <c r="Y686" t="s">
        <v>13497</v>
      </c>
      <c r="Z686" t="s">
        <v>13498</v>
      </c>
      <c r="AA686" t="s">
        <v>13499</v>
      </c>
      <c r="AB686" t="s">
        <v>13500</v>
      </c>
      <c r="AC686" t="s">
        <v>13501</v>
      </c>
      <c r="AD686" t="s">
        <v>13502</v>
      </c>
      <c r="AE686" t="s">
        <v>13503</v>
      </c>
      <c r="AF686" t="s">
        <v>74</v>
      </c>
      <c r="AG686">
        <v>51</v>
      </c>
      <c r="AH686">
        <v>48</v>
      </c>
      <c r="AI686">
        <v>50</v>
      </c>
      <c r="AJ686">
        <v>11</v>
      </c>
      <c r="AK686">
        <v>53</v>
      </c>
      <c r="AL686" t="s">
        <v>1058</v>
      </c>
      <c r="AM686" t="s">
        <v>891</v>
      </c>
      <c r="AN686" t="s">
        <v>1059</v>
      </c>
      <c r="AO686" t="s">
        <v>13504</v>
      </c>
      <c r="AP686" t="s">
        <v>13505</v>
      </c>
      <c r="AQ686" t="s">
        <v>74</v>
      </c>
      <c r="AR686" t="s">
        <v>13506</v>
      </c>
      <c r="AS686" t="s">
        <v>13507</v>
      </c>
      <c r="AT686" t="s">
        <v>5649</v>
      </c>
      <c r="AU686">
        <v>2021</v>
      </c>
      <c r="AV686">
        <v>124</v>
      </c>
      <c r="AW686" t="s">
        <v>74</v>
      </c>
      <c r="AX686" t="s">
        <v>74</v>
      </c>
      <c r="AY686" t="s">
        <v>74</v>
      </c>
      <c r="AZ686" t="s">
        <v>74</v>
      </c>
      <c r="BA686" t="s">
        <v>74</v>
      </c>
      <c r="BB686">
        <v>82</v>
      </c>
      <c r="BC686">
        <v>93</v>
      </c>
      <c r="BD686" t="s">
        <v>74</v>
      </c>
      <c r="BE686" t="s">
        <v>13508</v>
      </c>
      <c r="BF686" t="str">
        <f>HYPERLINK("http://dx.doi.org/10.1016/j.wasman.2021.01.011","http://dx.doi.org/10.1016/j.wasman.2021.01.011")</f>
        <v>http://dx.doi.org/10.1016/j.wasman.2021.01.011</v>
      </c>
      <c r="BG686" t="s">
        <v>74</v>
      </c>
      <c r="BH686" t="s">
        <v>12028</v>
      </c>
      <c r="BI686">
        <v>12</v>
      </c>
      <c r="BJ686" t="s">
        <v>2483</v>
      </c>
      <c r="BK686" t="s">
        <v>101</v>
      </c>
      <c r="BL686" t="s">
        <v>2484</v>
      </c>
      <c r="BM686" t="s">
        <v>13509</v>
      </c>
      <c r="BN686">
        <v>33610114</v>
      </c>
      <c r="BO686" t="s">
        <v>2344</v>
      </c>
      <c r="BP686" t="s">
        <v>74</v>
      </c>
      <c r="BQ686" t="s">
        <v>74</v>
      </c>
      <c r="BR686" t="s">
        <v>104</v>
      </c>
      <c r="BS686" t="s">
        <v>13510</v>
      </c>
      <c r="BT686" t="str">
        <f>HYPERLINK("https%3A%2F%2Fwww.webofscience.com%2Fwos%2Fwoscc%2Ffull-record%2FWOS:000631957600010","View Full Record in Web of Science")</f>
        <v>View Full Record in Web of Science</v>
      </c>
    </row>
    <row r="687" spans="1:72" x14ac:dyDescent="0.15">
      <c r="A687" t="s">
        <v>72</v>
      </c>
      <c r="B687" t="s">
        <v>13511</v>
      </c>
      <c r="C687" t="s">
        <v>74</v>
      </c>
      <c r="D687" t="s">
        <v>74</v>
      </c>
      <c r="E687" t="s">
        <v>74</v>
      </c>
      <c r="F687" t="s">
        <v>13512</v>
      </c>
      <c r="G687" t="s">
        <v>74</v>
      </c>
      <c r="H687" t="s">
        <v>74</v>
      </c>
      <c r="I687" t="s">
        <v>13513</v>
      </c>
      <c r="J687" t="s">
        <v>739</v>
      </c>
      <c r="K687" t="s">
        <v>74</v>
      </c>
      <c r="L687" t="s">
        <v>74</v>
      </c>
      <c r="M687" t="s">
        <v>78</v>
      </c>
      <c r="N687" t="s">
        <v>79</v>
      </c>
      <c r="O687" t="s">
        <v>74</v>
      </c>
      <c r="P687" t="s">
        <v>74</v>
      </c>
      <c r="Q687" t="s">
        <v>74</v>
      </c>
      <c r="R687" t="s">
        <v>74</v>
      </c>
      <c r="S687" t="s">
        <v>74</v>
      </c>
      <c r="T687" t="s">
        <v>13514</v>
      </c>
      <c r="U687" t="s">
        <v>13515</v>
      </c>
      <c r="V687" t="s">
        <v>13516</v>
      </c>
      <c r="W687" t="s">
        <v>13517</v>
      </c>
      <c r="X687" t="s">
        <v>13518</v>
      </c>
      <c r="Y687" t="s">
        <v>13519</v>
      </c>
      <c r="Z687" t="s">
        <v>13520</v>
      </c>
      <c r="AA687" t="s">
        <v>13521</v>
      </c>
      <c r="AB687" t="s">
        <v>13522</v>
      </c>
      <c r="AC687" t="s">
        <v>13523</v>
      </c>
      <c r="AD687" t="s">
        <v>13524</v>
      </c>
      <c r="AE687" t="s">
        <v>13525</v>
      </c>
      <c r="AF687" t="s">
        <v>74</v>
      </c>
      <c r="AG687">
        <v>81</v>
      </c>
      <c r="AH687">
        <v>4</v>
      </c>
      <c r="AI687">
        <v>4</v>
      </c>
      <c r="AJ687">
        <v>2</v>
      </c>
      <c r="AK687">
        <v>13</v>
      </c>
      <c r="AL687" t="s">
        <v>750</v>
      </c>
      <c r="AM687" t="s">
        <v>751</v>
      </c>
      <c r="AN687" t="s">
        <v>752</v>
      </c>
      <c r="AO687" t="s">
        <v>753</v>
      </c>
      <c r="AP687" t="s">
        <v>754</v>
      </c>
      <c r="AQ687" t="s">
        <v>74</v>
      </c>
      <c r="AR687" t="s">
        <v>755</v>
      </c>
      <c r="AS687" t="s">
        <v>756</v>
      </c>
      <c r="AT687" t="s">
        <v>13526</v>
      </c>
      <c r="AU687">
        <v>2021</v>
      </c>
      <c r="AV687">
        <v>660</v>
      </c>
      <c r="AW687" t="s">
        <v>74</v>
      </c>
      <c r="AX687" t="s">
        <v>74</v>
      </c>
      <c r="AY687" t="s">
        <v>74</v>
      </c>
      <c r="AZ687" t="s">
        <v>74</v>
      </c>
      <c r="BA687" t="s">
        <v>74</v>
      </c>
      <c r="BB687">
        <v>37</v>
      </c>
      <c r="BC687">
        <v>52</v>
      </c>
      <c r="BD687" t="s">
        <v>74</v>
      </c>
      <c r="BE687" t="s">
        <v>13527</v>
      </c>
      <c r="BF687" t="str">
        <f>HYPERLINK("http://dx.doi.org/10.3354/meps13618","http://dx.doi.org/10.3354/meps13618")</f>
        <v>http://dx.doi.org/10.3354/meps13618</v>
      </c>
      <c r="BG687" t="s">
        <v>74</v>
      </c>
      <c r="BH687" t="s">
        <v>74</v>
      </c>
      <c r="BI687">
        <v>16</v>
      </c>
      <c r="BJ687" t="s">
        <v>758</v>
      </c>
      <c r="BK687" t="s">
        <v>101</v>
      </c>
      <c r="BL687" t="s">
        <v>759</v>
      </c>
      <c r="BM687" t="s">
        <v>13528</v>
      </c>
      <c r="BN687" t="s">
        <v>74</v>
      </c>
      <c r="BO687" t="s">
        <v>663</v>
      </c>
      <c r="BP687" t="s">
        <v>74</v>
      </c>
      <c r="BQ687" t="s">
        <v>74</v>
      </c>
      <c r="BR687" t="s">
        <v>104</v>
      </c>
      <c r="BS687" t="s">
        <v>13529</v>
      </c>
      <c r="BT687" t="str">
        <f>HYPERLINK("https%3A%2F%2Fwww.webofscience.com%2Fwos%2Fwoscc%2Ffull-record%2FWOS:000624339300003","View Full Record in Web of Science")</f>
        <v>View Full Record in Web of Science</v>
      </c>
    </row>
    <row r="688" spans="1:72" x14ac:dyDescent="0.15">
      <c r="A688" t="s">
        <v>72</v>
      </c>
      <c r="B688" t="s">
        <v>13530</v>
      </c>
      <c r="C688" t="s">
        <v>74</v>
      </c>
      <c r="D688" t="s">
        <v>74</v>
      </c>
      <c r="E688" t="s">
        <v>74</v>
      </c>
      <c r="F688" t="s">
        <v>13531</v>
      </c>
      <c r="G688" t="s">
        <v>74</v>
      </c>
      <c r="H688" t="s">
        <v>74</v>
      </c>
      <c r="I688" t="s">
        <v>13532</v>
      </c>
      <c r="J688" t="s">
        <v>2687</v>
      </c>
      <c r="K688" t="s">
        <v>74</v>
      </c>
      <c r="L688" t="s">
        <v>74</v>
      </c>
      <c r="M688" t="s">
        <v>78</v>
      </c>
      <c r="N688" t="s">
        <v>79</v>
      </c>
      <c r="O688" t="s">
        <v>74</v>
      </c>
      <c r="P688" t="s">
        <v>74</v>
      </c>
      <c r="Q688" t="s">
        <v>74</v>
      </c>
      <c r="R688" t="s">
        <v>74</v>
      </c>
      <c r="S688" t="s">
        <v>74</v>
      </c>
      <c r="T688" t="s">
        <v>13533</v>
      </c>
      <c r="U688" t="s">
        <v>13534</v>
      </c>
      <c r="V688" t="s">
        <v>13535</v>
      </c>
      <c r="W688" t="s">
        <v>13536</v>
      </c>
      <c r="X688" t="s">
        <v>13537</v>
      </c>
      <c r="Y688" t="s">
        <v>13538</v>
      </c>
      <c r="Z688" t="s">
        <v>13539</v>
      </c>
      <c r="AA688" t="s">
        <v>13540</v>
      </c>
      <c r="AB688" t="s">
        <v>13541</v>
      </c>
      <c r="AC688" t="s">
        <v>13542</v>
      </c>
      <c r="AD688" t="s">
        <v>13543</v>
      </c>
      <c r="AE688" t="s">
        <v>13544</v>
      </c>
      <c r="AF688" t="s">
        <v>74</v>
      </c>
      <c r="AG688">
        <v>29</v>
      </c>
      <c r="AH688">
        <v>4</v>
      </c>
      <c r="AI688">
        <v>6</v>
      </c>
      <c r="AJ688">
        <v>3</v>
      </c>
      <c r="AK688">
        <v>18</v>
      </c>
      <c r="AL688" t="s">
        <v>603</v>
      </c>
      <c r="AM688" t="s">
        <v>604</v>
      </c>
      <c r="AN688" t="s">
        <v>605</v>
      </c>
      <c r="AO688" t="s">
        <v>74</v>
      </c>
      <c r="AP688" t="s">
        <v>2699</v>
      </c>
      <c r="AQ688" t="s">
        <v>74</v>
      </c>
      <c r="AR688" t="s">
        <v>2700</v>
      </c>
      <c r="AS688" t="s">
        <v>2701</v>
      </c>
      <c r="AT688" t="s">
        <v>13526</v>
      </c>
      <c r="AU688">
        <v>2021</v>
      </c>
      <c r="AV688">
        <v>8</v>
      </c>
      <c r="AW688" t="s">
        <v>74</v>
      </c>
      <c r="AX688" t="s">
        <v>74</v>
      </c>
      <c r="AY688" t="s">
        <v>74</v>
      </c>
      <c r="AZ688" t="s">
        <v>74</v>
      </c>
      <c r="BA688" t="s">
        <v>74</v>
      </c>
      <c r="BB688" t="s">
        <v>74</v>
      </c>
      <c r="BC688" t="s">
        <v>74</v>
      </c>
      <c r="BD688">
        <v>593566</v>
      </c>
      <c r="BE688" t="s">
        <v>13545</v>
      </c>
      <c r="BF688" t="str">
        <f>HYPERLINK("http://dx.doi.org/10.3389/fmars.2021.593566","http://dx.doi.org/10.3389/fmars.2021.593566")</f>
        <v>http://dx.doi.org/10.3389/fmars.2021.593566</v>
      </c>
      <c r="BG688" t="s">
        <v>74</v>
      </c>
      <c r="BH688" t="s">
        <v>74</v>
      </c>
      <c r="BI688">
        <v>14</v>
      </c>
      <c r="BJ688" t="s">
        <v>1646</v>
      </c>
      <c r="BK688" t="s">
        <v>101</v>
      </c>
      <c r="BL688" t="s">
        <v>710</v>
      </c>
      <c r="BM688" t="s">
        <v>13546</v>
      </c>
      <c r="BN688" t="s">
        <v>74</v>
      </c>
      <c r="BO688" t="s">
        <v>558</v>
      </c>
      <c r="BP688" t="s">
        <v>74</v>
      </c>
      <c r="BQ688" t="s">
        <v>74</v>
      </c>
      <c r="BR688" t="s">
        <v>104</v>
      </c>
      <c r="BS688" t="s">
        <v>13547</v>
      </c>
      <c r="BT688" t="str">
        <f>HYPERLINK("https%3A%2F%2Fwww.webofscience.com%2Fwos%2Fwoscc%2Ffull-record%2FWOS:000625203100001","View Full Record in Web of Science")</f>
        <v>View Full Record in Web of Science</v>
      </c>
    </row>
    <row r="689" spans="1:72" x14ac:dyDescent="0.15">
      <c r="A689" t="s">
        <v>72</v>
      </c>
      <c r="B689" t="s">
        <v>13548</v>
      </c>
      <c r="C689" t="s">
        <v>74</v>
      </c>
      <c r="D689" t="s">
        <v>74</v>
      </c>
      <c r="E689" t="s">
        <v>74</v>
      </c>
      <c r="F689" t="s">
        <v>13549</v>
      </c>
      <c r="G689" t="s">
        <v>74</v>
      </c>
      <c r="H689" t="s">
        <v>74</v>
      </c>
      <c r="I689" t="s">
        <v>13550</v>
      </c>
      <c r="J689" t="s">
        <v>2438</v>
      </c>
      <c r="K689" t="s">
        <v>74</v>
      </c>
      <c r="L689" t="s">
        <v>74</v>
      </c>
      <c r="M689" t="s">
        <v>78</v>
      </c>
      <c r="N689" t="s">
        <v>79</v>
      </c>
      <c r="O689" t="s">
        <v>74</v>
      </c>
      <c r="P689" t="s">
        <v>74</v>
      </c>
      <c r="Q689" t="s">
        <v>74</v>
      </c>
      <c r="R689" t="s">
        <v>74</v>
      </c>
      <c r="S689" t="s">
        <v>74</v>
      </c>
      <c r="T689" t="s">
        <v>13551</v>
      </c>
      <c r="U689" t="s">
        <v>13552</v>
      </c>
      <c r="V689" t="s">
        <v>13553</v>
      </c>
      <c r="W689" t="s">
        <v>13554</v>
      </c>
      <c r="X689" t="s">
        <v>13555</v>
      </c>
      <c r="Y689" t="s">
        <v>13556</v>
      </c>
      <c r="Z689" t="s">
        <v>13557</v>
      </c>
      <c r="AA689" t="s">
        <v>13558</v>
      </c>
      <c r="AB689" t="s">
        <v>13559</v>
      </c>
      <c r="AC689" t="s">
        <v>13560</v>
      </c>
      <c r="AD689" t="s">
        <v>13561</v>
      </c>
      <c r="AE689" t="s">
        <v>13562</v>
      </c>
      <c r="AF689" t="s">
        <v>74</v>
      </c>
      <c r="AG689">
        <v>26</v>
      </c>
      <c r="AH689">
        <v>2</v>
      </c>
      <c r="AI689">
        <v>2</v>
      </c>
      <c r="AJ689">
        <v>0</v>
      </c>
      <c r="AK689">
        <v>11</v>
      </c>
      <c r="AL689" t="s">
        <v>576</v>
      </c>
      <c r="AM689" t="s">
        <v>577</v>
      </c>
      <c r="AN689" t="s">
        <v>578</v>
      </c>
      <c r="AO689" t="s">
        <v>2451</v>
      </c>
      <c r="AP689" t="s">
        <v>2452</v>
      </c>
      <c r="AQ689" t="s">
        <v>74</v>
      </c>
      <c r="AR689" t="s">
        <v>2453</v>
      </c>
      <c r="AS689" t="s">
        <v>2454</v>
      </c>
      <c r="AT689" t="s">
        <v>127</v>
      </c>
      <c r="AU689">
        <v>2021</v>
      </c>
      <c r="AV689">
        <v>185</v>
      </c>
      <c r="AW689" t="s">
        <v>74</v>
      </c>
      <c r="AX689" t="s">
        <v>74</v>
      </c>
      <c r="AY689" t="s">
        <v>74</v>
      </c>
      <c r="AZ689" t="s">
        <v>74</v>
      </c>
      <c r="BA689" t="s">
        <v>74</v>
      </c>
      <c r="BB689" t="s">
        <v>74</v>
      </c>
      <c r="BC689" t="s">
        <v>74</v>
      </c>
      <c r="BD689">
        <v>103254</v>
      </c>
      <c r="BE689" t="s">
        <v>13563</v>
      </c>
      <c r="BF689" t="str">
        <f>HYPERLINK("http://dx.doi.org/10.1016/j.coldregions.2021.103254","http://dx.doi.org/10.1016/j.coldregions.2021.103254")</f>
        <v>http://dx.doi.org/10.1016/j.coldregions.2021.103254</v>
      </c>
      <c r="BG689" t="s">
        <v>74</v>
      </c>
      <c r="BH689" t="s">
        <v>12028</v>
      </c>
      <c r="BI689">
        <v>10</v>
      </c>
      <c r="BJ689" t="s">
        <v>2456</v>
      </c>
      <c r="BK689" t="s">
        <v>101</v>
      </c>
      <c r="BL689" t="s">
        <v>2457</v>
      </c>
      <c r="BM689" t="s">
        <v>13564</v>
      </c>
      <c r="BN689" t="s">
        <v>74</v>
      </c>
      <c r="BO689" t="s">
        <v>496</v>
      </c>
      <c r="BP689" t="s">
        <v>74</v>
      </c>
      <c r="BQ689" t="s">
        <v>74</v>
      </c>
      <c r="BR689" t="s">
        <v>104</v>
      </c>
      <c r="BS689" t="s">
        <v>13565</v>
      </c>
      <c r="BT689" t="str">
        <f>HYPERLINK("https%3A%2F%2Fwww.webofscience.com%2Fwos%2Fwoscc%2Ffull-record%2FWOS:000632495700003","View Full Record in Web of Science")</f>
        <v>View Full Record in Web of Science</v>
      </c>
    </row>
    <row r="690" spans="1:72" x14ac:dyDescent="0.15">
      <c r="A690" t="s">
        <v>72</v>
      </c>
      <c r="B690" t="s">
        <v>13566</v>
      </c>
      <c r="C690" t="s">
        <v>74</v>
      </c>
      <c r="D690" t="s">
        <v>74</v>
      </c>
      <c r="E690" t="s">
        <v>74</v>
      </c>
      <c r="F690" t="s">
        <v>13567</v>
      </c>
      <c r="G690" t="s">
        <v>74</v>
      </c>
      <c r="H690" t="s">
        <v>74</v>
      </c>
      <c r="I690" t="s">
        <v>13568</v>
      </c>
      <c r="J690" t="s">
        <v>4013</v>
      </c>
      <c r="K690" t="s">
        <v>74</v>
      </c>
      <c r="L690" t="s">
        <v>74</v>
      </c>
      <c r="M690" t="s">
        <v>78</v>
      </c>
      <c r="N690" t="s">
        <v>79</v>
      </c>
      <c r="O690" t="s">
        <v>74</v>
      </c>
      <c r="P690" t="s">
        <v>74</v>
      </c>
      <c r="Q690" t="s">
        <v>74</v>
      </c>
      <c r="R690" t="s">
        <v>74</v>
      </c>
      <c r="S690" t="s">
        <v>74</v>
      </c>
      <c r="T690" t="s">
        <v>13569</v>
      </c>
      <c r="U690" t="s">
        <v>13570</v>
      </c>
      <c r="V690" t="s">
        <v>13571</v>
      </c>
      <c r="W690" t="s">
        <v>13572</v>
      </c>
      <c r="X690" t="s">
        <v>13573</v>
      </c>
      <c r="Y690" t="s">
        <v>13574</v>
      </c>
      <c r="Z690" t="s">
        <v>13575</v>
      </c>
      <c r="AA690" t="s">
        <v>13576</v>
      </c>
      <c r="AB690" t="s">
        <v>13577</v>
      </c>
      <c r="AC690" t="s">
        <v>13578</v>
      </c>
      <c r="AD690" t="s">
        <v>13579</v>
      </c>
      <c r="AE690" t="s">
        <v>13580</v>
      </c>
      <c r="AF690" t="s">
        <v>74</v>
      </c>
      <c r="AG690">
        <v>97</v>
      </c>
      <c r="AH690">
        <v>8</v>
      </c>
      <c r="AI690">
        <v>9</v>
      </c>
      <c r="AJ690">
        <v>0</v>
      </c>
      <c r="AK690">
        <v>3</v>
      </c>
      <c r="AL690" t="s">
        <v>1058</v>
      </c>
      <c r="AM690" t="s">
        <v>891</v>
      </c>
      <c r="AN690" t="s">
        <v>1059</v>
      </c>
      <c r="AO690" t="s">
        <v>4026</v>
      </c>
      <c r="AP690" t="s">
        <v>4027</v>
      </c>
      <c r="AQ690" t="s">
        <v>74</v>
      </c>
      <c r="AR690" t="s">
        <v>4028</v>
      </c>
      <c r="AS690" t="s">
        <v>4029</v>
      </c>
      <c r="AT690" t="s">
        <v>707</v>
      </c>
      <c r="AU690">
        <v>2021</v>
      </c>
      <c r="AV690">
        <v>108</v>
      </c>
      <c r="AW690" t="s">
        <v>74</v>
      </c>
      <c r="AX690" t="s">
        <v>74</v>
      </c>
      <c r="AY690" t="s">
        <v>74</v>
      </c>
      <c r="AZ690" t="s">
        <v>74</v>
      </c>
      <c r="BA690" t="s">
        <v>74</v>
      </c>
      <c r="BB690" t="s">
        <v>74</v>
      </c>
      <c r="BC690" t="s">
        <v>74</v>
      </c>
      <c r="BD690">
        <v>103198</v>
      </c>
      <c r="BE690" t="s">
        <v>13581</v>
      </c>
      <c r="BF690" t="str">
        <f>HYPERLINK("http://dx.doi.org/10.1016/j.jsames.2021.103198","http://dx.doi.org/10.1016/j.jsames.2021.103198")</f>
        <v>http://dx.doi.org/10.1016/j.jsames.2021.103198</v>
      </c>
      <c r="BG690" t="s">
        <v>74</v>
      </c>
      <c r="BH690" t="s">
        <v>12028</v>
      </c>
      <c r="BI690">
        <v>20</v>
      </c>
      <c r="BJ690" t="s">
        <v>100</v>
      </c>
      <c r="BK690" t="s">
        <v>101</v>
      </c>
      <c r="BL690" t="s">
        <v>102</v>
      </c>
      <c r="BM690" t="s">
        <v>13582</v>
      </c>
      <c r="BN690" t="s">
        <v>74</v>
      </c>
      <c r="BO690" t="s">
        <v>398</v>
      </c>
      <c r="BP690" t="s">
        <v>74</v>
      </c>
      <c r="BQ690" t="s">
        <v>74</v>
      </c>
      <c r="BR690" t="s">
        <v>104</v>
      </c>
      <c r="BS690" t="s">
        <v>13583</v>
      </c>
      <c r="BT690" t="str">
        <f>HYPERLINK("https%3A%2F%2Fwww.webofscience.com%2Fwos%2Fwoscc%2Ffull-record%2FWOS:000663417000002","View Full Record in Web of Science")</f>
        <v>View Full Record in Web of Science</v>
      </c>
    </row>
    <row r="691" spans="1:72" x14ac:dyDescent="0.15">
      <c r="A691" t="s">
        <v>72</v>
      </c>
      <c r="B691" t="s">
        <v>13584</v>
      </c>
      <c r="C691" t="s">
        <v>74</v>
      </c>
      <c r="D691" t="s">
        <v>74</v>
      </c>
      <c r="E691" t="s">
        <v>74</v>
      </c>
      <c r="F691" t="s">
        <v>13585</v>
      </c>
      <c r="G691" t="s">
        <v>74</v>
      </c>
      <c r="H691" t="s">
        <v>74</v>
      </c>
      <c r="I691" t="s">
        <v>13586</v>
      </c>
      <c r="J691" t="s">
        <v>1666</v>
      </c>
      <c r="K691" t="s">
        <v>74</v>
      </c>
      <c r="L691" t="s">
        <v>74</v>
      </c>
      <c r="M691" t="s">
        <v>78</v>
      </c>
      <c r="N691" t="s">
        <v>79</v>
      </c>
      <c r="O691" t="s">
        <v>74</v>
      </c>
      <c r="P691" t="s">
        <v>74</v>
      </c>
      <c r="Q691" t="s">
        <v>74</v>
      </c>
      <c r="R691" t="s">
        <v>74</v>
      </c>
      <c r="S691" t="s">
        <v>74</v>
      </c>
      <c r="T691" t="s">
        <v>13587</v>
      </c>
      <c r="U691" t="s">
        <v>13588</v>
      </c>
      <c r="V691" t="s">
        <v>13589</v>
      </c>
      <c r="W691" t="s">
        <v>13590</v>
      </c>
      <c r="X691" t="s">
        <v>13591</v>
      </c>
      <c r="Y691" t="s">
        <v>13592</v>
      </c>
      <c r="Z691" t="s">
        <v>13593</v>
      </c>
      <c r="AA691" t="s">
        <v>13594</v>
      </c>
      <c r="AB691" t="s">
        <v>13595</v>
      </c>
      <c r="AC691" t="s">
        <v>13596</v>
      </c>
      <c r="AD691" t="s">
        <v>13597</v>
      </c>
      <c r="AE691" t="s">
        <v>13598</v>
      </c>
      <c r="AF691" t="s">
        <v>74</v>
      </c>
      <c r="AG691">
        <v>75</v>
      </c>
      <c r="AH691">
        <v>14</v>
      </c>
      <c r="AI691">
        <v>14</v>
      </c>
      <c r="AJ691">
        <v>0</v>
      </c>
      <c r="AK691">
        <v>6</v>
      </c>
      <c r="AL691" t="s">
        <v>1058</v>
      </c>
      <c r="AM691" t="s">
        <v>891</v>
      </c>
      <c r="AN691" t="s">
        <v>1059</v>
      </c>
      <c r="AO691" t="s">
        <v>1679</v>
      </c>
      <c r="AP691" t="s">
        <v>1680</v>
      </c>
      <c r="AQ691" t="s">
        <v>74</v>
      </c>
      <c r="AR691" t="s">
        <v>1681</v>
      </c>
      <c r="AS691" t="s">
        <v>1682</v>
      </c>
      <c r="AT691" t="s">
        <v>8646</v>
      </c>
      <c r="AU691">
        <v>2021</v>
      </c>
      <c r="AV691">
        <v>256</v>
      </c>
      <c r="AW691" t="s">
        <v>74</v>
      </c>
      <c r="AX691" t="s">
        <v>74</v>
      </c>
      <c r="AY691" t="s">
        <v>74</v>
      </c>
      <c r="AZ691" t="s">
        <v>74</v>
      </c>
      <c r="BA691" t="s">
        <v>74</v>
      </c>
      <c r="BB691" t="s">
        <v>74</v>
      </c>
      <c r="BC691" t="s">
        <v>74</v>
      </c>
      <c r="BD691">
        <v>106810</v>
      </c>
      <c r="BE691" t="s">
        <v>13599</v>
      </c>
      <c r="BF691" t="str">
        <f>HYPERLINK("http://dx.doi.org/10.1016/j.quascirev.2021.106810","http://dx.doi.org/10.1016/j.quascirev.2021.106810")</f>
        <v>http://dx.doi.org/10.1016/j.quascirev.2021.106810</v>
      </c>
      <c r="BG691" t="s">
        <v>74</v>
      </c>
      <c r="BH691" t="s">
        <v>12028</v>
      </c>
      <c r="BI691">
        <v>23</v>
      </c>
      <c r="BJ691" t="s">
        <v>1685</v>
      </c>
      <c r="BK691" t="s">
        <v>101</v>
      </c>
      <c r="BL691" t="s">
        <v>1686</v>
      </c>
      <c r="BM691" t="s">
        <v>12838</v>
      </c>
      <c r="BN691" t="s">
        <v>74</v>
      </c>
      <c r="BO691" t="s">
        <v>712</v>
      </c>
      <c r="BP691" t="s">
        <v>74</v>
      </c>
      <c r="BQ691" t="s">
        <v>74</v>
      </c>
      <c r="BR691" t="s">
        <v>104</v>
      </c>
      <c r="BS691" t="s">
        <v>13600</v>
      </c>
      <c r="BT691" t="str">
        <f>HYPERLINK("https%3A%2F%2Fwww.webofscience.com%2Fwos%2Fwoscc%2Ffull-record%2FWOS:000626320300001","View Full Record in Web of Science")</f>
        <v>View Full Record in Web of Science</v>
      </c>
    </row>
    <row r="692" spans="1:72" x14ac:dyDescent="0.15">
      <c r="A692" t="s">
        <v>72</v>
      </c>
      <c r="B692" t="s">
        <v>13601</v>
      </c>
      <c r="C692" t="s">
        <v>74</v>
      </c>
      <c r="D692" t="s">
        <v>74</v>
      </c>
      <c r="E692" t="s">
        <v>74</v>
      </c>
      <c r="F692" t="s">
        <v>13602</v>
      </c>
      <c r="G692" t="s">
        <v>74</v>
      </c>
      <c r="H692" t="s">
        <v>74</v>
      </c>
      <c r="I692" t="s">
        <v>13603</v>
      </c>
      <c r="J692" t="s">
        <v>13604</v>
      </c>
      <c r="K692" t="s">
        <v>74</v>
      </c>
      <c r="L692" t="s">
        <v>74</v>
      </c>
      <c r="M692" t="s">
        <v>78</v>
      </c>
      <c r="N692" t="s">
        <v>79</v>
      </c>
      <c r="O692" t="s">
        <v>74</v>
      </c>
      <c r="P692" t="s">
        <v>74</v>
      </c>
      <c r="Q692" t="s">
        <v>74</v>
      </c>
      <c r="R692" t="s">
        <v>74</v>
      </c>
      <c r="S692" t="s">
        <v>74</v>
      </c>
      <c r="T692" t="s">
        <v>13605</v>
      </c>
      <c r="U692" t="s">
        <v>74</v>
      </c>
      <c r="V692" t="s">
        <v>13606</v>
      </c>
      <c r="W692" t="s">
        <v>13607</v>
      </c>
      <c r="X692" t="s">
        <v>13608</v>
      </c>
      <c r="Y692" t="s">
        <v>13609</v>
      </c>
      <c r="Z692" t="s">
        <v>13610</v>
      </c>
      <c r="AA692" t="s">
        <v>13611</v>
      </c>
      <c r="AB692" t="s">
        <v>13612</v>
      </c>
      <c r="AC692" t="s">
        <v>13613</v>
      </c>
      <c r="AD692" t="s">
        <v>13614</v>
      </c>
      <c r="AE692" t="s">
        <v>13615</v>
      </c>
      <c r="AF692" t="s">
        <v>74</v>
      </c>
      <c r="AG692">
        <v>0</v>
      </c>
      <c r="AH692">
        <v>12</v>
      </c>
      <c r="AI692">
        <v>14</v>
      </c>
      <c r="AJ692">
        <v>0</v>
      </c>
      <c r="AK692">
        <v>7</v>
      </c>
      <c r="AL692" t="s">
        <v>2922</v>
      </c>
      <c r="AM692" t="s">
        <v>2923</v>
      </c>
      <c r="AN692" t="s">
        <v>2924</v>
      </c>
      <c r="AO692" t="s">
        <v>13616</v>
      </c>
      <c r="AP692" t="s">
        <v>13617</v>
      </c>
      <c r="AQ692" t="s">
        <v>74</v>
      </c>
      <c r="AR692" t="s">
        <v>13618</v>
      </c>
      <c r="AS692" t="s">
        <v>13619</v>
      </c>
      <c r="AT692" t="s">
        <v>7734</v>
      </c>
      <c r="AU692">
        <v>2021</v>
      </c>
      <c r="AV692">
        <v>56</v>
      </c>
      <c r="AW692">
        <v>4</v>
      </c>
      <c r="AX692" t="s">
        <v>74</v>
      </c>
      <c r="AY692" t="s">
        <v>74</v>
      </c>
      <c r="AZ692" t="s">
        <v>74</v>
      </c>
      <c r="BA692" t="s">
        <v>74</v>
      </c>
      <c r="BB692">
        <v>416</v>
      </c>
      <c r="BC692">
        <v>427</v>
      </c>
      <c r="BD692" t="s">
        <v>74</v>
      </c>
      <c r="BE692" t="s">
        <v>13620</v>
      </c>
      <c r="BF692" t="str">
        <f>HYPERLINK("http://dx.doi.org/10.1080/09670262.2020.1854351","http://dx.doi.org/10.1080/09670262.2020.1854351")</f>
        <v>http://dx.doi.org/10.1080/09670262.2020.1854351</v>
      </c>
      <c r="BG692" t="s">
        <v>74</v>
      </c>
      <c r="BH692" t="s">
        <v>12028</v>
      </c>
      <c r="BI692">
        <v>12</v>
      </c>
      <c r="BJ692" t="s">
        <v>6897</v>
      </c>
      <c r="BK692" t="s">
        <v>101</v>
      </c>
      <c r="BL692" t="s">
        <v>6897</v>
      </c>
      <c r="BM692" t="s">
        <v>13621</v>
      </c>
      <c r="BN692" t="s">
        <v>74</v>
      </c>
      <c r="BO692" t="s">
        <v>74</v>
      </c>
      <c r="BP692" t="s">
        <v>74</v>
      </c>
      <c r="BQ692" t="s">
        <v>74</v>
      </c>
      <c r="BR692" t="s">
        <v>104</v>
      </c>
      <c r="BS692" t="s">
        <v>13622</v>
      </c>
      <c r="BT692" t="str">
        <f>HYPERLINK("https%3A%2F%2Fwww.webofscience.com%2Fwos%2Fwoscc%2Ffull-record%2FWOS:000618695800001","View Full Record in Web of Science")</f>
        <v>View Full Record in Web of Science</v>
      </c>
    </row>
    <row r="693" spans="1:72" x14ac:dyDescent="0.15">
      <c r="A693" t="s">
        <v>72</v>
      </c>
      <c r="B693" t="s">
        <v>13623</v>
      </c>
      <c r="C693" t="s">
        <v>74</v>
      </c>
      <c r="D693" t="s">
        <v>74</v>
      </c>
      <c r="E693" t="s">
        <v>74</v>
      </c>
      <c r="F693" t="s">
        <v>13624</v>
      </c>
      <c r="G693" t="s">
        <v>74</v>
      </c>
      <c r="H693" t="s">
        <v>74</v>
      </c>
      <c r="I693" t="s">
        <v>13625</v>
      </c>
      <c r="J693" t="s">
        <v>8677</v>
      </c>
      <c r="K693" t="s">
        <v>74</v>
      </c>
      <c r="L693" t="s">
        <v>74</v>
      </c>
      <c r="M693" t="s">
        <v>78</v>
      </c>
      <c r="N693" t="s">
        <v>79</v>
      </c>
      <c r="O693" t="s">
        <v>74</v>
      </c>
      <c r="P693" t="s">
        <v>74</v>
      </c>
      <c r="Q693" t="s">
        <v>74</v>
      </c>
      <c r="R693" t="s">
        <v>74</v>
      </c>
      <c r="S693" t="s">
        <v>74</v>
      </c>
      <c r="T693" t="s">
        <v>13626</v>
      </c>
      <c r="U693" t="s">
        <v>13627</v>
      </c>
      <c r="V693" t="s">
        <v>13628</v>
      </c>
      <c r="W693" t="s">
        <v>13629</v>
      </c>
      <c r="X693" t="s">
        <v>13630</v>
      </c>
      <c r="Y693" t="s">
        <v>13631</v>
      </c>
      <c r="Z693" t="s">
        <v>13632</v>
      </c>
      <c r="AA693" t="s">
        <v>13633</v>
      </c>
      <c r="AB693" t="s">
        <v>13634</v>
      </c>
      <c r="AC693" t="s">
        <v>13635</v>
      </c>
      <c r="AD693" t="s">
        <v>13636</v>
      </c>
      <c r="AE693" t="s">
        <v>13637</v>
      </c>
      <c r="AF693" t="s">
        <v>74</v>
      </c>
      <c r="AG693">
        <v>105</v>
      </c>
      <c r="AH693">
        <v>9</v>
      </c>
      <c r="AI693">
        <v>9</v>
      </c>
      <c r="AJ693">
        <v>11</v>
      </c>
      <c r="AK693">
        <v>77</v>
      </c>
      <c r="AL693" t="s">
        <v>576</v>
      </c>
      <c r="AM693" t="s">
        <v>577</v>
      </c>
      <c r="AN693" t="s">
        <v>578</v>
      </c>
      <c r="AO693" t="s">
        <v>8690</v>
      </c>
      <c r="AP693" t="s">
        <v>8691</v>
      </c>
      <c r="AQ693" t="s">
        <v>74</v>
      </c>
      <c r="AR693" t="s">
        <v>8692</v>
      </c>
      <c r="AS693" t="s">
        <v>8693</v>
      </c>
      <c r="AT693" t="s">
        <v>2506</v>
      </c>
      <c r="AU693">
        <v>2021</v>
      </c>
      <c r="AV693">
        <v>408</v>
      </c>
      <c r="AW693" t="s">
        <v>74</v>
      </c>
      <c r="AX693" t="s">
        <v>74</v>
      </c>
      <c r="AY693" t="s">
        <v>74</v>
      </c>
      <c r="AZ693" t="s">
        <v>74</v>
      </c>
      <c r="BA693" t="s">
        <v>74</v>
      </c>
      <c r="BB693" t="s">
        <v>74</v>
      </c>
      <c r="BC693" t="s">
        <v>74</v>
      </c>
      <c r="BD693">
        <v>124430</v>
      </c>
      <c r="BE693" t="s">
        <v>13638</v>
      </c>
      <c r="BF693" t="str">
        <f>HYPERLINK("http://dx.doi.org/10.1016/j.jhazmat.2020.124430","http://dx.doi.org/10.1016/j.jhazmat.2020.124430")</f>
        <v>http://dx.doi.org/10.1016/j.jhazmat.2020.124430</v>
      </c>
      <c r="BG693" t="s">
        <v>74</v>
      </c>
      <c r="BH693" t="s">
        <v>12028</v>
      </c>
      <c r="BI693">
        <v>13</v>
      </c>
      <c r="BJ693" t="s">
        <v>2483</v>
      </c>
      <c r="BK693" t="s">
        <v>101</v>
      </c>
      <c r="BL693" t="s">
        <v>2484</v>
      </c>
      <c r="BM693" t="s">
        <v>13639</v>
      </c>
      <c r="BN693">
        <v>33176958</v>
      </c>
      <c r="BO693" t="s">
        <v>74</v>
      </c>
      <c r="BP693" t="s">
        <v>74</v>
      </c>
      <c r="BQ693" t="s">
        <v>74</v>
      </c>
      <c r="BR693" t="s">
        <v>104</v>
      </c>
      <c r="BS693" t="s">
        <v>13640</v>
      </c>
      <c r="BT693" t="str">
        <f>HYPERLINK("https%3A%2F%2Fwww.webofscience.com%2Fwos%2Fwoscc%2Ffull-record%2FWOS:000620379400006","View Full Record in Web of Science")</f>
        <v>View Full Record in Web of Science</v>
      </c>
    </row>
    <row r="694" spans="1:72" x14ac:dyDescent="0.15">
      <c r="A694" t="s">
        <v>72</v>
      </c>
      <c r="B694" t="s">
        <v>13641</v>
      </c>
      <c r="C694" t="s">
        <v>74</v>
      </c>
      <c r="D694" t="s">
        <v>74</v>
      </c>
      <c r="E694" t="s">
        <v>74</v>
      </c>
      <c r="F694" t="s">
        <v>13642</v>
      </c>
      <c r="G694" t="s">
        <v>74</v>
      </c>
      <c r="H694" t="s">
        <v>74</v>
      </c>
      <c r="I694" t="s">
        <v>13643</v>
      </c>
      <c r="J694" t="s">
        <v>474</v>
      </c>
      <c r="K694" t="s">
        <v>74</v>
      </c>
      <c r="L694" t="s">
        <v>74</v>
      </c>
      <c r="M694" t="s">
        <v>78</v>
      </c>
      <c r="N694" t="s">
        <v>79</v>
      </c>
      <c r="O694" t="s">
        <v>74</v>
      </c>
      <c r="P694" t="s">
        <v>74</v>
      </c>
      <c r="Q694" t="s">
        <v>74</v>
      </c>
      <c r="R694" t="s">
        <v>74</v>
      </c>
      <c r="S694" t="s">
        <v>74</v>
      </c>
      <c r="T694" t="s">
        <v>74</v>
      </c>
      <c r="U694" t="s">
        <v>13644</v>
      </c>
      <c r="V694" t="s">
        <v>13645</v>
      </c>
      <c r="W694" t="s">
        <v>13646</v>
      </c>
      <c r="X694" t="s">
        <v>10939</v>
      </c>
      <c r="Y694" t="s">
        <v>13647</v>
      </c>
      <c r="Z694" t="s">
        <v>13648</v>
      </c>
      <c r="AA694" t="s">
        <v>13649</v>
      </c>
      <c r="AB694" t="s">
        <v>13650</v>
      </c>
      <c r="AC694" t="s">
        <v>13651</v>
      </c>
      <c r="AD694" t="s">
        <v>13652</v>
      </c>
      <c r="AE694" t="s">
        <v>13653</v>
      </c>
      <c r="AF694" t="s">
        <v>74</v>
      </c>
      <c r="AG694">
        <v>56</v>
      </c>
      <c r="AH694">
        <v>9</v>
      </c>
      <c r="AI694">
        <v>9</v>
      </c>
      <c r="AJ694">
        <v>5</v>
      </c>
      <c r="AK694">
        <v>14</v>
      </c>
      <c r="AL694" t="s">
        <v>486</v>
      </c>
      <c r="AM694" t="s">
        <v>487</v>
      </c>
      <c r="AN694" t="s">
        <v>488</v>
      </c>
      <c r="AO694" t="s">
        <v>489</v>
      </c>
      <c r="AP694" t="s">
        <v>490</v>
      </c>
      <c r="AQ694" t="s">
        <v>74</v>
      </c>
      <c r="AR694" t="s">
        <v>491</v>
      </c>
      <c r="AS694" t="s">
        <v>492</v>
      </c>
      <c r="AT694" t="s">
        <v>13654</v>
      </c>
      <c r="AU694">
        <v>2021</v>
      </c>
      <c r="AV694">
        <v>168</v>
      </c>
      <c r="AW694">
        <v>3</v>
      </c>
      <c r="AX694" t="s">
        <v>74</v>
      </c>
      <c r="AY694" t="s">
        <v>74</v>
      </c>
      <c r="AZ694" t="s">
        <v>74</v>
      </c>
      <c r="BA694" t="s">
        <v>74</v>
      </c>
      <c r="BB694" t="s">
        <v>74</v>
      </c>
      <c r="BC694" t="s">
        <v>74</v>
      </c>
      <c r="BD694">
        <v>36</v>
      </c>
      <c r="BE694" t="s">
        <v>13655</v>
      </c>
      <c r="BF694" t="str">
        <f>HYPERLINK("http://dx.doi.org/10.1007/s00227-021-03841-y","http://dx.doi.org/10.1007/s00227-021-03841-y")</f>
        <v>http://dx.doi.org/10.1007/s00227-021-03841-y</v>
      </c>
      <c r="BG694" t="s">
        <v>74</v>
      </c>
      <c r="BH694" t="s">
        <v>74</v>
      </c>
      <c r="BI694">
        <v>10</v>
      </c>
      <c r="BJ694" t="s">
        <v>494</v>
      </c>
      <c r="BK694" t="s">
        <v>101</v>
      </c>
      <c r="BL694" t="s">
        <v>494</v>
      </c>
      <c r="BM694" t="s">
        <v>13656</v>
      </c>
      <c r="BN694" t="s">
        <v>74</v>
      </c>
      <c r="BO694" t="s">
        <v>2726</v>
      </c>
      <c r="BP694" t="s">
        <v>74</v>
      </c>
      <c r="BQ694" t="s">
        <v>74</v>
      </c>
      <c r="BR694" t="s">
        <v>104</v>
      </c>
      <c r="BS694" t="s">
        <v>13657</v>
      </c>
      <c r="BT694" t="str">
        <f>HYPERLINK("https%3A%2F%2Fwww.webofscience.com%2Fwos%2Fwoscc%2Ffull-record%2FWOS:000620374000002","View Full Record in Web of Science")</f>
        <v>View Full Record in Web of Science</v>
      </c>
    </row>
    <row r="695" spans="1:72" x14ac:dyDescent="0.15">
      <c r="A695" t="s">
        <v>72</v>
      </c>
      <c r="B695" t="s">
        <v>13658</v>
      </c>
      <c r="C695" t="s">
        <v>74</v>
      </c>
      <c r="D695" t="s">
        <v>74</v>
      </c>
      <c r="E695" t="s">
        <v>74</v>
      </c>
      <c r="F695" t="s">
        <v>13659</v>
      </c>
      <c r="G695" t="s">
        <v>74</v>
      </c>
      <c r="H695" t="s">
        <v>74</v>
      </c>
      <c r="I695" t="s">
        <v>13660</v>
      </c>
      <c r="J695" t="s">
        <v>13397</v>
      </c>
      <c r="K695" t="s">
        <v>74</v>
      </c>
      <c r="L695" t="s">
        <v>74</v>
      </c>
      <c r="M695" t="s">
        <v>78</v>
      </c>
      <c r="N695" t="s">
        <v>79</v>
      </c>
      <c r="O695" t="s">
        <v>74</v>
      </c>
      <c r="P695" t="s">
        <v>74</v>
      </c>
      <c r="Q695" t="s">
        <v>74</v>
      </c>
      <c r="R695" t="s">
        <v>74</v>
      </c>
      <c r="S695" t="s">
        <v>74</v>
      </c>
      <c r="T695" t="s">
        <v>13661</v>
      </c>
      <c r="U695" t="s">
        <v>13662</v>
      </c>
      <c r="V695" t="s">
        <v>13663</v>
      </c>
      <c r="W695" t="s">
        <v>13664</v>
      </c>
      <c r="X695" t="s">
        <v>13665</v>
      </c>
      <c r="Y695" t="s">
        <v>13666</v>
      </c>
      <c r="Z695" t="s">
        <v>13667</v>
      </c>
      <c r="AA695" t="s">
        <v>13668</v>
      </c>
      <c r="AB695" t="s">
        <v>13669</v>
      </c>
      <c r="AC695" t="s">
        <v>13670</v>
      </c>
      <c r="AD695" t="s">
        <v>13670</v>
      </c>
      <c r="AE695" t="s">
        <v>13671</v>
      </c>
      <c r="AF695" t="s">
        <v>74</v>
      </c>
      <c r="AG695">
        <v>97</v>
      </c>
      <c r="AH695">
        <v>10</v>
      </c>
      <c r="AI695">
        <v>10</v>
      </c>
      <c r="AJ695">
        <v>3</v>
      </c>
      <c r="AK695">
        <v>17</v>
      </c>
      <c r="AL695" t="s">
        <v>795</v>
      </c>
      <c r="AM695" t="s">
        <v>796</v>
      </c>
      <c r="AN695" t="s">
        <v>797</v>
      </c>
      <c r="AO695" t="s">
        <v>13410</v>
      </c>
      <c r="AP695" t="s">
        <v>13411</v>
      </c>
      <c r="AQ695" t="s">
        <v>74</v>
      </c>
      <c r="AR695" t="s">
        <v>13412</v>
      </c>
      <c r="AS695" t="s">
        <v>13413</v>
      </c>
      <c r="AT695" t="s">
        <v>707</v>
      </c>
      <c r="AU695">
        <v>2021</v>
      </c>
      <c r="AV695">
        <v>27</v>
      </c>
      <c r="AW695">
        <v>6</v>
      </c>
      <c r="AX695" t="s">
        <v>74</v>
      </c>
      <c r="AY695" t="s">
        <v>74</v>
      </c>
      <c r="AZ695" t="s">
        <v>74</v>
      </c>
      <c r="BA695" t="s">
        <v>74</v>
      </c>
      <c r="BB695">
        <v>973</v>
      </c>
      <c r="BC695">
        <v>988</v>
      </c>
      <c r="BD695" t="s">
        <v>74</v>
      </c>
      <c r="BE695" t="s">
        <v>13672</v>
      </c>
      <c r="BF695" t="str">
        <f>HYPERLINK("http://dx.doi.org/10.1111/ddi.13246","http://dx.doi.org/10.1111/ddi.13246")</f>
        <v>http://dx.doi.org/10.1111/ddi.13246</v>
      </c>
      <c r="BG695" t="s">
        <v>74</v>
      </c>
      <c r="BH695" t="s">
        <v>12028</v>
      </c>
      <c r="BI695">
        <v>16</v>
      </c>
      <c r="BJ695" t="s">
        <v>1438</v>
      </c>
      <c r="BK695" t="s">
        <v>1038</v>
      </c>
      <c r="BL695" t="s">
        <v>1439</v>
      </c>
      <c r="BM695" t="s">
        <v>13673</v>
      </c>
      <c r="BN695" t="s">
        <v>74</v>
      </c>
      <c r="BO695" t="s">
        <v>558</v>
      </c>
      <c r="BP695" t="s">
        <v>74</v>
      </c>
      <c r="BQ695" t="s">
        <v>74</v>
      </c>
      <c r="BR695" t="s">
        <v>104</v>
      </c>
      <c r="BS695" t="s">
        <v>13674</v>
      </c>
      <c r="BT695" t="str">
        <f>HYPERLINK("https%3A%2F%2Fwww.webofscience.com%2Fwos%2Fwoscc%2Ffull-record%2FWOS:000618632100001","View Full Record in Web of Science")</f>
        <v>View Full Record in Web of Science</v>
      </c>
    </row>
    <row r="696" spans="1:72" x14ac:dyDescent="0.15">
      <c r="A696" t="s">
        <v>72</v>
      </c>
      <c r="B696" t="s">
        <v>13675</v>
      </c>
      <c r="C696" t="s">
        <v>74</v>
      </c>
      <c r="D696" t="s">
        <v>74</v>
      </c>
      <c r="E696" t="s">
        <v>74</v>
      </c>
      <c r="F696" t="s">
        <v>13676</v>
      </c>
      <c r="G696" t="s">
        <v>74</v>
      </c>
      <c r="H696" t="s">
        <v>74</v>
      </c>
      <c r="I696" t="s">
        <v>13677</v>
      </c>
      <c r="J696" t="s">
        <v>13678</v>
      </c>
      <c r="K696" t="s">
        <v>74</v>
      </c>
      <c r="L696" t="s">
        <v>74</v>
      </c>
      <c r="M696" t="s">
        <v>78</v>
      </c>
      <c r="N696" t="s">
        <v>79</v>
      </c>
      <c r="O696" t="s">
        <v>74</v>
      </c>
      <c r="P696" t="s">
        <v>74</v>
      </c>
      <c r="Q696" t="s">
        <v>74</v>
      </c>
      <c r="R696" t="s">
        <v>74</v>
      </c>
      <c r="S696" t="s">
        <v>74</v>
      </c>
      <c r="T696" t="s">
        <v>13679</v>
      </c>
      <c r="U696" t="s">
        <v>74</v>
      </c>
      <c r="V696" t="s">
        <v>13680</v>
      </c>
      <c r="W696" t="s">
        <v>13681</v>
      </c>
      <c r="X696" t="s">
        <v>13682</v>
      </c>
      <c r="Y696" t="s">
        <v>13683</v>
      </c>
      <c r="Z696" t="s">
        <v>13684</v>
      </c>
      <c r="AA696" t="s">
        <v>13685</v>
      </c>
      <c r="AB696" t="s">
        <v>13686</v>
      </c>
      <c r="AC696" t="s">
        <v>13687</v>
      </c>
      <c r="AD696" t="s">
        <v>13688</v>
      </c>
      <c r="AE696" t="s">
        <v>13689</v>
      </c>
      <c r="AF696" t="s">
        <v>74</v>
      </c>
      <c r="AG696">
        <v>23</v>
      </c>
      <c r="AH696">
        <v>13</v>
      </c>
      <c r="AI696">
        <v>13</v>
      </c>
      <c r="AJ696">
        <v>3</v>
      </c>
      <c r="AK696">
        <v>30</v>
      </c>
      <c r="AL696" t="s">
        <v>166</v>
      </c>
      <c r="AM696" t="s">
        <v>192</v>
      </c>
      <c r="AN696" t="s">
        <v>193</v>
      </c>
      <c r="AO696" t="s">
        <v>13690</v>
      </c>
      <c r="AP696" t="s">
        <v>13691</v>
      </c>
      <c r="AQ696" t="s">
        <v>74</v>
      </c>
      <c r="AR696" t="s">
        <v>13692</v>
      </c>
      <c r="AS696" t="s">
        <v>13693</v>
      </c>
      <c r="AT696" t="s">
        <v>2859</v>
      </c>
      <c r="AU696">
        <v>2021</v>
      </c>
      <c r="AV696">
        <v>114</v>
      </c>
      <c r="AW696">
        <v>4</v>
      </c>
      <c r="AX696" t="s">
        <v>74</v>
      </c>
      <c r="AY696" t="s">
        <v>74</v>
      </c>
      <c r="AZ696" t="s">
        <v>74</v>
      </c>
      <c r="BA696" t="s">
        <v>74</v>
      </c>
      <c r="BB696">
        <v>457</v>
      </c>
      <c r="BC696">
        <v>464</v>
      </c>
      <c r="BD696" t="s">
        <v>74</v>
      </c>
      <c r="BE696" t="s">
        <v>13694</v>
      </c>
      <c r="BF696" t="str">
        <f>HYPERLINK("http://dx.doi.org/10.1007/s10482-021-01533-7","http://dx.doi.org/10.1007/s10482-021-01533-7")</f>
        <v>http://dx.doi.org/10.1007/s10482-021-01533-7</v>
      </c>
      <c r="BG696" t="s">
        <v>74</v>
      </c>
      <c r="BH696" t="s">
        <v>12028</v>
      </c>
      <c r="BI696">
        <v>8</v>
      </c>
      <c r="BJ696" t="s">
        <v>396</v>
      </c>
      <c r="BK696" t="s">
        <v>101</v>
      </c>
      <c r="BL696" t="s">
        <v>396</v>
      </c>
      <c r="BM696" t="s">
        <v>13695</v>
      </c>
      <c r="BN696">
        <v>33598877</v>
      </c>
      <c r="BO696" t="s">
        <v>74</v>
      </c>
      <c r="BP696" t="s">
        <v>74</v>
      </c>
      <c r="BQ696" t="s">
        <v>74</v>
      </c>
      <c r="BR696" t="s">
        <v>104</v>
      </c>
      <c r="BS696" t="s">
        <v>13696</v>
      </c>
      <c r="BT696" t="str">
        <f>HYPERLINK("https%3A%2F%2Fwww.webofscience.com%2Fwos%2Fwoscc%2Ffull-record%2FWOS:000618901300003","View Full Record in Web of Science")</f>
        <v>View Full Record in Web of Science</v>
      </c>
    </row>
    <row r="697" spans="1:72" x14ac:dyDescent="0.15">
      <c r="A697" t="s">
        <v>72</v>
      </c>
      <c r="B697" t="s">
        <v>13697</v>
      </c>
      <c r="C697" t="s">
        <v>74</v>
      </c>
      <c r="D697" t="s">
        <v>74</v>
      </c>
      <c r="E697" t="s">
        <v>74</v>
      </c>
      <c r="F697" t="s">
        <v>13698</v>
      </c>
      <c r="G697" t="s">
        <v>74</v>
      </c>
      <c r="H697" t="s">
        <v>74</v>
      </c>
      <c r="I697" t="s">
        <v>13699</v>
      </c>
      <c r="J697" t="s">
        <v>3119</v>
      </c>
      <c r="K697" t="s">
        <v>74</v>
      </c>
      <c r="L697" t="s">
        <v>74</v>
      </c>
      <c r="M697" t="s">
        <v>78</v>
      </c>
      <c r="N697" t="s">
        <v>79</v>
      </c>
      <c r="O697" t="s">
        <v>74</v>
      </c>
      <c r="P697" t="s">
        <v>74</v>
      </c>
      <c r="Q697" t="s">
        <v>74</v>
      </c>
      <c r="R697" t="s">
        <v>74</v>
      </c>
      <c r="S697" t="s">
        <v>74</v>
      </c>
      <c r="T697" t="s">
        <v>13700</v>
      </c>
      <c r="U697" t="s">
        <v>13701</v>
      </c>
      <c r="V697" t="s">
        <v>13702</v>
      </c>
      <c r="W697" t="s">
        <v>13703</v>
      </c>
      <c r="X697" t="s">
        <v>13704</v>
      </c>
      <c r="Y697" t="s">
        <v>13705</v>
      </c>
      <c r="Z697" t="s">
        <v>13706</v>
      </c>
      <c r="AA697" t="s">
        <v>13707</v>
      </c>
      <c r="AB697" t="s">
        <v>13708</v>
      </c>
      <c r="AC697" t="s">
        <v>13709</v>
      </c>
      <c r="AD697" t="s">
        <v>13710</v>
      </c>
      <c r="AE697" t="s">
        <v>13711</v>
      </c>
      <c r="AF697" t="s">
        <v>74</v>
      </c>
      <c r="AG697">
        <v>61</v>
      </c>
      <c r="AH697">
        <v>8</v>
      </c>
      <c r="AI697">
        <v>8</v>
      </c>
      <c r="AJ697">
        <v>3</v>
      </c>
      <c r="AK697">
        <v>44</v>
      </c>
      <c r="AL697" t="s">
        <v>1058</v>
      </c>
      <c r="AM697" t="s">
        <v>891</v>
      </c>
      <c r="AN697" t="s">
        <v>1059</v>
      </c>
      <c r="AO697" t="s">
        <v>3132</v>
      </c>
      <c r="AP697" t="s">
        <v>3133</v>
      </c>
      <c r="AQ697" t="s">
        <v>74</v>
      </c>
      <c r="AR697" t="s">
        <v>3119</v>
      </c>
      <c r="AS697" t="s">
        <v>3134</v>
      </c>
      <c r="AT697" t="s">
        <v>2859</v>
      </c>
      <c r="AU697">
        <v>2021</v>
      </c>
      <c r="AV697">
        <v>269</v>
      </c>
      <c r="AW697" t="s">
        <v>74</v>
      </c>
      <c r="AX697" t="s">
        <v>74</v>
      </c>
      <c r="AY697" t="s">
        <v>74</v>
      </c>
      <c r="AZ697" t="s">
        <v>74</v>
      </c>
      <c r="BA697" t="s">
        <v>74</v>
      </c>
      <c r="BB697" t="s">
        <v>74</v>
      </c>
      <c r="BC697" t="s">
        <v>74</v>
      </c>
      <c r="BD697">
        <v>128675</v>
      </c>
      <c r="BE697" t="s">
        <v>13712</v>
      </c>
      <c r="BF697" t="str">
        <f>HYPERLINK("http://dx.doi.org/10.1016/j.chemosphere.2020.128675","http://dx.doi.org/10.1016/j.chemosphere.2020.128675")</f>
        <v>http://dx.doi.org/10.1016/j.chemosphere.2020.128675</v>
      </c>
      <c r="BG697" t="s">
        <v>74</v>
      </c>
      <c r="BH697" t="s">
        <v>12028</v>
      </c>
      <c r="BI697">
        <v>12</v>
      </c>
      <c r="BJ697" t="s">
        <v>224</v>
      </c>
      <c r="BK697" t="s">
        <v>101</v>
      </c>
      <c r="BL697" t="s">
        <v>225</v>
      </c>
      <c r="BM697" t="s">
        <v>13713</v>
      </c>
      <c r="BN697">
        <v>33657749</v>
      </c>
      <c r="BO697" t="s">
        <v>74</v>
      </c>
      <c r="BP697" t="s">
        <v>74</v>
      </c>
      <c r="BQ697" t="s">
        <v>74</v>
      </c>
      <c r="BR697" t="s">
        <v>104</v>
      </c>
      <c r="BS697" t="s">
        <v>13714</v>
      </c>
      <c r="BT697" t="str">
        <f>HYPERLINK("https%3A%2F%2Fwww.webofscience.com%2Fwos%2Fwoscc%2Ffull-record%2FWOS:000631725000004","View Full Record in Web of Science")</f>
        <v>View Full Record in Web of Science</v>
      </c>
    </row>
    <row r="698" spans="1:72" x14ac:dyDescent="0.15">
      <c r="A698" t="s">
        <v>72</v>
      </c>
      <c r="B698" t="s">
        <v>13715</v>
      </c>
      <c r="C698" t="s">
        <v>74</v>
      </c>
      <c r="D698" t="s">
        <v>74</v>
      </c>
      <c r="E698" t="s">
        <v>74</v>
      </c>
      <c r="F698" t="s">
        <v>13716</v>
      </c>
      <c r="G698" t="s">
        <v>74</v>
      </c>
      <c r="H698" t="s">
        <v>74</v>
      </c>
      <c r="I698" t="s">
        <v>13717</v>
      </c>
      <c r="J698" t="s">
        <v>13718</v>
      </c>
      <c r="K698" t="s">
        <v>74</v>
      </c>
      <c r="L698" t="s">
        <v>74</v>
      </c>
      <c r="M698" t="s">
        <v>78</v>
      </c>
      <c r="N698" t="s">
        <v>79</v>
      </c>
      <c r="O698" t="s">
        <v>74</v>
      </c>
      <c r="P698" t="s">
        <v>74</v>
      </c>
      <c r="Q698" t="s">
        <v>74</v>
      </c>
      <c r="R698" t="s">
        <v>74</v>
      </c>
      <c r="S698" t="s">
        <v>74</v>
      </c>
      <c r="T698" t="s">
        <v>13719</v>
      </c>
      <c r="U698" t="s">
        <v>13720</v>
      </c>
      <c r="V698" t="s">
        <v>13721</v>
      </c>
      <c r="W698" t="s">
        <v>13722</v>
      </c>
      <c r="X698" t="s">
        <v>13723</v>
      </c>
      <c r="Y698" t="s">
        <v>13724</v>
      </c>
      <c r="Z698" t="s">
        <v>13725</v>
      </c>
      <c r="AA698" t="s">
        <v>13726</v>
      </c>
      <c r="AB698" t="s">
        <v>13727</v>
      </c>
      <c r="AC698" t="s">
        <v>13728</v>
      </c>
      <c r="AD698" t="s">
        <v>13729</v>
      </c>
      <c r="AE698" t="s">
        <v>13730</v>
      </c>
      <c r="AF698" t="s">
        <v>74</v>
      </c>
      <c r="AG698">
        <v>146</v>
      </c>
      <c r="AH698">
        <v>10</v>
      </c>
      <c r="AI698">
        <v>11</v>
      </c>
      <c r="AJ698">
        <v>5</v>
      </c>
      <c r="AK698">
        <v>45</v>
      </c>
      <c r="AL698" t="s">
        <v>1160</v>
      </c>
      <c r="AM698" t="s">
        <v>891</v>
      </c>
      <c r="AN698" t="s">
        <v>1161</v>
      </c>
      <c r="AO698" t="s">
        <v>13731</v>
      </c>
      <c r="AP698" t="s">
        <v>13732</v>
      </c>
      <c r="AQ698" t="s">
        <v>74</v>
      </c>
      <c r="AR698" t="s">
        <v>13733</v>
      </c>
      <c r="AS698" t="s">
        <v>13734</v>
      </c>
      <c r="AT698" t="s">
        <v>13735</v>
      </c>
      <c r="AU698">
        <v>2021</v>
      </c>
      <c r="AV698">
        <v>72</v>
      </c>
      <c r="AW698">
        <v>11</v>
      </c>
      <c r="AX698" t="s">
        <v>74</v>
      </c>
      <c r="AY698" t="s">
        <v>74</v>
      </c>
      <c r="AZ698" t="s">
        <v>803</v>
      </c>
      <c r="BA698" t="s">
        <v>74</v>
      </c>
      <c r="BB698">
        <v>4161</v>
      </c>
      <c r="BC698">
        <v>4179</v>
      </c>
      <c r="BD698" t="s">
        <v>74</v>
      </c>
      <c r="BE698" t="s">
        <v>13736</v>
      </c>
      <c r="BF698" t="str">
        <f>HYPERLINK("http://dx.doi.org/10.1093/jxb/erab051","http://dx.doi.org/10.1093/jxb/erab051")</f>
        <v>http://dx.doi.org/10.1093/jxb/erab051</v>
      </c>
      <c r="BG698" t="s">
        <v>74</v>
      </c>
      <c r="BH698" t="s">
        <v>12028</v>
      </c>
      <c r="BI698">
        <v>19</v>
      </c>
      <c r="BJ698" t="s">
        <v>2508</v>
      </c>
      <c r="BK698" t="s">
        <v>101</v>
      </c>
      <c r="BL698" t="s">
        <v>2508</v>
      </c>
      <c r="BM698" t="s">
        <v>13737</v>
      </c>
      <c r="BN698">
        <v>33595636</v>
      </c>
      <c r="BO698" t="s">
        <v>74</v>
      </c>
      <c r="BP698" t="s">
        <v>74</v>
      </c>
      <c r="BQ698" t="s">
        <v>74</v>
      </c>
      <c r="BR698" t="s">
        <v>104</v>
      </c>
      <c r="BS698" t="s">
        <v>13738</v>
      </c>
      <c r="BT698" t="str">
        <f>HYPERLINK("https%3A%2F%2Fwww.webofscience.com%2Fwos%2Fwoscc%2Ffull-record%2FWOS:000661531200016","View Full Record in Web of Science")</f>
        <v>View Full Record in Web of Science</v>
      </c>
    </row>
    <row r="699" spans="1:72" x14ac:dyDescent="0.15">
      <c r="A699" t="s">
        <v>72</v>
      </c>
      <c r="B699" t="s">
        <v>13739</v>
      </c>
      <c r="C699" t="s">
        <v>74</v>
      </c>
      <c r="D699" t="s">
        <v>74</v>
      </c>
      <c r="E699" t="s">
        <v>74</v>
      </c>
      <c r="F699" t="s">
        <v>13740</v>
      </c>
      <c r="G699" t="s">
        <v>74</v>
      </c>
      <c r="H699" t="s">
        <v>74</v>
      </c>
      <c r="I699" t="s">
        <v>13741</v>
      </c>
      <c r="J699" t="s">
        <v>8677</v>
      </c>
      <c r="K699" t="s">
        <v>74</v>
      </c>
      <c r="L699" t="s">
        <v>74</v>
      </c>
      <c r="M699" t="s">
        <v>78</v>
      </c>
      <c r="N699" t="s">
        <v>79</v>
      </c>
      <c r="O699" t="s">
        <v>74</v>
      </c>
      <c r="P699" t="s">
        <v>74</v>
      </c>
      <c r="Q699" t="s">
        <v>74</v>
      </c>
      <c r="R699" t="s">
        <v>74</v>
      </c>
      <c r="S699" t="s">
        <v>74</v>
      </c>
      <c r="T699" t="s">
        <v>13742</v>
      </c>
      <c r="U699" t="s">
        <v>13743</v>
      </c>
      <c r="V699" t="s">
        <v>13744</v>
      </c>
      <c r="W699" t="s">
        <v>13745</v>
      </c>
      <c r="X699" t="s">
        <v>3438</v>
      </c>
      <c r="Y699" t="s">
        <v>13746</v>
      </c>
      <c r="Z699" t="s">
        <v>13747</v>
      </c>
      <c r="AA699" t="s">
        <v>13748</v>
      </c>
      <c r="AB699" t="s">
        <v>13749</v>
      </c>
      <c r="AC699" t="s">
        <v>13750</v>
      </c>
      <c r="AD699" t="s">
        <v>13751</v>
      </c>
      <c r="AE699" t="s">
        <v>13752</v>
      </c>
      <c r="AF699" t="s">
        <v>74</v>
      </c>
      <c r="AG699">
        <v>41</v>
      </c>
      <c r="AH699">
        <v>17</v>
      </c>
      <c r="AI699">
        <v>18</v>
      </c>
      <c r="AJ699">
        <v>25</v>
      </c>
      <c r="AK699">
        <v>65</v>
      </c>
      <c r="AL699" t="s">
        <v>576</v>
      </c>
      <c r="AM699" t="s">
        <v>577</v>
      </c>
      <c r="AN699" t="s">
        <v>578</v>
      </c>
      <c r="AO699" t="s">
        <v>8690</v>
      </c>
      <c r="AP699" t="s">
        <v>8691</v>
      </c>
      <c r="AQ699" t="s">
        <v>74</v>
      </c>
      <c r="AR699" t="s">
        <v>8692</v>
      </c>
      <c r="AS699" t="s">
        <v>8693</v>
      </c>
      <c r="AT699" t="s">
        <v>13753</v>
      </c>
      <c r="AU699">
        <v>2021</v>
      </c>
      <c r="AV699">
        <v>413</v>
      </c>
      <c r="AW699" t="s">
        <v>74</v>
      </c>
      <c r="AX699" t="s">
        <v>74</v>
      </c>
      <c r="AY699" t="s">
        <v>74</v>
      </c>
      <c r="AZ699" t="s">
        <v>74</v>
      </c>
      <c r="BA699" t="s">
        <v>74</v>
      </c>
      <c r="BB699" t="s">
        <v>74</v>
      </c>
      <c r="BC699" t="s">
        <v>74</v>
      </c>
      <c r="BD699">
        <v>125377</v>
      </c>
      <c r="BE699" t="s">
        <v>13754</v>
      </c>
      <c r="BF699" t="str">
        <f>HYPERLINK("http://dx.doi.org/10.1016/j.jhazmat.2021.125377","http://dx.doi.org/10.1016/j.jhazmat.2021.125377")</f>
        <v>http://dx.doi.org/10.1016/j.jhazmat.2021.125377</v>
      </c>
      <c r="BG699" t="s">
        <v>74</v>
      </c>
      <c r="BH699" t="s">
        <v>12028</v>
      </c>
      <c r="BI699">
        <v>9</v>
      </c>
      <c r="BJ699" t="s">
        <v>2483</v>
      </c>
      <c r="BK699" t="s">
        <v>101</v>
      </c>
      <c r="BL699" t="s">
        <v>2484</v>
      </c>
      <c r="BM699" t="s">
        <v>13755</v>
      </c>
      <c r="BN699">
        <v>33609870</v>
      </c>
      <c r="BO699" t="s">
        <v>74</v>
      </c>
      <c r="BP699" t="s">
        <v>74</v>
      </c>
      <c r="BQ699" t="s">
        <v>74</v>
      </c>
      <c r="BR699" t="s">
        <v>104</v>
      </c>
      <c r="BS699" t="s">
        <v>13756</v>
      </c>
      <c r="BT699" t="str">
        <f>HYPERLINK("https%3A%2F%2Fwww.webofscience.com%2Fwos%2Fwoscc%2Ffull-record%2FWOS:000647589900005","View Full Record in Web of Science")</f>
        <v>View Full Record in Web of Science</v>
      </c>
    </row>
    <row r="700" spans="1:72" x14ac:dyDescent="0.15">
      <c r="A700" t="s">
        <v>72</v>
      </c>
      <c r="B700" t="s">
        <v>13757</v>
      </c>
      <c r="C700" t="s">
        <v>74</v>
      </c>
      <c r="D700" t="s">
        <v>74</v>
      </c>
      <c r="E700" t="s">
        <v>74</v>
      </c>
      <c r="F700" t="s">
        <v>13758</v>
      </c>
      <c r="G700" t="s">
        <v>74</v>
      </c>
      <c r="H700" t="s">
        <v>74</v>
      </c>
      <c r="I700" t="s">
        <v>13759</v>
      </c>
      <c r="J700" t="s">
        <v>13760</v>
      </c>
      <c r="K700" t="s">
        <v>74</v>
      </c>
      <c r="L700" t="s">
        <v>74</v>
      </c>
      <c r="M700" t="s">
        <v>78</v>
      </c>
      <c r="N700" t="s">
        <v>79</v>
      </c>
      <c r="O700" t="s">
        <v>74</v>
      </c>
      <c r="P700" t="s">
        <v>74</v>
      </c>
      <c r="Q700" t="s">
        <v>74</v>
      </c>
      <c r="R700" t="s">
        <v>74</v>
      </c>
      <c r="S700" t="s">
        <v>74</v>
      </c>
      <c r="T700" t="s">
        <v>13761</v>
      </c>
      <c r="U700" t="s">
        <v>13762</v>
      </c>
      <c r="V700" t="s">
        <v>13763</v>
      </c>
      <c r="W700" t="s">
        <v>13764</v>
      </c>
      <c r="X700" t="s">
        <v>13765</v>
      </c>
      <c r="Y700" t="s">
        <v>13766</v>
      </c>
      <c r="Z700" t="s">
        <v>13767</v>
      </c>
      <c r="AA700" t="s">
        <v>13768</v>
      </c>
      <c r="AB700" t="s">
        <v>13769</v>
      </c>
      <c r="AC700" t="s">
        <v>13770</v>
      </c>
      <c r="AD700" t="s">
        <v>13771</v>
      </c>
      <c r="AE700" t="s">
        <v>13772</v>
      </c>
      <c r="AF700" t="s">
        <v>74</v>
      </c>
      <c r="AG700">
        <v>19</v>
      </c>
      <c r="AH700">
        <v>4</v>
      </c>
      <c r="AI700">
        <v>5</v>
      </c>
      <c r="AJ700">
        <v>0</v>
      </c>
      <c r="AK700">
        <v>3</v>
      </c>
      <c r="AL700" t="s">
        <v>245</v>
      </c>
      <c r="AM700" t="s">
        <v>246</v>
      </c>
      <c r="AN700" t="s">
        <v>247</v>
      </c>
      <c r="AO700" t="s">
        <v>13773</v>
      </c>
      <c r="AP700" t="s">
        <v>13774</v>
      </c>
      <c r="AQ700" t="s">
        <v>74</v>
      </c>
      <c r="AR700" t="s">
        <v>13775</v>
      </c>
      <c r="AS700" t="s">
        <v>13776</v>
      </c>
      <c r="AT700" t="s">
        <v>74</v>
      </c>
      <c r="AU700">
        <v>2022</v>
      </c>
      <c r="AV700">
        <v>19</v>
      </c>
      <c r="AW700" t="s">
        <v>74</v>
      </c>
      <c r="AX700" t="s">
        <v>74</v>
      </c>
      <c r="AY700" t="s">
        <v>74</v>
      </c>
      <c r="AZ700" t="s">
        <v>74</v>
      </c>
      <c r="BA700" t="s">
        <v>74</v>
      </c>
      <c r="BB700" t="s">
        <v>74</v>
      </c>
      <c r="BC700" t="s">
        <v>74</v>
      </c>
      <c r="BD700" t="s">
        <v>74</v>
      </c>
      <c r="BE700" t="s">
        <v>13777</v>
      </c>
      <c r="BF700" t="str">
        <f>HYPERLINK("http://dx.doi.org/10.1109/LGRS.2021.3056740","http://dx.doi.org/10.1109/LGRS.2021.3056740")</f>
        <v>http://dx.doi.org/10.1109/LGRS.2021.3056740</v>
      </c>
      <c r="BG700" t="s">
        <v>74</v>
      </c>
      <c r="BH700" t="s">
        <v>12028</v>
      </c>
      <c r="BI700">
        <v>5</v>
      </c>
      <c r="BJ700" t="s">
        <v>253</v>
      </c>
      <c r="BK700" t="s">
        <v>101</v>
      </c>
      <c r="BL700" t="s">
        <v>254</v>
      </c>
      <c r="BM700" t="s">
        <v>13778</v>
      </c>
      <c r="BN700" t="s">
        <v>74</v>
      </c>
      <c r="BO700" t="s">
        <v>1492</v>
      </c>
      <c r="BP700" t="s">
        <v>74</v>
      </c>
      <c r="BQ700" t="s">
        <v>74</v>
      </c>
      <c r="BR700" t="s">
        <v>104</v>
      </c>
      <c r="BS700" t="s">
        <v>13779</v>
      </c>
      <c r="BT700" t="str">
        <f>HYPERLINK("https%3A%2F%2Fwww.webofscience.com%2Fwos%2Fwoscc%2Ffull-record%2FWOS:000732250100001","View Full Record in Web of Science")</f>
        <v>View Full Record in Web of Science</v>
      </c>
    </row>
    <row r="701" spans="1:72" x14ac:dyDescent="0.15">
      <c r="A701" t="s">
        <v>72</v>
      </c>
      <c r="B701" t="s">
        <v>13780</v>
      </c>
      <c r="C701" t="s">
        <v>74</v>
      </c>
      <c r="D701" t="s">
        <v>74</v>
      </c>
      <c r="E701" t="s">
        <v>74</v>
      </c>
      <c r="F701" t="s">
        <v>13781</v>
      </c>
      <c r="G701" t="s">
        <v>74</v>
      </c>
      <c r="H701" t="s">
        <v>74</v>
      </c>
      <c r="I701" t="s">
        <v>13782</v>
      </c>
      <c r="J701" t="s">
        <v>3119</v>
      </c>
      <c r="K701" t="s">
        <v>74</v>
      </c>
      <c r="L701" t="s">
        <v>74</v>
      </c>
      <c r="M701" t="s">
        <v>78</v>
      </c>
      <c r="N701" t="s">
        <v>79</v>
      </c>
      <c r="O701" t="s">
        <v>74</v>
      </c>
      <c r="P701" t="s">
        <v>74</v>
      </c>
      <c r="Q701" t="s">
        <v>74</v>
      </c>
      <c r="R701" t="s">
        <v>74</v>
      </c>
      <c r="S701" t="s">
        <v>74</v>
      </c>
      <c r="T701" t="s">
        <v>13783</v>
      </c>
      <c r="U701" t="s">
        <v>13784</v>
      </c>
      <c r="V701" t="s">
        <v>13785</v>
      </c>
      <c r="W701" t="s">
        <v>13786</v>
      </c>
      <c r="X701" t="s">
        <v>13787</v>
      </c>
      <c r="Y701" t="s">
        <v>13788</v>
      </c>
      <c r="Z701" t="s">
        <v>13789</v>
      </c>
      <c r="AA701" t="s">
        <v>13790</v>
      </c>
      <c r="AB701" t="s">
        <v>13791</v>
      </c>
      <c r="AC701" t="s">
        <v>13792</v>
      </c>
      <c r="AD701" t="s">
        <v>13793</v>
      </c>
      <c r="AE701" t="s">
        <v>13794</v>
      </c>
      <c r="AF701" t="s">
        <v>74</v>
      </c>
      <c r="AG701">
        <v>84</v>
      </c>
      <c r="AH701">
        <v>30</v>
      </c>
      <c r="AI701">
        <v>31</v>
      </c>
      <c r="AJ701">
        <v>14</v>
      </c>
      <c r="AK701">
        <v>106</v>
      </c>
      <c r="AL701" t="s">
        <v>1058</v>
      </c>
      <c r="AM701" t="s">
        <v>891</v>
      </c>
      <c r="AN701" t="s">
        <v>1059</v>
      </c>
      <c r="AO701" t="s">
        <v>3132</v>
      </c>
      <c r="AP701" t="s">
        <v>3133</v>
      </c>
      <c r="AQ701" t="s">
        <v>74</v>
      </c>
      <c r="AR701" t="s">
        <v>3119</v>
      </c>
      <c r="AS701" t="s">
        <v>3134</v>
      </c>
      <c r="AT701" t="s">
        <v>1035</v>
      </c>
      <c r="AU701">
        <v>2021</v>
      </c>
      <c r="AV701">
        <v>274</v>
      </c>
      <c r="AW701" t="s">
        <v>74</v>
      </c>
      <c r="AX701" t="s">
        <v>74</v>
      </c>
      <c r="AY701" t="s">
        <v>74</v>
      </c>
      <c r="AZ701" t="s">
        <v>74</v>
      </c>
      <c r="BA701" t="s">
        <v>74</v>
      </c>
      <c r="BB701" t="s">
        <v>74</v>
      </c>
      <c r="BC701" t="s">
        <v>74</v>
      </c>
      <c r="BD701">
        <v>129860</v>
      </c>
      <c r="BE701" t="s">
        <v>13795</v>
      </c>
      <c r="BF701" t="str">
        <f>HYPERLINK("http://dx.doi.org/10.1016/j.chemosphere.2021.129860","http://dx.doi.org/10.1016/j.chemosphere.2021.129860")</f>
        <v>http://dx.doi.org/10.1016/j.chemosphere.2021.129860</v>
      </c>
      <c r="BG701" t="s">
        <v>74</v>
      </c>
      <c r="BH701" t="s">
        <v>12028</v>
      </c>
      <c r="BI701">
        <v>12</v>
      </c>
      <c r="BJ701" t="s">
        <v>224</v>
      </c>
      <c r="BK701" t="s">
        <v>101</v>
      </c>
      <c r="BL701" t="s">
        <v>225</v>
      </c>
      <c r="BM701" t="s">
        <v>13796</v>
      </c>
      <c r="BN701">
        <v>33607598</v>
      </c>
      <c r="BO701" t="s">
        <v>74</v>
      </c>
      <c r="BP701" t="s">
        <v>74</v>
      </c>
      <c r="BQ701" t="s">
        <v>74</v>
      </c>
      <c r="BR701" t="s">
        <v>104</v>
      </c>
      <c r="BS701" t="s">
        <v>13797</v>
      </c>
      <c r="BT701" t="str">
        <f>HYPERLINK("https%3A%2F%2Fwww.webofscience.com%2Fwos%2Fwoscc%2Ffull-record%2FWOS:000642944800088","View Full Record in Web of Science")</f>
        <v>View Full Record in Web of Science</v>
      </c>
    </row>
    <row r="702" spans="1:72" x14ac:dyDescent="0.15">
      <c r="A702" t="s">
        <v>72</v>
      </c>
      <c r="B702" t="s">
        <v>13798</v>
      </c>
      <c r="C702" t="s">
        <v>74</v>
      </c>
      <c r="D702" t="s">
        <v>74</v>
      </c>
      <c r="E702" t="s">
        <v>74</v>
      </c>
      <c r="F702" t="s">
        <v>13799</v>
      </c>
      <c r="G702" t="s">
        <v>74</v>
      </c>
      <c r="H702" t="s">
        <v>74</v>
      </c>
      <c r="I702" t="s">
        <v>13800</v>
      </c>
      <c r="J702" t="s">
        <v>1692</v>
      </c>
      <c r="K702" t="s">
        <v>74</v>
      </c>
      <c r="L702" t="s">
        <v>74</v>
      </c>
      <c r="M702" t="s">
        <v>78</v>
      </c>
      <c r="N702" t="s">
        <v>79</v>
      </c>
      <c r="O702" t="s">
        <v>74</v>
      </c>
      <c r="P702" t="s">
        <v>74</v>
      </c>
      <c r="Q702" t="s">
        <v>74</v>
      </c>
      <c r="R702" t="s">
        <v>74</v>
      </c>
      <c r="S702" t="s">
        <v>74</v>
      </c>
      <c r="T702" t="s">
        <v>74</v>
      </c>
      <c r="U702" t="s">
        <v>13801</v>
      </c>
      <c r="V702" t="s">
        <v>13802</v>
      </c>
      <c r="W702" t="s">
        <v>13803</v>
      </c>
      <c r="X702" t="s">
        <v>13804</v>
      </c>
      <c r="Y702" t="s">
        <v>13805</v>
      </c>
      <c r="Z702" t="s">
        <v>13806</v>
      </c>
      <c r="AA702" t="s">
        <v>13807</v>
      </c>
      <c r="AB702" t="s">
        <v>13808</v>
      </c>
      <c r="AC702" t="s">
        <v>13809</v>
      </c>
      <c r="AD702" t="s">
        <v>4769</v>
      </c>
      <c r="AE702" t="s">
        <v>13810</v>
      </c>
      <c r="AF702" t="s">
        <v>74</v>
      </c>
      <c r="AG702">
        <v>40</v>
      </c>
      <c r="AH702">
        <v>35</v>
      </c>
      <c r="AI702">
        <v>39</v>
      </c>
      <c r="AJ702">
        <v>3</v>
      </c>
      <c r="AK702">
        <v>13</v>
      </c>
      <c r="AL702" t="s">
        <v>3620</v>
      </c>
      <c r="AM702" t="s">
        <v>862</v>
      </c>
      <c r="AN702" t="s">
        <v>863</v>
      </c>
      <c r="AO702" t="s">
        <v>1704</v>
      </c>
      <c r="AP702" t="s">
        <v>74</v>
      </c>
      <c r="AQ702" t="s">
        <v>74</v>
      </c>
      <c r="AR702" t="s">
        <v>1705</v>
      </c>
      <c r="AS702" t="s">
        <v>1706</v>
      </c>
      <c r="AT702" t="s">
        <v>13811</v>
      </c>
      <c r="AU702">
        <v>2021</v>
      </c>
      <c r="AV702">
        <v>12</v>
      </c>
      <c r="AW702">
        <v>1</v>
      </c>
      <c r="AX702" t="s">
        <v>74</v>
      </c>
      <c r="AY702" t="s">
        <v>74</v>
      </c>
      <c r="AZ702" t="s">
        <v>74</v>
      </c>
      <c r="BA702" t="s">
        <v>74</v>
      </c>
      <c r="BB702" t="s">
        <v>74</v>
      </c>
      <c r="BC702" t="s">
        <v>74</v>
      </c>
      <c r="BD702">
        <v>1060</v>
      </c>
      <c r="BE702" t="s">
        <v>13812</v>
      </c>
      <c r="BF702" t="str">
        <f>HYPERLINK("http://dx.doi.org/10.1038/s41467-021-21412-z","http://dx.doi.org/10.1038/s41467-021-21412-z")</f>
        <v>http://dx.doi.org/10.1038/s41467-021-21412-z</v>
      </c>
      <c r="BG702" t="s">
        <v>74</v>
      </c>
      <c r="BH702" t="s">
        <v>74</v>
      </c>
      <c r="BI702">
        <v>6</v>
      </c>
      <c r="BJ702" t="s">
        <v>555</v>
      </c>
      <c r="BK702" t="s">
        <v>101</v>
      </c>
      <c r="BL702" t="s">
        <v>556</v>
      </c>
      <c r="BM702" t="s">
        <v>13813</v>
      </c>
      <c r="BN702">
        <v>33594079</v>
      </c>
      <c r="BO702" t="s">
        <v>1319</v>
      </c>
      <c r="BP702" t="s">
        <v>74</v>
      </c>
      <c r="BQ702" t="s">
        <v>74</v>
      </c>
      <c r="BR702" t="s">
        <v>104</v>
      </c>
      <c r="BS702" t="s">
        <v>13814</v>
      </c>
      <c r="BT702" t="str">
        <f>HYPERLINK("https%3A%2F%2Fwww.webofscience.com%2Fwos%2Fwoscc%2Ffull-record%2FWOS:000626754100004","View Full Record in Web of Science")</f>
        <v>View Full Record in Web of Science</v>
      </c>
    </row>
    <row r="703" spans="1:72" x14ac:dyDescent="0.15">
      <c r="A703" t="s">
        <v>72</v>
      </c>
      <c r="B703" t="s">
        <v>13815</v>
      </c>
      <c r="C703" t="s">
        <v>74</v>
      </c>
      <c r="D703" t="s">
        <v>74</v>
      </c>
      <c r="E703" t="s">
        <v>74</v>
      </c>
      <c r="F703" t="s">
        <v>13816</v>
      </c>
      <c r="G703" t="s">
        <v>74</v>
      </c>
      <c r="H703" t="s">
        <v>74</v>
      </c>
      <c r="I703" t="s">
        <v>13817</v>
      </c>
      <c r="J703" t="s">
        <v>13818</v>
      </c>
      <c r="K703" t="s">
        <v>74</v>
      </c>
      <c r="L703" t="s">
        <v>74</v>
      </c>
      <c r="M703" t="s">
        <v>78</v>
      </c>
      <c r="N703" t="s">
        <v>79</v>
      </c>
      <c r="O703" t="s">
        <v>74</v>
      </c>
      <c r="P703" t="s">
        <v>74</v>
      </c>
      <c r="Q703" t="s">
        <v>74</v>
      </c>
      <c r="R703" t="s">
        <v>74</v>
      </c>
      <c r="S703" t="s">
        <v>74</v>
      </c>
      <c r="T703" t="s">
        <v>74</v>
      </c>
      <c r="U703" t="s">
        <v>74</v>
      </c>
      <c r="V703" t="s">
        <v>13819</v>
      </c>
      <c r="W703" t="s">
        <v>13820</v>
      </c>
      <c r="X703" t="s">
        <v>13821</v>
      </c>
      <c r="Y703" t="s">
        <v>13822</v>
      </c>
      <c r="Z703" t="s">
        <v>13823</v>
      </c>
      <c r="AA703" t="s">
        <v>74</v>
      </c>
      <c r="AB703" t="s">
        <v>13824</v>
      </c>
      <c r="AC703" t="s">
        <v>13825</v>
      </c>
      <c r="AD703" t="s">
        <v>13826</v>
      </c>
      <c r="AE703" t="s">
        <v>13827</v>
      </c>
      <c r="AF703" t="s">
        <v>74</v>
      </c>
      <c r="AG703">
        <v>44</v>
      </c>
      <c r="AH703">
        <v>20</v>
      </c>
      <c r="AI703">
        <v>20</v>
      </c>
      <c r="AJ703">
        <v>2</v>
      </c>
      <c r="AK703">
        <v>16</v>
      </c>
      <c r="AL703" t="s">
        <v>13828</v>
      </c>
      <c r="AM703" t="s">
        <v>1909</v>
      </c>
      <c r="AN703" t="s">
        <v>13829</v>
      </c>
      <c r="AO703" t="s">
        <v>13830</v>
      </c>
      <c r="AP703" t="s">
        <v>13831</v>
      </c>
      <c r="AQ703" t="s">
        <v>74</v>
      </c>
      <c r="AR703" t="s">
        <v>13832</v>
      </c>
      <c r="AS703" t="s">
        <v>13833</v>
      </c>
      <c r="AT703" t="s">
        <v>13811</v>
      </c>
      <c r="AU703">
        <v>2021</v>
      </c>
      <c r="AV703">
        <v>2021</v>
      </c>
      <c r="AW703" t="s">
        <v>74</v>
      </c>
      <c r="AX703" t="s">
        <v>74</v>
      </c>
      <c r="AY703" t="s">
        <v>74</v>
      </c>
      <c r="AZ703" t="s">
        <v>74</v>
      </c>
      <c r="BA703" t="s">
        <v>74</v>
      </c>
      <c r="BB703" t="s">
        <v>74</v>
      </c>
      <c r="BC703" t="s">
        <v>74</v>
      </c>
      <c r="BD703">
        <v>8812090</v>
      </c>
      <c r="BE703" t="s">
        <v>13834</v>
      </c>
      <c r="BF703" t="str">
        <f>HYPERLINK("http://dx.doi.org/10.1155/2021/8812090","http://dx.doi.org/10.1155/2021/8812090")</f>
        <v>http://dx.doi.org/10.1155/2021/8812090</v>
      </c>
      <c r="BG703" t="s">
        <v>74</v>
      </c>
      <c r="BH703" t="s">
        <v>74</v>
      </c>
      <c r="BI703">
        <v>12</v>
      </c>
      <c r="BJ703" t="s">
        <v>13835</v>
      </c>
      <c r="BK703" t="s">
        <v>101</v>
      </c>
      <c r="BL703" t="s">
        <v>13836</v>
      </c>
      <c r="BM703" t="s">
        <v>13837</v>
      </c>
      <c r="BN703">
        <v>33644231</v>
      </c>
      <c r="BO703" t="s">
        <v>298</v>
      </c>
      <c r="BP703" t="s">
        <v>74</v>
      </c>
      <c r="BQ703" t="s">
        <v>74</v>
      </c>
      <c r="BR703" t="s">
        <v>104</v>
      </c>
      <c r="BS703" t="s">
        <v>13838</v>
      </c>
      <c r="BT703" t="str">
        <f>HYPERLINK("https%3A%2F%2Fwww.webofscience.com%2Fwos%2Fwoscc%2Ffull-record%2FWOS:000625188200007","View Full Record in Web of Science")</f>
        <v>View Full Record in Web of Science</v>
      </c>
    </row>
    <row r="704" spans="1:72" x14ac:dyDescent="0.15">
      <c r="A704" t="s">
        <v>72</v>
      </c>
      <c r="B704" t="s">
        <v>13839</v>
      </c>
      <c r="C704" t="s">
        <v>74</v>
      </c>
      <c r="D704" t="s">
        <v>74</v>
      </c>
      <c r="E704" t="s">
        <v>74</v>
      </c>
      <c r="F704" t="s">
        <v>13840</v>
      </c>
      <c r="G704" t="s">
        <v>74</v>
      </c>
      <c r="H704" t="s">
        <v>74</v>
      </c>
      <c r="I704" t="s">
        <v>13841</v>
      </c>
      <c r="J704" t="s">
        <v>904</v>
      </c>
      <c r="K704" t="s">
        <v>74</v>
      </c>
      <c r="L704" t="s">
        <v>74</v>
      </c>
      <c r="M704" t="s">
        <v>78</v>
      </c>
      <c r="N704" t="s">
        <v>79</v>
      </c>
      <c r="O704" t="s">
        <v>74</v>
      </c>
      <c r="P704" t="s">
        <v>74</v>
      </c>
      <c r="Q704" t="s">
        <v>74</v>
      </c>
      <c r="R704" t="s">
        <v>74</v>
      </c>
      <c r="S704" t="s">
        <v>74</v>
      </c>
      <c r="T704" t="s">
        <v>13842</v>
      </c>
      <c r="U704" t="s">
        <v>13843</v>
      </c>
      <c r="V704" t="s">
        <v>13844</v>
      </c>
      <c r="W704" t="s">
        <v>13845</v>
      </c>
      <c r="X704" t="s">
        <v>13846</v>
      </c>
      <c r="Y704" t="s">
        <v>13847</v>
      </c>
      <c r="Z704" t="s">
        <v>13848</v>
      </c>
      <c r="AA704" t="s">
        <v>13849</v>
      </c>
      <c r="AB704" t="s">
        <v>13850</v>
      </c>
      <c r="AC704" t="s">
        <v>13851</v>
      </c>
      <c r="AD704" t="s">
        <v>13852</v>
      </c>
      <c r="AE704" t="s">
        <v>13853</v>
      </c>
      <c r="AF704" t="s">
        <v>74</v>
      </c>
      <c r="AG704">
        <v>54</v>
      </c>
      <c r="AH704">
        <v>45</v>
      </c>
      <c r="AI704">
        <v>48</v>
      </c>
      <c r="AJ704">
        <v>6</v>
      </c>
      <c r="AK704">
        <v>24</v>
      </c>
      <c r="AL704" t="s">
        <v>917</v>
      </c>
      <c r="AM704" t="s">
        <v>390</v>
      </c>
      <c r="AN704" t="s">
        <v>918</v>
      </c>
      <c r="AO704" t="s">
        <v>919</v>
      </c>
      <c r="AP704" t="s">
        <v>920</v>
      </c>
      <c r="AQ704" t="s">
        <v>74</v>
      </c>
      <c r="AR704" t="s">
        <v>921</v>
      </c>
      <c r="AS704" t="s">
        <v>922</v>
      </c>
      <c r="AT704" t="s">
        <v>13811</v>
      </c>
      <c r="AU704">
        <v>2021</v>
      </c>
      <c r="AV704">
        <v>48</v>
      </c>
      <c r="AW704">
        <v>3</v>
      </c>
      <c r="AX704" t="s">
        <v>74</v>
      </c>
      <c r="AY704" t="s">
        <v>74</v>
      </c>
      <c r="AZ704" t="s">
        <v>74</v>
      </c>
      <c r="BA704" t="s">
        <v>74</v>
      </c>
      <c r="BB704" t="s">
        <v>74</v>
      </c>
      <c r="BC704" t="s">
        <v>74</v>
      </c>
      <c r="BD704" t="s">
        <v>13854</v>
      </c>
      <c r="BE704" t="s">
        <v>13855</v>
      </c>
      <c r="BF704" t="str">
        <f>HYPERLINK("http://dx.doi.org/10.1029/2020GL091748","http://dx.doi.org/10.1029/2020GL091748")</f>
        <v>http://dx.doi.org/10.1029/2020GL091748</v>
      </c>
      <c r="BG704" t="s">
        <v>74</v>
      </c>
      <c r="BH704" t="s">
        <v>74</v>
      </c>
      <c r="BI704">
        <v>9</v>
      </c>
      <c r="BJ704" t="s">
        <v>100</v>
      </c>
      <c r="BK704" t="s">
        <v>101</v>
      </c>
      <c r="BL704" t="s">
        <v>102</v>
      </c>
      <c r="BM704" t="s">
        <v>13856</v>
      </c>
      <c r="BN704" t="s">
        <v>74</v>
      </c>
      <c r="BO704" t="s">
        <v>74</v>
      </c>
      <c r="BP704" t="s">
        <v>74</v>
      </c>
      <c r="BQ704" t="s">
        <v>74</v>
      </c>
      <c r="BR704" t="s">
        <v>104</v>
      </c>
      <c r="BS704" t="s">
        <v>13857</v>
      </c>
      <c r="BT704" t="str">
        <f>HYPERLINK("https%3A%2F%2Fwww.webofscience.com%2Fwos%2Fwoscc%2Ffull-record%2FWOS:000620058900039","View Full Record in Web of Science")</f>
        <v>View Full Record in Web of Science</v>
      </c>
    </row>
    <row r="705" spans="1:72" x14ac:dyDescent="0.15">
      <c r="A705" t="s">
        <v>72</v>
      </c>
      <c r="B705" t="s">
        <v>13858</v>
      </c>
      <c r="C705" t="s">
        <v>74</v>
      </c>
      <c r="D705" t="s">
        <v>74</v>
      </c>
      <c r="E705" t="s">
        <v>74</v>
      </c>
      <c r="F705" t="s">
        <v>13859</v>
      </c>
      <c r="G705" t="s">
        <v>74</v>
      </c>
      <c r="H705" t="s">
        <v>74</v>
      </c>
      <c r="I705" t="s">
        <v>13860</v>
      </c>
      <c r="J705" t="s">
        <v>1833</v>
      </c>
      <c r="K705" t="s">
        <v>74</v>
      </c>
      <c r="L705" t="s">
        <v>74</v>
      </c>
      <c r="M705" t="s">
        <v>78</v>
      </c>
      <c r="N705" t="s">
        <v>79</v>
      </c>
      <c r="O705" t="s">
        <v>74</v>
      </c>
      <c r="P705" t="s">
        <v>74</v>
      </c>
      <c r="Q705" t="s">
        <v>74</v>
      </c>
      <c r="R705" t="s">
        <v>74</v>
      </c>
      <c r="S705" t="s">
        <v>74</v>
      </c>
      <c r="T705" t="s">
        <v>13861</v>
      </c>
      <c r="U705" t="s">
        <v>74</v>
      </c>
      <c r="V705" t="s">
        <v>13862</v>
      </c>
      <c r="W705" t="s">
        <v>13863</v>
      </c>
      <c r="X705" t="s">
        <v>13864</v>
      </c>
      <c r="Y705" t="s">
        <v>13865</v>
      </c>
      <c r="Z705" t="s">
        <v>13866</v>
      </c>
      <c r="AA705" t="s">
        <v>13867</v>
      </c>
      <c r="AB705" t="s">
        <v>13868</v>
      </c>
      <c r="AC705" t="s">
        <v>13869</v>
      </c>
      <c r="AD705" t="s">
        <v>13870</v>
      </c>
      <c r="AE705" t="s">
        <v>13871</v>
      </c>
      <c r="AF705" t="s">
        <v>74</v>
      </c>
      <c r="AG705">
        <v>62</v>
      </c>
      <c r="AH705">
        <v>14</v>
      </c>
      <c r="AI705">
        <v>16</v>
      </c>
      <c r="AJ705">
        <v>2</v>
      </c>
      <c r="AK705">
        <v>12</v>
      </c>
      <c r="AL705" t="s">
        <v>917</v>
      </c>
      <c r="AM705" t="s">
        <v>390</v>
      </c>
      <c r="AN705" t="s">
        <v>918</v>
      </c>
      <c r="AO705" t="s">
        <v>1846</v>
      </c>
      <c r="AP705" t="s">
        <v>1847</v>
      </c>
      <c r="AQ705" t="s">
        <v>74</v>
      </c>
      <c r="AR705" t="s">
        <v>1848</v>
      </c>
      <c r="AS705" t="s">
        <v>1849</v>
      </c>
      <c r="AT705" t="s">
        <v>13811</v>
      </c>
      <c r="AU705">
        <v>2021</v>
      </c>
      <c r="AV705">
        <v>126</v>
      </c>
      <c r="AW705">
        <v>3</v>
      </c>
      <c r="AX705" t="s">
        <v>74</v>
      </c>
      <c r="AY705" t="s">
        <v>74</v>
      </c>
      <c r="AZ705" t="s">
        <v>74</v>
      </c>
      <c r="BA705" t="s">
        <v>74</v>
      </c>
      <c r="BB705" t="s">
        <v>74</v>
      </c>
      <c r="BC705" t="s">
        <v>74</v>
      </c>
      <c r="BD705" t="s">
        <v>13872</v>
      </c>
      <c r="BE705" t="s">
        <v>13873</v>
      </c>
      <c r="BF705" t="str">
        <f>HYPERLINK("http://dx.doi.org/10.1029/2020JD033822","http://dx.doi.org/10.1029/2020JD033822")</f>
        <v>http://dx.doi.org/10.1029/2020JD033822</v>
      </c>
      <c r="BG705" t="s">
        <v>74</v>
      </c>
      <c r="BH705" t="s">
        <v>74</v>
      </c>
      <c r="BI705">
        <v>14</v>
      </c>
      <c r="BJ705" t="s">
        <v>129</v>
      </c>
      <c r="BK705" t="s">
        <v>101</v>
      </c>
      <c r="BL705" t="s">
        <v>129</v>
      </c>
      <c r="BM705" t="s">
        <v>13874</v>
      </c>
      <c r="BN705" t="s">
        <v>74</v>
      </c>
      <c r="BO705" t="s">
        <v>663</v>
      </c>
      <c r="BP705" t="s">
        <v>74</v>
      </c>
      <c r="BQ705" t="s">
        <v>74</v>
      </c>
      <c r="BR705" t="s">
        <v>104</v>
      </c>
      <c r="BS705" t="s">
        <v>13875</v>
      </c>
      <c r="BT705" t="str">
        <f>HYPERLINK("https%3A%2F%2Fwww.webofscience.com%2Fwos%2Fwoscc%2Ffull-record%2FWOS:000620132700018","View Full Record in Web of Science")</f>
        <v>View Full Record in Web of Science</v>
      </c>
    </row>
    <row r="706" spans="1:72" x14ac:dyDescent="0.15">
      <c r="A706" t="s">
        <v>72</v>
      </c>
      <c r="B706" t="s">
        <v>13876</v>
      </c>
      <c r="C706" t="s">
        <v>74</v>
      </c>
      <c r="D706" t="s">
        <v>74</v>
      </c>
      <c r="E706" t="s">
        <v>74</v>
      </c>
      <c r="F706" t="s">
        <v>13877</v>
      </c>
      <c r="G706" t="s">
        <v>74</v>
      </c>
      <c r="H706" t="s">
        <v>74</v>
      </c>
      <c r="I706" t="s">
        <v>13878</v>
      </c>
      <c r="J706" t="s">
        <v>7320</v>
      </c>
      <c r="K706" t="s">
        <v>74</v>
      </c>
      <c r="L706" t="s">
        <v>74</v>
      </c>
      <c r="M706" t="s">
        <v>78</v>
      </c>
      <c r="N706" t="s">
        <v>79</v>
      </c>
      <c r="O706" t="s">
        <v>74</v>
      </c>
      <c r="P706" t="s">
        <v>74</v>
      </c>
      <c r="Q706" t="s">
        <v>74</v>
      </c>
      <c r="R706" t="s">
        <v>74</v>
      </c>
      <c r="S706" t="s">
        <v>74</v>
      </c>
      <c r="T706" t="s">
        <v>74</v>
      </c>
      <c r="U706" t="s">
        <v>74</v>
      </c>
      <c r="V706" t="s">
        <v>13879</v>
      </c>
      <c r="W706" t="s">
        <v>13880</v>
      </c>
      <c r="X706" t="s">
        <v>13881</v>
      </c>
      <c r="Y706" t="s">
        <v>13882</v>
      </c>
      <c r="Z706" t="s">
        <v>13883</v>
      </c>
      <c r="AA706" t="s">
        <v>74</v>
      </c>
      <c r="AB706" t="s">
        <v>13884</v>
      </c>
      <c r="AC706" t="s">
        <v>13885</v>
      </c>
      <c r="AD706" t="s">
        <v>13886</v>
      </c>
      <c r="AE706" t="s">
        <v>13887</v>
      </c>
      <c r="AF706" t="s">
        <v>74</v>
      </c>
      <c r="AG706">
        <v>24</v>
      </c>
      <c r="AH706">
        <v>5</v>
      </c>
      <c r="AI706">
        <v>5</v>
      </c>
      <c r="AJ706">
        <v>0</v>
      </c>
      <c r="AK706">
        <v>8</v>
      </c>
      <c r="AL706" t="s">
        <v>861</v>
      </c>
      <c r="AM706" t="s">
        <v>862</v>
      </c>
      <c r="AN706" t="s">
        <v>863</v>
      </c>
      <c r="AO706" t="s">
        <v>74</v>
      </c>
      <c r="AP706" t="s">
        <v>7331</v>
      </c>
      <c r="AQ706" t="s">
        <v>74</v>
      </c>
      <c r="AR706" t="s">
        <v>7332</v>
      </c>
      <c r="AS706" t="s">
        <v>7333</v>
      </c>
      <c r="AT706" t="s">
        <v>13811</v>
      </c>
      <c r="AU706">
        <v>2021</v>
      </c>
      <c r="AV706">
        <v>4</v>
      </c>
      <c r="AW706">
        <v>1</v>
      </c>
      <c r="AX706" t="s">
        <v>74</v>
      </c>
      <c r="AY706" t="s">
        <v>74</v>
      </c>
      <c r="AZ706" t="s">
        <v>74</v>
      </c>
      <c r="BA706" t="s">
        <v>74</v>
      </c>
      <c r="BB706" t="s">
        <v>74</v>
      </c>
      <c r="BC706" t="s">
        <v>74</v>
      </c>
      <c r="BD706">
        <v>208</v>
      </c>
      <c r="BE706" t="s">
        <v>13888</v>
      </c>
      <c r="BF706" t="str">
        <f>HYPERLINK("http://dx.doi.org/10.1038/s42003-021-01742-w","http://dx.doi.org/10.1038/s42003-021-01742-w")</f>
        <v>http://dx.doi.org/10.1038/s42003-021-01742-w</v>
      </c>
      <c r="BG706" t="s">
        <v>74</v>
      </c>
      <c r="BH706" t="s">
        <v>74</v>
      </c>
      <c r="BI706">
        <v>7</v>
      </c>
      <c r="BJ706" t="s">
        <v>7335</v>
      </c>
      <c r="BK706" t="s">
        <v>101</v>
      </c>
      <c r="BL706" t="s">
        <v>7336</v>
      </c>
      <c r="BM706" t="s">
        <v>13889</v>
      </c>
      <c r="BN706">
        <v>33594210</v>
      </c>
      <c r="BO706" t="s">
        <v>445</v>
      </c>
      <c r="BP706" t="s">
        <v>74</v>
      </c>
      <c r="BQ706" t="s">
        <v>74</v>
      </c>
      <c r="BR706" t="s">
        <v>104</v>
      </c>
      <c r="BS706" t="s">
        <v>13890</v>
      </c>
      <c r="BT706" t="str">
        <f>HYPERLINK("https%3A%2F%2Fwww.webofscience.com%2Fwos%2Fwoscc%2Ffull-record%2FWOS:000621041100002","View Full Record in Web of Science")</f>
        <v>View Full Record in Web of Science</v>
      </c>
    </row>
    <row r="707" spans="1:72" x14ac:dyDescent="0.15">
      <c r="A707" t="s">
        <v>72</v>
      </c>
      <c r="B707" t="s">
        <v>13891</v>
      </c>
      <c r="C707" t="s">
        <v>74</v>
      </c>
      <c r="D707" t="s">
        <v>74</v>
      </c>
      <c r="E707" t="s">
        <v>74</v>
      </c>
      <c r="F707" t="s">
        <v>13892</v>
      </c>
      <c r="G707" t="s">
        <v>74</v>
      </c>
      <c r="H707" t="s">
        <v>74</v>
      </c>
      <c r="I707" t="s">
        <v>13893</v>
      </c>
      <c r="J707" t="s">
        <v>1421</v>
      </c>
      <c r="K707" t="s">
        <v>74</v>
      </c>
      <c r="L707" t="s">
        <v>74</v>
      </c>
      <c r="M707" t="s">
        <v>78</v>
      </c>
      <c r="N707" t="s">
        <v>79</v>
      </c>
      <c r="O707" t="s">
        <v>74</v>
      </c>
      <c r="P707" t="s">
        <v>74</v>
      </c>
      <c r="Q707" t="s">
        <v>74</v>
      </c>
      <c r="R707" t="s">
        <v>74</v>
      </c>
      <c r="S707" t="s">
        <v>74</v>
      </c>
      <c r="T707" t="s">
        <v>13894</v>
      </c>
      <c r="U707" t="s">
        <v>74</v>
      </c>
      <c r="V707" t="s">
        <v>13895</v>
      </c>
      <c r="W707" t="s">
        <v>13896</v>
      </c>
      <c r="X707" t="s">
        <v>13897</v>
      </c>
      <c r="Y707" t="s">
        <v>13898</v>
      </c>
      <c r="Z707" t="s">
        <v>13899</v>
      </c>
      <c r="AA707" t="s">
        <v>13900</v>
      </c>
      <c r="AB707" t="s">
        <v>13901</v>
      </c>
      <c r="AC707" t="s">
        <v>13902</v>
      </c>
      <c r="AD707" t="s">
        <v>13903</v>
      </c>
      <c r="AE707" t="s">
        <v>13904</v>
      </c>
      <c r="AF707" t="s">
        <v>74</v>
      </c>
      <c r="AG707">
        <v>46</v>
      </c>
      <c r="AH707">
        <v>6</v>
      </c>
      <c r="AI707">
        <v>6</v>
      </c>
      <c r="AJ707">
        <v>2</v>
      </c>
      <c r="AK707">
        <v>16</v>
      </c>
      <c r="AL707" t="s">
        <v>166</v>
      </c>
      <c r="AM707" t="s">
        <v>167</v>
      </c>
      <c r="AN707" t="s">
        <v>168</v>
      </c>
      <c r="AO707" t="s">
        <v>1433</v>
      </c>
      <c r="AP707" t="s">
        <v>1434</v>
      </c>
      <c r="AQ707" t="s">
        <v>74</v>
      </c>
      <c r="AR707" t="s">
        <v>1435</v>
      </c>
      <c r="AS707" t="s">
        <v>1436</v>
      </c>
      <c r="AT707" t="s">
        <v>1809</v>
      </c>
      <c r="AU707">
        <v>2021</v>
      </c>
      <c r="AV707">
        <v>44</v>
      </c>
      <c r="AW707">
        <v>3</v>
      </c>
      <c r="AX707" t="s">
        <v>74</v>
      </c>
      <c r="AY707" t="s">
        <v>74</v>
      </c>
      <c r="AZ707" t="s">
        <v>74</v>
      </c>
      <c r="BA707" t="s">
        <v>74</v>
      </c>
      <c r="BB707">
        <v>499</v>
      </c>
      <c r="BC707">
        <v>508</v>
      </c>
      <c r="BD707" t="s">
        <v>74</v>
      </c>
      <c r="BE707" t="s">
        <v>13905</v>
      </c>
      <c r="BF707" t="str">
        <f>HYPERLINK("http://dx.doi.org/10.1007/s00300-021-02820-9","http://dx.doi.org/10.1007/s00300-021-02820-9")</f>
        <v>http://dx.doi.org/10.1007/s00300-021-02820-9</v>
      </c>
      <c r="BG707" t="s">
        <v>74</v>
      </c>
      <c r="BH707" t="s">
        <v>12028</v>
      </c>
      <c r="BI707">
        <v>10</v>
      </c>
      <c r="BJ707" t="s">
        <v>1438</v>
      </c>
      <c r="BK707" t="s">
        <v>101</v>
      </c>
      <c r="BL707" t="s">
        <v>1439</v>
      </c>
      <c r="BM707" t="s">
        <v>13018</v>
      </c>
      <c r="BN707" t="s">
        <v>74</v>
      </c>
      <c r="BO707" t="s">
        <v>496</v>
      </c>
      <c r="BP707" t="s">
        <v>74</v>
      </c>
      <c r="BQ707" t="s">
        <v>74</v>
      </c>
      <c r="BR707" t="s">
        <v>104</v>
      </c>
      <c r="BS707" t="s">
        <v>13906</v>
      </c>
      <c r="BT707" t="str">
        <f>HYPERLINK("https%3A%2F%2Fwww.webofscience.com%2Fwos%2Fwoscc%2Ffull-record%2FWOS:000618575800001","View Full Record in Web of Science")</f>
        <v>View Full Record in Web of Science</v>
      </c>
    </row>
    <row r="708" spans="1:72" x14ac:dyDescent="0.15">
      <c r="A708" t="s">
        <v>72</v>
      </c>
      <c r="B708" t="s">
        <v>13907</v>
      </c>
      <c r="C708" t="s">
        <v>74</v>
      </c>
      <c r="D708" t="s">
        <v>74</v>
      </c>
      <c r="E708" t="s">
        <v>74</v>
      </c>
      <c r="F708" t="s">
        <v>13908</v>
      </c>
      <c r="G708" t="s">
        <v>74</v>
      </c>
      <c r="H708" t="s">
        <v>74</v>
      </c>
      <c r="I708" t="s">
        <v>13909</v>
      </c>
      <c r="J708" t="s">
        <v>1349</v>
      </c>
      <c r="K708" t="s">
        <v>74</v>
      </c>
      <c r="L708" t="s">
        <v>74</v>
      </c>
      <c r="M708" t="s">
        <v>78</v>
      </c>
      <c r="N708" t="s">
        <v>79</v>
      </c>
      <c r="O708" t="s">
        <v>74</v>
      </c>
      <c r="P708" t="s">
        <v>74</v>
      </c>
      <c r="Q708" t="s">
        <v>74</v>
      </c>
      <c r="R708" t="s">
        <v>74</v>
      </c>
      <c r="S708" t="s">
        <v>74</v>
      </c>
      <c r="T708" t="s">
        <v>13910</v>
      </c>
      <c r="U708" t="s">
        <v>13911</v>
      </c>
      <c r="V708" t="s">
        <v>13912</v>
      </c>
      <c r="W708" t="s">
        <v>13913</v>
      </c>
      <c r="X708" t="s">
        <v>13914</v>
      </c>
      <c r="Y708" t="s">
        <v>13915</v>
      </c>
      <c r="Z708" t="s">
        <v>13916</v>
      </c>
      <c r="AA708" t="s">
        <v>13917</v>
      </c>
      <c r="AB708" t="s">
        <v>13918</v>
      </c>
      <c r="AC708" t="s">
        <v>13919</v>
      </c>
      <c r="AD708" t="s">
        <v>13920</v>
      </c>
      <c r="AE708" t="s">
        <v>13921</v>
      </c>
      <c r="AF708" t="s">
        <v>74</v>
      </c>
      <c r="AG708">
        <v>92</v>
      </c>
      <c r="AH708">
        <v>8</v>
      </c>
      <c r="AI708">
        <v>8</v>
      </c>
      <c r="AJ708">
        <v>3</v>
      </c>
      <c r="AK708">
        <v>8</v>
      </c>
      <c r="AL708" t="s">
        <v>795</v>
      </c>
      <c r="AM708" t="s">
        <v>796</v>
      </c>
      <c r="AN708" t="s">
        <v>797</v>
      </c>
      <c r="AO708" t="s">
        <v>1360</v>
      </c>
      <c r="AP708" t="s">
        <v>1361</v>
      </c>
      <c r="AQ708" t="s">
        <v>74</v>
      </c>
      <c r="AR708" t="s">
        <v>1362</v>
      </c>
      <c r="AS708" t="s">
        <v>1363</v>
      </c>
      <c r="AT708" t="s">
        <v>1035</v>
      </c>
      <c r="AU708">
        <v>2021</v>
      </c>
      <c r="AV708">
        <v>31</v>
      </c>
      <c r="AW708">
        <v>7</v>
      </c>
      <c r="AX708" t="s">
        <v>74</v>
      </c>
      <c r="AY708" t="s">
        <v>74</v>
      </c>
      <c r="AZ708" t="s">
        <v>74</v>
      </c>
      <c r="BA708" t="s">
        <v>74</v>
      </c>
      <c r="BB708">
        <v>1730</v>
      </c>
      <c r="BC708">
        <v>1748</v>
      </c>
      <c r="BD708" t="s">
        <v>74</v>
      </c>
      <c r="BE708" t="s">
        <v>13922</v>
      </c>
      <c r="BF708" t="str">
        <f>HYPERLINK("http://dx.doi.org/10.1002/aqc.3545","http://dx.doi.org/10.1002/aqc.3545")</f>
        <v>http://dx.doi.org/10.1002/aqc.3545</v>
      </c>
      <c r="BG708" t="s">
        <v>74</v>
      </c>
      <c r="BH708" t="s">
        <v>12028</v>
      </c>
      <c r="BI708">
        <v>19</v>
      </c>
      <c r="BJ708" t="s">
        <v>1366</v>
      </c>
      <c r="BK708" t="s">
        <v>101</v>
      </c>
      <c r="BL708" t="s">
        <v>1367</v>
      </c>
      <c r="BM708" t="s">
        <v>3827</v>
      </c>
      <c r="BN708" t="s">
        <v>74</v>
      </c>
      <c r="BO708" t="s">
        <v>74</v>
      </c>
      <c r="BP708" t="s">
        <v>74</v>
      </c>
      <c r="BQ708" t="s">
        <v>74</v>
      </c>
      <c r="BR708" t="s">
        <v>104</v>
      </c>
      <c r="BS708" t="s">
        <v>13923</v>
      </c>
      <c r="BT708" t="str">
        <f>HYPERLINK("https%3A%2F%2Fwww.webofscience.com%2Fwos%2Fwoscc%2Ffull-record%2FWOS:000618368400001","View Full Record in Web of Science")</f>
        <v>View Full Record in Web of Science</v>
      </c>
    </row>
    <row r="709" spans="1:72" x14ac:dyDescent="0.15">
      <c r="A709" t="s">
        <v>72</v>
      </c>
      <c r="B709" t="s">
        <v>13924</v>
      </c>
      <c r="C709" t="s">
        <v>74</v>
      </c>
      <c r="D709" t="s">
        <v>74</v>
      </c>
      <c r="E709" t="s">
        <v>74</v>
      </c>
      <c r="F709" t="s">
        <v>13925</v>
      </c>
      <c r="G709" t="s">
        <v>74</v>
      </c>
      <c r="H709" t="s">
        <v>74</v>
      </c>
      <c r="I709" t="s">
        <v>13926</v>
      </c>
      <c r="J709" t="s">
        <v>3648</v>
      </c>
      <c r="K709" t="s">
        <v>74</v>
      </c>
      <c r="L709" t="s">
        <v>74</v>
      </c>
      <c r="M709" t="s">
        <v>78</v>
      </c>
      <c r="N709" t="s">
        <v>79</v>
      </c>
      <c r="O709" t="s">
        <v>74</v>
      </c>
      <c r="P709" t="s">
        <v>74</v>
      </c>
      <c r="Q709" t="s">
        <v>74</v>
      </c>
      <c r="R709" t="s">
        <v>74</v>
      </c>
      <c r="S709" t="s">
        <v>74</v>
      </c>
      <c r="T709" t="s">
        <v>13927</v>
      </c>
      <c r="U709" t="s">
        <v>13928</v>
      </c>
      <c r="V709" t="s">
        <v>13929</v>
      </c>
      <c r="W709" t="s">
        <v>13930</v>
      </c>
      <c r="X709" t="s">
        <v>13931</v>
      </c>
      <c r="Y709" t="s">
        <v>13932</v>
      </c>
      <c r="Z709" t="s">
        <v>13933</v>
      </c>
      <c r="AA709" t="s">
        <v>13934</v>
      </c>
      <c r="AB709" t="s">
        <v>13935</v>
      </c>
      <c r="AC709" t="s">
        <v>13936</v>
      </c>
      <c r="AD709" t="s">
        <v>13937</v>
      </c>
      <c r="AE709" t="s">
        <v>13938</v>
      </c>
      <c r="AF709" t="s">
        <v>74</v>
      </c>
      <c r="AG709">
        <v>111</v>
      </c>
      <c r="AH709">
        <v>5</v>
      </c>
      <c r="AI709">
        <v>5</v>
      </c>
      <c r="AJ709">
        <v>1</v>
      </c>
      <c r="AK709">
        <v>9</v>
      </c>
      <c r="AL709" t="s">
        <v>795</v>
      </c>
      <c r="AM709" t="s">
        <v>796</v>
      </c>
      <c r="AN709" t="s">
        <v>797</v>
      </c>
      <c r="AO709" t="s">
        <v>3661</v>
      </c>
      <c r="AP709" t="s">
        <v>74</v>
      </c>
      <c r="AQ709" t="s">
        <v>74</v>
      </c>
      <c r="AR709" t="s">
        <v>3662</v>
      </c>
      <c r="AS709" t="s">
        <v>3663</v>
      </c>
      <c r="AT709" t="s">
        <v>1809</v>
      </c>
      <c r="AU709">
        <v>2021</v>
      </c>
      <c r="AV709">
        <v>11</v>
      </c>
      <c r="AW709">
        <v>6</v>
      </c>
      <c r="AX709" t="s">
        <v>74</v>
      </c>
      <c r="AY709" t="s">
        <v>74</v>
      </c>
      <c r="AZ709" t="s">
        <v>74</v>
      </c>
      <c r="BA709" t="s">
        <v>74</v>
      </c>
      <c r="BB709">
        <v>2535</v>
      </c>
      <c r="BC709">
        <v>2550</v>
      </c>
      <c r="BD709" t="s">
        <v>74</v>
      </c>
      <c r="BE709" t="s">
        <v>13939</v>
      </c>
      <c r="BF709" t="str">
        <f>HYPERLINK("http://dx.doi.org/10.1002/ece3.7204","http://dx.doi.org/10.1002/ece3.7204")</f>
        <v>http://dx.doi.org/10.1002/ece3.7204</v>
      </c>
      <c r="BG709" t="s">
        <v>74</v>
      </c>
      <c r="BH709" t="s">
        <v>12028</v>
      </c>
      <c r="BI709">
        <v>16</v>
      </c>
      <c r="BJ709" t="s">
        <v>3508</v>
      </c>
      <c r="BK709" t="s">
        <v>101</v>
      </c>
      <c r="BL709" t="s">
        <v>3509</v>
      </c>
      <c r="BM709" t="s">
        <v>13940</v>
      </c>
      <c r="BN709">
        <v>33767820</v>
      </c>
      <c r="BO709" t="s">
        <v>4113</v>
      </c>
      <c r="BP709" t="s">
        <v>74</v>
      </c>
      <c r="BQ709" t="s">
        <v>74</v>
      </c>
      <c r="BR709" t="s">
        <v>104</v>
      </c>
      <c r="BS709" t="s">
        <v>13941</v>
      </c>
      <c r="BT709" t="str">
        <f>HYPERLINK("https%3A%2F%2Fwww.webofscience.com%2Fwos%2Fwoscc%2Ffull-record%2FWOS:000618375500001","View Full Record in Web of Science")</f>
        <v>View Full Record in Web of Science</v>
      </c>
    </row>
    <row r="710" spans="1:72" x14ac:dyDescent="0.15">
      <c r="A710" t="s">
        <v>72</v>
      </c>
      <c r="B710" t="s">
        <v>13942</v>
      </c>
      <c r="C710" t="s">
        <v>74</v>
      </c>
      <c r="D710" t="s">
        <v>74</v>
      </c>
      <c r="E710" t="s">
        <v>74</v>
      </c>
      <c r="F710" t="s">
        <v>13943</v>
      </c>
      <c r="G710" t="s">
        <v>74</v>
      </c>
      <c r="H710" t="s">
        <v>74</v>
      </c>
      <c r="I710" t="s">
        <v>13944</v>
      </c>
      <c r="J710" t="s">
        <v>2687</v>
      </c>
      <c r="K710" t="s">
        <v>74</v>
      </c>
      <c r="L710" t="s">
        <v>74</v>
      </c>
      <c r="M710" t="s">
        <v>78</v>
      </c>
      <c r="N710" t="s">
        <v>79</v>
      </c>
      <c r="O710" t="s">
        <v>74</v>
      </c>
      <c r="P710" t="s">
        <v>74</v>
      </c>
      <c r="Q710" t="s">
        <v>74</v>
      </c>
      <c r="R710" t="s">
        <v>74</v>
      </c>
      <c r="S710" t="s">
        <v>74</v>
      </c>
      <c r="T710" t="s">
        <v>13945</v>
      </c>
      <c r="U710" t="s">
        <v>13946</v>
      </c>
      <c r="V710" t="s">
        <v>13947</v>
      </c>
      <c r="W710" t="s">
        <v>13948</v>
      </c>
      <c r="X710" t="s">
        <v>13949</v>
      </c>
      <c r="Y710" t="s">
        <v>13950</v>
      </c>
      <c r="Z710" t="s">
        <v>13951</v>
      </c>
      <c r="AA710" t="s">
        <v>13952</v>
      </c>
      <c r="AB710" t="s">
        <v>13953</v>
      </c>
      <c r="AC710" t="s">
        <v>13954</v>
      </c>
      <c r="AD710" t="s">
        <v>13955</v>
      </c>
      <c r="AE710" t="s">
        <v>13956</v>
      </c>
      <c r="AF710" t="s">
        <v>74</v>
      </c>
      <c r="AG710">
        <v>180</v>
      </c>
      <c r="AH710">
        <v>11</v>
      </c>
      <c r="AI710">
        <v>12</v>
      </c>
      <c r="AJ710">
        <v>2</v>
      </c>
      <c r="AK710">
        <v>16</v>
      </c>
      <c r="AL710" t="s">
        <v>603</v>
      </c>
      <c r="AM710" t="s">
        <v>604</v>
      </c>
      <c r="AN710" t="s">
        <v>605</v>
      </c>
      <c r="AO710" t="s">
        <v>74</v>
      </c>
      <c r="AP710" t="s">
        <v>2699</v>
      </c>
      <c r="AQ710" t="s">
        <v>74</v>
      </c>
      <c r="AR710" t="s">
        <v>2700</v>
      </c>
      <c r="AS710" t="s">
        <v>2701</v>
      </c>
      <c r="AT710" t="s">
        <v>13811</v>
      </c>
      <c r="AU710">
        <v>2021</v>
      </c>
      <c r="AV710">
        <v>8</v>
      </c>
      <c r="AW710" t="s">
        <v>74</v>
      </c>
      <c r="AX710" t="s">
        <v>74</v>
      </c>
      <c r="AY710" t="s">
        <v>74</v>
      </c>
      <c r="AZ710" t="s">
        <v>74</v>
      </c>
      <c r="BA710" t="s">
        <v>74</v>
      </c>
      <c r="BB710" t="s">
        <v>74</v>
      </c>
      <c r="BC710" t="s">
        <v>74</v>
      </c>
      <c r="BD710">
        <v>616673</v>
      </c>
      <c r="BE710" t="s">
        <v>13957</v>
      </c>
      <c r="BF710" t="str">
        <f>HYPERLINK("http://dx.doi.org/10.3389/fmars.2021.616673","http://dx.doi.org/10.3389/fmars.2021.616673")</f>
        <v>http://dx.doi.org/10.3389/fmars.2021.616673</v>
      </c>
      <c r="BG710" t="s">
        <v>74</v>
      </c>
      <c r="BH710" t="s">
        <v>74</v>
      </c>
      <c r="BI710">
        <v>19</v>
      </c>
      <c r="BJ710" t="s">
        <v>1646</v>
      </c>
      <c r="BK710" t="s">
        <v>101</v>
      </c>
      <c r="BL710" t="s">
        <v>710</v>
      </c>
      <c r="BM710" t="s">
        <v>13958</v>
      </c>
      <c r="BN710" t="s">
        <v>74</v>
      </c>
      <c r="BO710" t="s">
        <v>317</v>
      </c>
      <c r="BP710" t="s">
        <v>74</v>
      </c>
      <c r="BQ710" t="s">
        <v>74</v>
      </c>
      <c r="BR710" t="s">
        <v>104</v>
      </c>
      <c r="BS710" t="s">
        <v>13959</v>
      </c>
      <c r="BT710" t="str">
        <f>HYPERLINK("https%3A%2F%2Fwww.webofscience.com%2Fwos%2Fwoscc%2Ffull-record%2FWOS:000625191000001","View Full Record in Web of Science")</f>
        <v>View Full Record in Web of Science</v>
      </c>
    </row>
    <row r="711" spans="1:72" x14ac:dyDescent="0.15">
      <c r="A711" t="s">
        <v>72</v>
      </c>
      <c r="B711" t="s">
        <v>13960</v>
      </c>
      <c r="C711" t="s">
        <v>74</v>
      </c>
      <c r="D711" t="s">
        <v>74</v>
      </c>
      <c r="E711" t="s">
        <v>74</v>
      </c>
      <c r="F711" t="s">
        <v>13961</v>
      </c>
      <c r="G711" t="s">
        <v>74</v>
      </c>
      <c r="H711" t="s">
        <v>74</v>
      </c>
      <c r="I711" t="s">
        <v>13962</v>
      </c>
      <c r="J711" t="s">
        <v>2868</v>
      </c>
      <c r="K711" t="s">
        <v>74</v>
      </c>
      <c r="L711" t="s">
        <v>74</v>
      </c>
      <c r="M711" t="s">
        <v>78</v>
      </c>
      <c r="N711" t="s">
        <v>79</v>
      </c>
      <c r="O711" t="s">
        <v>74</v>
      </c>
      <c r="P711" t="s">
        <v>74</v>
      </c>
      <c r="Q711" t="s">
        <v>74</v>
      </c>
      <c r="R711" t="s">
        <v>74</v>
      </c>
      <c r="S711" t="s">
        <v>74</v>
      </c>
      <c r="T711" t="s">
        <v>13963</v>
      </c>
      <c r="U711" t="s">
        <v>13964</v>
      </c>
      <c r="V711" t="s">
        <v>13965</v>
      </c>
      <c r="W711" t="s">
        <v>13966</v>
      </c>
      <c r="X711" t="s">
        <v>6701</v>
      </c>
      <c r="Y711" t="s">
        <v>13967</v>
      </c>
      <c r="Z711" t="s">
        <v>6703</v>
      </c>
      <c r="AA711" t="s">
        <v>13968</v>
      </c>
      <c r="AB711" t="s">
        <v>13969</v>
      </c>
      <c r="AC711" t="s">
        <v>13970</v>
      </c>
      <c r="AD711" t="s">
        <v>13971</v>
      </c>
      <c r="AE711" t="s">
        <v>13972</v>
      </c>
      <c r="AF711" t="s">
        <v>74</v>
      </c>
      <c r="AG711">
        <v>60</v>
      </c>
      <c r="AH711">
        <v>15</v>
      </c>
      <c r="AI711">
        <v>16</v>
      </c>
      <c r="AJ711">
        <v>2</v>
      </c>
      <c r="AK711">
        <v>16</v>
      </c>
      <c r="AL711" t="s">
        <v>603</v>
      </c>
      <c r="AM711" t="s">
        <v>604</v>
      </c>
      <c r="AN711" t="s">
        <v>605</v>
      </c>
      <c r="AO711" t="s">
        <v>74</v>
      </c>
      <c r="AP711" t="s">
        <v>2881</v>
      </c>
      <c r="AQ711" t="s">
        <v>74</v>
      </c>
      <c r="AR711" t="s">
        <v>2882</v>
      </c>
      <c r="AS711" t="s">
        <v>2883</v>
      </c>
      <c r="AT711" t="s">
        <v>13811</v>
      </c>
      <c r="AU711">
        <v>2021</v>
      </c>
      <c r="AV711">
        <v>12</v>
      </c>
      <c r="AW711" t="s">
        <v>74</v>
      </c>
      <c r="AX711" t="s">
        <v>74</v>
      </c>
      <c r="AY711" t="s">
        <v>74</v>
      </c>
      <c r="AZ711" t="s">
        <v>74</v>
      </c>
      <c r="BA711" t="s">
        <v>74</v>
      </c>
      <c r="BB711" t="s">
        <v>74</v>
      </c>
      <c r="BC711" t="s">
        <v>74</v>
      </c>
      <c r="BD711">
        <v>628792</v>
      </c>
      <c r="BE711" t="s">
        <v>13973</v>
      </c>
      <c r="BF711" t="str">
        <f>HYPERLINK("http://dx.doi.org/10.3389/fmicb.2021.628792","http://dx.doi.org/10.3389/fmicb.2021.628792")</f>
        <v>http://dx.doi.org/10.3389/fmicb.2021.628792</v>
      </c>
      <c r="BG711" t="s">
        <v>74</v>
      </c>
      <c r="BH711" t="s">
        <v>74</v>
      </c>
      <c r="BI711">
        <v>13</v>
      </c>
      <c r="BJ711" t="s">
        <v>396</v>
      </c>
      <c r="BK711" t="s">
        <v>101</v>
      </c>
      <c r="BL711" t="s">
        <v>396</v>
      </c>
      <c r="BM711" t="s">
        <v>13974</v>
      </c>
      <c r="BN711">
        <v>33664717</v>
      </c>
      <c r="BO711" t="s">
        <v>558</v>
      </c>
      <c r="BP711" t="s">
        <v>74</v>
      </c>
      <c r="BQ711" t="s">
        <v>74</v>
      </c>
      <c r="BR711" t="s">
        <v>104</v>
      </c>
      <c r="BS711" t="s">
        <v>13975</v>
      </c>
      <c r="BT711" t="str">
        <f>HYPERLINK("https%3A%2F%2Fwww.webofscience.com%2Fwos%2Fwoscc%2Ffull-record%2FWOS:000623661000001","View Full Record in Web of Science")</f>
        <v>View Full Record in Web of Science</v>
      </c>
    </row>
    <row r="712" spans="1:72" x14ac:dyDescent="0.15">
      <c r="A712" t="s">
        <v>72</v>
      </c>
      <c r="B712" t="s">
        <v>13976</v>
      </c>
      <c r="C712" t="s">
        <v>74</v>
      </c>
      <c r="D712" t="s">
        <v>74</v>
      </c>
      <c r="E712" t="s">
        <v>74</v>
      </c>
      <c r="F712" t="s">
        <v>13977</v>
      </c>
      <c r="G712" t="s">
        <v>74</v>
      </c>
      <c r="H712" t="s">
        <v>74</v>
      </c>
      <c r="I712" t="s">
        <v>13978</v>
      </c>
      <c r="J712" t="s">
        <v>904</v>
      </c>
      <c r="K712" t="s">
        <v>74</v>
      </c>
      <c r="L712" t="s">
        <v>74</v>
      </c>
      <c r="M712" t="s">
        <v>78</v>
      </c>
      <c r="N712" t="s">
        <v>79</v>
      </c>
      <c r="O712" t="s">
        <v>74</v>
      </c>
      <c r="P712" t="s">
        <v>74</v>
      </c>
      <c r="Q712" t="s">
        <v>74</v>
      </c>
      <c r="R712" t="s">
        <v>74</v>
      </c>
      <c r="S712" t="s">
        <v>74</v>
      </c>
      <c r="T712" t="s">
        <v>13979</v>
      </c>
      <c r="U712" t="s">
        <v>13980</v>
      </c>
      <c r="V712" t="s">
        <v>13981</v>
      </c>
      <c r="W712" t="s">
        <v>13982</v>
      </c>
      <c r="X712" t="s">
        <v>13983</v>
      </c>
      <c r="Y712" t="s">
        <v>13984</v>
      </c>
      <c r="Z712" t="s">
        <v>13985</v>
      </c>
      <c r="AA712" t="s">
        <v>13986</v>
      </c>
      <c r="AB712" t="s">
        <v>13987</v>
      </c>
      <c r="AC712" t="s">
        <v>13988</v>
      </c>
      <c r="AD712" t="s">
        <v>13989</v>
      </c>
      <c r="AE712" t="s">
        <v>13990</v>
      </c>
      <c r="AF712" t="s">
        <v>74</v>
      </c>
      <c r="AG712">
        <v>50</v>
      </c>
      <c r="AH712">
        <v>6</v>
      </c>
      <c r="AI712">
        <v>7</v>
      </c>
      <c r="AJ712">
        <v>3</v>
      </c>
      <c r="AK712">
        <v>8</v>
      </c>
      <c r="AL712" t="s">
        <v>917</v>
      </c>
      <c r="AM712" t="s">
        <v>390</v>
      </c>
      <c r="AN712" t="s">
        <v>918</v>
      </c>
      <c r="AO712" t="s">
        <v>919</v>
      </c>
      <c r="AP712" t="s">
        <v>920</v>
      </c>
      <c r="AQ712" t="s">
        <v>74</v>
      </c>
      <c r="AR712" t="s">
        <v>921</v>
      </c>
      <c r="AS712" t="s">
        <v>922</v>
      </c>
      <c r="AT712" t="s">
        <v>13811</v>
      </c>
      <c r="AU712">
        <v>2021</v>
      </c>
      <c r="AV712">
        <v>48</v>
      </c>
      <c r="AW712">
        <v>3</v>
      </c>
      <c r="AX712" t="s">
        <v>74</v>
      </c>
      <c r="AY712" t="s">
        <v>74</v>
      </c>
      <c r="AZ712" t="s">
        <v>74</v>
      </c>
      <c r="BA712" t="s">
        <v>74</v>
      </c>
      <c r="BB712" t="s">
        <v>74</v>
      </c>
      <c r="BC712" t="s">
        <v>74</v>
      </c>
      <c r="BD712" t="s">
        <v>13991</v>
      </c>
      <c r="BE712" t="s">
        <v>13992</v>
      </c>
      <c r="BF712" t="str">
        <f>HYPERLINK("http://dx.doi.org/10.1029/2020GL090035","http://dx.doi.org/10.1029/2020GL090035")</f>
        <v>http://dx.doi.org/10.1029/2020GL090035</v>
      </c>
      <c r="BG712" t="s">
        <v>74</v>
      </c>
      <c r="BH712" t="s">
        <v>74</v>
      </c>
      <c r="BI712">
        <v>10</v>
      </c>
      <c r="BJ712" t="s">
        <v>100</v>
      </c>
      <c r="BK712" t="s">
        <v>101</v>
      </c>
      <c r="BL712" t="s">
        <v>102</v>
      </c>
      <c r="BM712" t="s">
        <v>13856</v>
      </c>
      <c r="BN712" t="s">
        <v>74</v>
      </c>
      <c r="BO712" t="s">
        <v>398</v>
      </c>
      <c r="BP712" t="s">
        <v>74</v>
      </c>
      <c r="BQ712" t="s">
        <v>74</v>
      </c>
      <c r="BR712" t="s">
        <v>104</v>
      </c>
      <c r="BS712" t="s">
        <v>13993</v>
      </c>
      <c r="BT712" t="str">
        <f>HYPERLINK("https%3A%2F%2Fwww.webofscience.com%2Fwos%2Fwoscc%2Ffull-record%2FWOS:000620058900069","View Full Record in Web of Science")</f>
        <v>View Full Record in Web of Science</v>
      </c>
    </row>
    <row r="713" spans="1:72" x14ac:dyDescent="0.15">
      <c r="A713" t="s">
        <v>72</v>
      </c>
      <c r="B713" t="s">
        <v>13994</v>
      </c>
      <c r="C713" t="s">
        <v>74</v>
      </c>
      <c r="D713" t="s">
        <v>74</v>
      </c>
      <c r="E713" t="s">
        <v>74</v>
      </c>
      <c r="F713" t="s">
        <v>13995</v>
      </c>
      <c r="G713" t="s">
        <v>74</v>
      </c>
      <c r="H713" t="s">
        <v>74</v>
      </c>
      <c r="I713" t="s">
        <v>13996</v>
      </c>
      <c r="J713" t="s">
        <v>3228</v>
      </c>
      <c r="K713" t="s">
        <v>74</v>
      </c>
      <c r="L713" t="s">
        <v>74</v>
      </c>
      <c r="M713" t="s">
        <v>78</v>
      </c>
      <c r="N713" t="s">
        <v>79</v>
      </c>
      <c r="O713" t="s">
        <v>74</v>
      </c>
      <c r="P713" t="s">
        <v>74</v>
      </c>
      <c r="Q713" t="s">
        <v>74</v>
      </c>
      <c r="R713" t="s">
        <v>74</v>
      </c>
      <c r="S713" t="s">
        <v>74</v>
      </c>
      <c r="T713" t="s">
        <v>13997</v>
      </c>
      <c r="U713" t="s">
        <v>13998</v>
      </c>
      <c r="V713" t="s">
        <v>13999</v>
      </c>
      <c r="W713" t="s">
        <v>14000</v>
      </c>
      <c r="X713" t="s">
        <v>14001</v>
      </c>
      <c r="Y713" t="s">
        <v>14002</v>
      </c>
      <c r="Z713" t="s">
        <v>14003</v>
      </c>
      <c r="AA713" t="s">
        <v>14004</v>
      </c>
      <c r="AB713" t="s">
        <v>14005</v>
      </c>
      <c r="AC713" t="s">
        <v>14006</v>
      </c>
      <c r="AD713" t="s">
        <v>14006</v>
      </c>
      <c r="AE713" t="s">
        <v>14007</v>
      </c>
      <c r="AF713" t="s">
        <v>74</v>
      </c>
      <c r="AG713">
        <v>46</v>
      </c>
      <c r="AH713">
        <v>15</v>
      </c>
      <c r="AI713">
        <v>16</v>
      </c>
      <c r="AJ713">
        <v>0</v>
      </c>
      <c r="AK713">
        <v>11</v>
      </c>
      <c r="AL713" t="s">
        <v>890</v>
      </c>
      <c r="AM713" t="s">
        <v>891</v>
      </c>
      <c r="AN713" t="s">
        <v>892</v>
      </c>
      <c r="AO713" t="s">
        <v>3240</v>
      </c>
      <c r="AP713" t="s">
        <v>3241</v>
      </c>
      <c r="AQ713" t="s">
        <v>74</v>
      </c>
      <c r="AR713" t="s">
        <v>3242</v>
      </c>
      <c r="AS713" t="s">
        <v>3243</v>
      </c>
      <c r="AT713" t="s">
        <v>127</v>
      </c>
      <c r="AU713">
        <v>2021</v>
      </c>
      <c r="AV713">
        <v>127</v>
      </c>
      <c r="AW713" t="s">
        <v>74</v>
      </c>
      <c r="AX713" t="s">
        <v>74</v>
      </c>
      <c r="AY713" t="s">
        <v>74</v>
      </c>
      <c r="AZ713" t="s">
        <v>74</v>
      </c>
      <c r="BA713" t="s">
        <v>74</v>
      </c>
      <c r="BB713" t="s">
        <v>74</v>
      </c>
      <c r="BC713" t="s">
        <v>74</v>
      </c>
      <c r="BD713">
        <v>104430</v>
      </c>
      <c r="BE713" t="s">
        <v>14008</v>
      </c>
      <c r="BF713" t="str">
        <f>HYPERLINK("http://dx.doi.org/10.1016/j.marpol.2021.104430","http://dx.doi.org/10.1016/j.marpol.2021.104430")</f>
        <v>http://dx.doi.org/10.1016/j.marpol.2021.104430</v>
      </c>
      <c r="BG713" t="s">
        <v>74</v>
      </c>
      <c r="BH713" t="s">
        <v>12028</v>
      </c>
      <c r="BI713">
        <v>6</v>
      </c>
      <c r="BJ713" t="s">
        <v>3245</v>
      </c>
      <c r="BK713" t="s">
        <v>3246</v>
      </c>
      <c r="BL713" t="s">
        <v>3247</v>
      </c>
      <c r="BM713" t="s">
        <v>14009</v>
      </c>
      <c r="BN713" t="s">
        <v>74</v>
      </c>
      <c r="BO713" t="s">
        <v>74</v>
      </c>
      <c r="BP713" t="s">
        <v>74</v>
      </c>
      <c r="BQ713" t="s">
        <v>74</v>
      </c>
      <c r="BR713" t="s">
        <v>104</v>
      </c>
      <c r="BS713" t="s">
        <v>14010</v>
      </c>
      <c r="BT713" t="str">
        <f>HYPERLINK("https%3A%2F%2Fwww.webofscience.com%2Fwos%2Fwoscc%2Ffull-record%2FWOS:000653628000013","View Full Record in Web of Science")</f>
        <v>View Full Record in Web of Science</v>
      </c>
    </row>
    <row r="714" spans="1:72" x14ac:dyDescent="0.15">
      <c r="A714" t="s">
        <v>72</v>
      </c>
      <c r="B714" t="s">
        <v>14011</v>
      </c>
      <c r="C714" t="s">
        <v>74</v>
      </c>
      <c r="D714" t="s">
        <v>74</v>
      </c>
      <c r="E714" t="s">
        <v>74</v>
      </c>
      <c r="F714" t="s">
        <v>14012</v>
      </c>
      <c r="G714" t="s">
        <v>74</v>
      </c>
      <c r="H714" t="s">
        <v>74</v>
      </c>
      <c r="I714" t="s">
        <v>14013</v>
      </c>
      <c r="J714" t="s">
        <v>14014</v>
      </c>
      <c r="K714" t="s">
        <v>74</v>
      </c>
      <c r="L714" t="s">
        <v>74</v>
      </c>
      <c r="M714" t="s">
        <v>78</v>
      </c>
      <c r="N714" t="s">
        <v>79</v>
      </c>
      <c r="O714" t="s">
        <v>74</v>
      </c>
      <c r="P714" t="s">
        <v>74</v>
      </c>
      <c r="Q714" t="s">
        <v>74</v>
      </c>
      <c r="R714" t="s">
        <v>74</v>
      </c>
      <c r="S714" t="s">
        <v>74</v>
      </c>
      <c r="T714" t="s">
        <v>14015</v>
      </c>
      <c r="U714" t="s">
        <v>14016</v>
      </c>
      <c r="V714" t="s">
        <v>14017</v>
      </c>
      <c r="W714" t="s">
        <v>14018</v>
      </c>
      <c r="X714" t="s">
        <v>14019</v>
      </c>
      <c r="Y714" t="s">
        <v>14020</v>
      </c>
      <c r="Z714" t="s">
        <v>14021</v>
      </c>
      <c r="AA714" t="s">
        <v>14022</v>
      </c>
      <c r="AB714" t="s">
        <v>14023</v>
      </c>
      <c r="AC714" t="s">
        <v>14024</v>
      </c>
      <c r="AD714" t="s">
        <v>14025</v>
      </c>
      <c r="AE714" t="s">
        <v>14026</v>
      </c>
      <c r="AF714" t="s">
        <v>74</v>
      </c>
      <c r="AG714">
        <v>29</v>
      </c>
      <c r="AH714">
        <v>5</v>
      </c>
      <c r="AI714">
        <v>5</v>
      </c>
      <c r="AJ714">
        <v>2</v>
      </c>
      <c r="AK714">
        <v>6</v>
      </c>
      <c r="AL714" t="s">
        <v>1058</v>
      </c>
      <c r="AM714" t="s">
        <v>891</v>
      </c>
      <c r="AN714" t="s">
        <v>1059</v>
      </c>
      <c r="AO714" t="s">
        <v>14027</v>
      </c>
      <c r="AP714" t="s">
        <v>14028</v>
      </c>
      <c r="AQ714" t="s">
        <v>74</v>
      </c>
      <c r="AR714" t="s">
        <v>14029</v>
      </c>
      <c r="AS714" t="s">
        <v>14030</v>
      </c>
      <c r="AT714" t="s">
        <v>2859</v>
      </c>
      <c r="AU714">
        <v>2021</v>
      </c>
      <c r="AV714">
        <v>264</v>
      </c>
      <c r="AW714" t="s">
        <v>74</v>
      </c>
      <c r="AX714" t="s">
        <v>74</v>
      </c>
      <c r="AY714" t="s">
        <v>74</v>
      </c>
      <c r="AZ714" t="s">
        <v>74</v>
      </c>
      <c r="BA714" t="s">
        <v>74</v>
      </c>
      <c r="BB714" t="s">
        <v>74</v>
      </c>
      <c r="BC714" t="s">
        <v>74</v>
      </c>
      <c r="BD714">
        <v>107559</v>
      </c>
      <c r="BE714" t="s">
        <v>14031</v>
      </c>
      <c r="BF714" t="str">
        <f>HYPERLINK("http://dx.doi.org/10.1016/j.jqsrt.2021.107559","http://dx.doi.org/10.1016/j.jqsrt.2021.107559")</f>
        <v>http://dx.doi.org/10.1016/j.jqsrt.2021.107559</v>
      </c>
      <c r="BG714" t="s">
        <v>74</v>
      </c>
      <c r="BH714" t="s">
        <v>12028</v>
      </c>
      <c r="BI714">
        <v>7</v>
      </c>
      <c r="BJ714" t="s">
        <v>14032</v>
      </c>
      <c r="BK714" t="s">
        <v>101</v>
      </c>
      <c r="BL714" t="s">
        <v>14032</v>
      </c>
      <c r="BM714" t="s">
        <v>14033</v>
      </c>
      <c r="BN714" t="s">
        <v>74</v>
      </c>
      <c r="BO714" t="s">
        <v>74</v>
      </c>
      <c r="BP714" t="s">
        <v>74</v>
      </c>
      <c r="BQ714" t="s">
        <v>74</v>
      </c>
      <c r="BR714" t="s">
        <v>104</v>
      </c>
      <c r="BS714" t="s">
        <v>14034</v>
      </c>
      <c r="BT714" t="str">
        <f>HYPERLINK("https%3A%2F%2Fwww.webofscience.com%2Fwos%2Fwoscc%2Ffull-record%2FWOS:000642459600003","View Full Record in Web of Science")</f>
        <v>View Full Record in Web of Science</v>
      </c>
    </row>
    <row r="715" spans="1:72" x14ac:dyDescent="0.15">
      <c r="A715" t="s">
        <v>72</v>
      </c>
      <c r="B715" t="s">
        <v>14035</v>
      </c>
      <c r="C715" t="s">
        <v>74</v>
      </c>
      <c r="D715" t="s">
        <v>74</v>
      </c>
      <c r="E715" t="s">
        <v>74</v>
      </c>
      <c r="F715" t="s">
        <v>14036</v>
      </c>
      <c r="G715" t="s">
        <v>74</v>
      </c>
      <c r="H715" t="s">
        <v>74</v>
      </c>
      <c r="I715" t="s">
        <v>14037</v>
      </c>
      <c r="J715" t="s">
        <v>2687</v>
      </c>
      <c r="K715" t="s">
        <v>74</v>
      </c>
      <c r="L715" t="s">
        <v>74</v>
      </c>
      <c r="M715" t="s">
        <v>78</v>
      </c>
      <c r="N715" t="s">
        <v>79</v>
      </c>
      <c r="O715" t="s">
        <v>74</v>
      </c>
      <c r="P715" t="s">
        <v>74</v>
      </c>
      <c r="Q715" t="s">
        <v>74</v>
      </c>
      <c r="R715" t="s">
        <v>74</v>
      </c>
      <c r="S715" t="s">
        <v>74</v>
      </c>
      <c r="T715" t="s">
        <v>14038</v>
      </c>
      <c r="U715" t="s">
        <v>14039</v>
      </c>
      <c r="V715" t="s">
        <v>14040</v>
      </c>
      <c r="W715" t="s">
        <v>14041</v>
      </c>
      <c r="X715" t="s">
        <v>14042</v>
      </c>
      <c r="Y715" t="s">
        <v>14043</v>
      </c>
      <c r="Z715" t="s">
        <v>14044</v>
      </c>
      <c r="AA715" t="s">
        <v>14045</v>
      </c>
      <c r="AB715" t="s">
        <v>14046</v>
      </c>
      <c r="AC715" t="s">
        <v>14047</v>
      </c>
      <c r="AD715" t="s">
        <v>14048</v>
      </c>
      <c r="AE715" t="s">
        <v>14049</v>
      </c>
      <c r="AF715" t="s">
        <v>74</v>
      </c>
      <c r="AG715">
        <v>40</v>
      </c>
      <c r="AH715">
        <v>16</v>
      </c>
      <c r="AI715">
        <v>17</v>
      </c>
      <c r="AJ715">
        <v>0</v>
      </c>
      <c r="AK715">
        <v>11</v>
      </c>
      <c r="AL715" t="s">
        <v>603</v>
      </c>
      <c r="AM715" t="s">
        <v>604</v>
      </c>
      <c r="AN715" t="s">
        <v>605</v>
      </c>
      <c r="AO715" t="s">
        <v>74</v>
      </c>
      <c r="AP715" t="s">
        <v>2699</v>
      </c>
      <c r="AQ715" t="s">
        <v>74</v>
      </c>
      <c r="AR715" t="s">
        <v>2700</v>
      </c>
      <c r="AS715" t="s">
        <v>2701</v>
      </c>
      <c r="AT715" t="s">
        <v>14050</v>
      </c>
      <c r="AU715">
        <v>2021</v>
      </c>
      <c r="AV715">
        <v>8</v>
      </c>
      <c r="AW715" t="s">
        <v>74</v>
      </c>
      <c r="AX715" t="s">
        <v>74</v>
      </c>
      <c r="AY715" t="s">
        <v>74</v>
      </c>
      <c r="AZ715" t="s">
        <v>74</v>
      </c>
      <c r="BA715" t="s">
        <v>74</v>
      </c>
      <c r="BB715" t="s">
        <v>74</v>
      </c>
      <c r="BC715" t="s">
        <v>74</v>
      </c>
      <c r="BD715">
        <v>642040</v>
      </c>
      <c r="BE715" t="s">
        <v>14051</v>
      </c>
      <c r="BF715" t="str">
        <f>HYPERLINK("http://dx.doi.org/10.3389/fmars.2021.642040","http://dx.doi.org/10.3389/fmars.2021.642040")</f>
        <v>http://dx.doi.org/10.3389/fmars.2021.642040</v>
      </c>
      <c r="BG715" t="s">
        <v>74</v>
      </c>
      <c r="BH715" t="s">
        <v>74</v>
      </c>
      <c r="BI715">
        <v>11</v>
      </c>
      <c r="BJ715" t="s">
        <v>1646</v>
      </c>
      <c r="BK715" t="s">
        <v>101</v>
      </c>
      <c r="BL715" t="s">
        <v>710</v>
      </c>
      <c r="BM715" t="s">
        <v>14052</v>
      </c>
      <c r="BN715" t="s">
        <v>74</v>
      </c>
      <c r="BO715" t="s">
        <v>3593</v>
      </c>
      <c r="BP715" t="s">
        <v>74</v>
      </c>
      <c r="BQ715" t="s">
        <v>74</v>
      </c>
      <c r="BR715" t="s">
        <v>104</v>
      </c>
      <c r="BS715" t="s">
        <v>14053</v>
      </c>
      <c r="BT715" t="str">
        <f>HYPERLINK("https%3A%2F%2Fwww.webofscience.com%2Fwos%2Fwoscc%2Ffull-record%2FWOS:000623165500001","View Full Record in Web of Science")</f>
        <v>View Full Record in Web of Science</v>
      </c>
    </row>
    <row r="716" spans="1:72" x14ac:dyDescent="0.15">
      <c r="A716" t="s">
        <v>72</v>
      </c>
      <c r="B716" t="s">
        <v>14054</v>
      </c>
      <c r="C716" t="s">
        <v>74</v>
      </c>
      <c r="D716" t="s">
        <v>74</v>
      </c>
      <c r="E716" t="s">
        <v>74</v>
      </c>
      <c r="F716" t="s">
        <v>14055</v>
      </c>
      <c r="G716" t="s">
        <v>74</v>
      </c>
      <c r="H716" t="s">
        <v>74</v>
      </c>
      <c r="I716" t="s">
        <v>14056</v>
      </c>
      <c r="J716" t="s">
        <v>1761</v>
      </c>
      <c r="K716" t="s">
        <v>74</v>
      </c>
      <c r="L716" t="s">
        <v>74</v>
      </c>
      <c r="M716" t="s">
        <v>78</v>
      </c>
      <c r="N716" t="s">
        <v>79</v>
      </c>
      <c r="O716" t="s">
        <v>74</v>
      </c>
      <c r="P716" t="s">
        <v>74</v>
      </c>
      <c r="Q716" t="s">
        <v>74</v>
      </c>
      <c r="R716" t="s">
        <v>74</v>
      </c>
      <c r="S716" t="s">
        <v>74</v>
      </c>
      <c r="T716" t="s">
        <v>74</v>
      </c>
      <c r="U716" t="s">
        <v>14057</v>
      </c>
      <c r="V716" t="s">
        <v>14058</v>
      </c>
      <c r="W716" t="s">
        <v>14059</v>
      </c>
      <c r="X716" t="s">
        <v>14060</v>
      </c>
      <c r="Y716" t="s">
        <v>14061</v>
      </c>
      <c r="Z716" t="s">
        <v>14062</v>
      </c>
      <c r="AA716" t="s">
        <v>14063</v>
      </c>
      <c r="AB716" t="s">
        <v>14064</v>
      </c>
      <c r="AC716" t="s">
        <v>14065</v>
      </c>
      <c r="AD716" t="s">
        <v>14066</v>
      </c>
      <c r="AE716" t="s">
        <v>14067</v>
      </c>
      <c r="AF716" t="s">
        <v>74</v>
      </c>
      <c r="AG716">
        <v>61</v>
      </c>
      <c r="AH716">
        <v>12</v>
      </c>
      <c r="AI716">
        <v>13</v>
      </c>
      <c r="AJ716">
        <v>3</v>
      </c>
      <c r="AK716">
        <v>10</v>
      </c>
      <c r="AL716" t="s">
        <v>1269</v>
      </c>
      <c r="AM716" t="s">
        <v>1270</v>
      </c>
      <c r="AN716" t="s">
        <v>1271</v>
      </c>
      <c r="AO716" t="s">
        <v>1773</v>
      </c>
      <c r="AP716" t="s">
        <v>1774</v>
      </c>
      <c r="AQ716" t="s">
        <v>74</v>
      </c>
      <c r="AR716" t="s">
        <v>1761</v>
      </c>
      <c r="AS716" t="s">
        <v>1775</v>
      </c>
      <c r="AT716" t="s">
        <v>14050</v>
      </c>
      <c r="AU716">
        <v>2021</v>
      </c>
      <c r="AV716">
        <v>15</v>
      </c>
      <c r="AW716">
        <v>2</v>
      </c>
      <c r="AX716" t="s">
        <v>74</v>
      </c>
      <c r="AY716" t="s">
        <v>74</v>
      </c>
      <c r="AZ716" t="s">
        <v>74</v>
      </c>
      <c r="BA716" t="s">
        <v>74</v>
      </c>
      <c r="BB716">
        <v>695</v>
      </c>
      <c r="BC716">
        <v>714</v>
      </c>
      <c r="BD716" t="s">
        <v>74</v>
      </c>
      <c r="BE716" t="s">
        <v>14068</v>
      </c>
      <c r="BF716" t="str">
        <f>HYPERLINK("http://dx.doi.org/10.5194/tc-15-695-2021","http://dx.doi.org/10.5194/tc-15-695-2021")</f>
        <v>http://dx.doi.org/10.5194/tc-15-695-2021</v>
      </c>
      <c r="BG716" t="s">
        <v>74</v>
      </c>
      <c r="BH716" t="s">
        <v>74</v>
      </c>
      <c r="BI716">
        <v>20</v>
      </c>
      <c r="BJ716" t="s">
        <v>1685</v>
      </c>
      <c r="BK716" t="s">
        <v>101</v>
      </c>
      <c r="BL716" t="s">
        <v>1686</v>
      </c>
      <c r="BM716" t="s">
        <v>14069</v>
      </c>
      <c r="BN716" t="s">
        <v>74</v>
      </c>
      <c r="BO716" t="s">
        <v>14070</v>
      </c>
      <c r="BP716" t="s">
        <v>74</v>
      </c>
      <c r="BQ716" t="s">
        <v>74</v>
      </c>
      <c r="BR716" t="s">
        <v>104</v>
      </c>
      <c r="BS716" t="s">
        <v>14071</v>
      </c>
      <c r="BT716" t="str">
        <f>HYPERLINK("https%3A%2F%2Fwww.webofscience.com%2Fwos%2Fwoscc%2Ffull-record%2FWOS:000619837600001","View Full Record in Web of Science")</f>
        <v>View Full Record in Web of Science</v>
      </c>
    </row>
    <row r="717" spans="1:72" x14ac:dyDescent="0.15">
      <c r="A717" t="s">
        <v>72</v>
      </c>
      <c r="B717" t="s">
        <v>14072</v>
      </c>
      <c r="C717" t="s">
        <v>74</v>
      </c>
      <c r="D717" t="s">
        <v>74</v>
      </c>
      <c r="E717" t="s">
        <v>74</v>
      </c>
      <c r="F717" t="s">
        <v>14073</v>
      </c>
      <c r="G717" t="s">
        <v>74</v>
      </c>
      <c r="H717" t="s">
        <v>74</v>
      </c>
      <c r="I717" t="s">
        <v>14074</v>
      </c>
      <c r="J717" t="s">
        <v>14075</v>
      </c>
      <c r="K717" t="s">
        <v>74</v>
      </c>
      <c r="L717" t="s">
        <v>74</v>
      </c>
      <c r="M717" t="s">
        <v>78</v>
      </c>
      <c r="N717" t="s">
        <v>1074</v>
      </c>
      <c r="O717" t="s">
        <v>74</v>
      </c>
      <c r="P717" t="s">
        <v>74</v>
      </c>
      <c r="Q717" t="s">
        <v>74</v>
      </c>
      <c r="R717" t="s">
        <v>74</v>
      </c>
      <c r="S717" t="s">
        <v>74</v>
      </c>
      <c r="T717" t="s">
        <v>14076</v>
      </c>
      <c r="U717" t="s">
        <v>14077</v>
      </c>
      <c r="V717" t="s">
        <v>14078</v>
      </c>
      <c r="W717" t="s">
        <v>14079</v>
      </c>
      <c r="X717" t="s">
        <v>14080</v>
      </c>
      <c r="Y717" t="s">
        <v>14081</v>
      </c>
      <c r="Z717" t="s">
        <v>14082</v>
      </c>
      <c r="AA717" t="s">
        <v>14083</v>
      </c>
      <c r="AB717" t="s">
        <v>14084</v>
      </c>
      <c r="AC717" t="s">
        <v>74</v>
      </c>
      <c r="AD717" t="s">
        <v>74</v>
      </c>
      <c r="AE717" t="s">
        <v>74</v>
      </c>
      <c r="AF717" t="s">
        <v>74</v>
      </c>
      <c r="AG717">
        <v>67</v>
      </c>
      <c r="AH717">
        <v>3</v>
      </c>
      <c r="AI717">
        <v>5</v>
      </c>
      <c r="AJ717">
        <v>8</v>
      </c>
      <c r="AK717">
        <v>57</v>
      </c>
      <c r="AL717" t="s">
        <v>8404</v>
      </c>
      <c r="AM717" t="s">
        <v>8405</v>
      </c>
      <c r="AN717" t="s">
        <v>8406</v>
      </c>
      <c r="AO717" t="s">
        <v>14085</v>
      </c>
      <c r="AP717" t="s">
        <v>14086</v>
      </c>
      <c r="AQ717" t="s">
        <v>74</v>
      </c>
      <c r="AR717" t="s">
        <v>14087</v>
      </c>
      <c r="AS717" t="s">
        <v>14088</v>
      </c>
      <c r="AT717" t="s">
        <v>1809</v>
      </c>
      <c r="AU717">
        <v>2021</v>
      </c>
      <c r="AV717">
        <v>58</v>
      </c>
      <c r="AW717" t="s">
        <v>74</v>
      </c>
      <c r="AX717" t="s">
        <v>74</v>
      </c>
      <c r="AY717" t="s">
        <v>74</v>
      </c>
      <c r="AZ717" t="s">
        <v>74</v>
      </c>
      <c r="BA717" t="s">
        <v>74</v>
      </c>
      <c r="BB717" t="s">
        <v>74</v>
      </c>
      <c r="BC717" t="s">
        <v>74</v>
      </c>
      <c r="BD717">
        <v>126887</v>
      </c>
      <c r="BE717" t="s">
        <v>14089</v>
      </c>
      <c r="BF717" t="str">
        <f>HYPERLINK("http://dx.doi.org/10.1016/j.ufug.2020.126887","http://dx.doi.org/10.1016/j.ufug.2020.126887")</f>
        <v>http://dx.doi.org/10.1016/j.ufug.2020.126887</v>
      </c>
      <c r="BG717" t="s">
        <v>74</v>
      </c>
      <c r="BH717" t="s">
        <v>12028</v>
      </c>
      <c r="BI717">
        <v>12</v>
      </c>
      <c r="BJ717" t="s">
        <v>14090</v>
      </c>
      <c r="BK717" t="s">
        <v>1038</v>
      </c>
      <c r="BL717" t="s">
        <v>14091</v>
      </c>
      <c r="BM717" t="s">
        <v>14092</v>
      </c>
      <c r="BN717" t="s">
        <v>74</v>
      </c>
      <c r="BO717" t="s">
        <v>74</v>
      </c>
      <c r="BP717" t="s">
        <v>74</v>
      </c>
      <c r="BQ717" t="s">
        <v>74</v>
      </c>
      <c r="BR717" t="s">
        <v>104</v>
      </c>
      <c r="BS717" t="s">
        <v>14093</v>
      </c>
      <c r="BT717" t="str">
        <f>HYPERLINK("https%3A%2F%2Fwww.webofscience.com%2Fwos%2Fwoscc%2Ffull-record%2FWOS:000620655900009","View Full Record in Web of Science")</f>
        <v>View Full Record in Web of Science</v>
      </c>
    </row>
    <row r="718" spans="1:72" x14ac:dyDescent="0.15">
      <c r="A718" t="s">
        <v>72</v>
      </c>
      <c r="B718" t="s">
        <v>14094</v>
      </c>
      <c r="C718" t="s">
        <v>74</v>
      </c>
      <c r="D718" t="s">
        <v>74</v>
      </c>
      <c r="E718" t="s">
        <v>74</v>
      </c>
      <c r="F718" t="s">
        <v>14095</v>
      </c>
      <c r="G718" t="s">
        <v>74</v>
      </c>
      <c r="H718" t="s">
        <v>74</v>
      </c>
      <c r="I718" t="s">
        <v>14096</v>
      </c>
      <c r="J718" t="s">
        <v>3278</v>
      </c>
      <c r="K718" t="s">
        <v>74</v>
      </c>
      <c r="L718" t="s">
        <v>74</v>
      </c>
      <c r="M718" t="s">
        <v>78</v>
      </c>
      <c r="N718" t="s">
        <v>79</v>
      </c>
      <c r="O718" t="s">
        <v>74</v>
      </c>
      <c r="P718" t="s">
        <v>74</v>
      </c>
      <c r="Q718" t="s">
        <v>74</v>
      </c>
      <c r="R718" t="s">
        <v>74</v>
      </c>
      <c r="S718" t="s">
        <v>74</v>
      </c>
      <c r="T718" t="s">
        <v>74</v>
      </c>
      <c r="U718" t="s">
        <v>74</v>
      </c>
      <c r="V718" t="s">
        <v>14097</v>
      </c>
      <c r="W718" t="s">
        <v>14098</v>
      </c>
      <c r="X718" t="s">
        <v>14099</v>
      </c>
      <c r="Y718" t="s">
        <v>14100</v>
      </c>
      <c r="Z718" t="s">
        <v>14101</v>
      </c>
      <c r="AA718" t="s">
        <v>74</v>
      </c>
      <c r="AB718" t="s">
        <v>14102</v>
      </c>
      <c r="AC718" t="s">
        <v>14103</v>
      </c>
      <c r="AD718" t="s">
        <v>14104</v>
      </c>
      <c r="AE718" t="s">
        <v>14105</v>
      </c>
      <c r="AF718" t="s">
        <v>74</v>
      </c>
      <c r="AG718">
        <v>80</v>
      </c>
      <c r="AH718">
        <v>5</v>
      </c>
      <c r="AI718">
        <v>6</v>
      </c>
      <c r="AJ718">
        <v>7</v>
      </c>
      <c r="AK718">
        <v>27</v>
      </c>
      <c r="AL718" t="s">
        <v>3291</v>
      </c>
      <c r="AM718" t="s">
        <v>3292</v>
      </c>
      <c r="AN718" t="s">
        <v>3293</v>
      </c>
      <c r="AO718" t="s">
        <v>3294</v>
      </c>
      <c r="AP718" t="s">
        <v>3295</v>
      </c>
      <c r="AQ718" t="s">
        <v>74</v>
      </c>
      <c r="AR718" t="s">
        <v>3278</v>
      </c>
      <c r="AS718" t="s">
        <v>3296</v>
      </c>
      <c r="AT718" t="s">
        <v>1809</v>
      </c>
      <c r="AU718">
        <v>2021</v>
      </c>
      <c r="AV718">
        <v>25</v>
      </c>
      <c r="AW718">
        <v>2</v>
      </c>
      <c r="AX718" t="s">
        <v>74</v>
      </c>
      <c r="AY718" t="s">
        <v>74</v>
      </c>
      <c r="AZ718" t="s">
        <v>74</v>
      </c>
      <c r="BA718" t="s">
        <v>74</v>
      </c>
      <c r="BB718">
        <v>159</v>
      </c>
      <c r="BC718">
        <v>172</v>
      </c>
      <c r="BD718" t="s">
        <v>74</v>
      </c>
      <c r="BE718" t="s">
        <v>14106</v>
      </c>
      <c r="BF718" t="str">
        <f>HYPERLINK("http://dx.doi.org/10.1007/s00792-021-01218-z","http://dx.doi.org/10.1007/s00792-021-01218-z")</f>
        <v>http://dx.doi.org/10.1007/s00792-021-01218-z</v>
      </c>
      <c r="BG718" t="s">
        <v>74</v>
      </c>
      <c r="BH718" t="s">
        <v>12028</v>
      </c>
      <c r="BI718">
        <v>14</v>
      </c>
      <c r="BJ718" t="s">
        <v>3298</v>
      </c>
      <c r="BK718" t="s">
        <v>101</v>
      </c>
      <c r="BL718" t="s">
        <v>3298</v>
      </c>
      <c r="BM718" t="s">
        <v>10059</v>
      </c>
      <c r="BN718">
        <v>33590336</v>
      </c>
      <c r="BO718" t="s">
        <v>74</v>
      </c>
      <c r="BP718" t="s">
        <v>74</v>
      </c>
      <c r="BQ718" t="s">
        <v>74</v>
      </c>
      <c r="BR718" t="s">
        <v>104</v>
      </c>
      <c r="BS718" t="s">
        <v>14107</v>
      </c>
      <c r="BT718" t="str">
        <f>HYPERLINK("https%3A%2F%2Fwww.webofscience.com%2Fwos%2Fwoscc%2Ffull-record%2FWOS:000618156300001","View Full Record in Web of Science")</f>
        <v>View Full Record in Web of Science</v>
      </c>
    </row>
    <row r="719" spans="1:72" x14ac:dyDescent="0.15">
      <c r="A719" t="s">
        <v>72</v>
      </c>
      <c r="B719" t="s">
        <v>14108</v>
      </c>
      <c r="C719" t="s">
        <v>74</v>
      </c>
      <c r="D719" t="s">
        <v>74</v>
      </c>
      <c r="E719" t="s">
        <v>74</v>
      </c>
      <c r="F719" t="s">
        <v>14109</v>
      </c>
      <c r="G719" t="s">
        <v>74</v>
      </c>
      <c r="H719" t="s">
        <v>74</v>
      </c>
      <c r="I719" t="s">
        <v>14110</v>
      </c>
      <c r="J719" t="s">
        <v>14111</v>
      </c>
      <c r="K719" t="s">
        <v>74</v>
      </c>
      <c r="L719" t="s">
        <v>74</v>
      </c>
      <c r="M719" t="s">
        <v>78</v>
      </c>
      <c r="N719" t="s">
        <v>79</v>
      </c>
      <c r="O719" t="s">
        <v>74</v>
      </c>
      <c r="P719" t="s">
        <v>74</v>
      </c>
      <c r="Q719" t="s">
        <v>74</v>
      </c>
      <c r="R719" t="s">
        <v>74</v>
      </c>
      <c r="S719" t="s">
        <v>74</v>
      </c>
      <c r="T719" t="s">
        <v>14112</v>
      </c>
      <c r="U719" t="s">
        <v>74</v>
      </c>
      <c r="V719" t="s">
        <v>14113</v>
      </c>
      <c r="W719" t="s">
        <v>14114</v>
      </c>
      <c r="X719" t="s">
        <v>14115</v>
      </c>
      <c r="Y719" t="s">
        <v>14116</v>
      </c>
      <c r="Z719" t="s">
        <v>14117</v>
      </c>
      <c r="AA719" t="s">
        <v>74</v>
      </c>
      <c r="AB719" t="s">
        <v>74</v>
      </c>
      <c r="AC719" t="s">
        <v>74</v>
      </c>
      <c r="AD719" t="s">
        <v>74</v>
      </c>
      <c r="AE719" t="s">
        <v>74</v>
      </c>
      <c r="AF719" t="s">
        <v>74</v>
      </c>
      <c r="AG719">
        <v>53</v>
      </c>
      <c r="AH719">
        <v>1</v>
      </c>
      <c r="AI719">
        <v>1</v>
      </c>
      <c r="AJ719">
        <v>2</v>
      </c>
      <c r="AK719">
        <v>17</v>
      </c>
      <c r="AL719" t="s">
        <v>14118</v>
      </c>
      <c r="AM719" t="s">
        <v>2923</v>
      </c>
      <c r="AN719" t="s">
        <v>14119</v>
      </c>
      <c r="AO719" t="s">
        <v>14120</v>
      </c>
      <c r="AP719" t="s">
        <v>14121</v>
      </c>
      <c r="AQ719" t="s">
        <v>74</v>
      </c>
      <c r="AR719" t="s">
        <v>14122</v>
      </c>
      <c r="AS719" t="s">
        <v>14123</v>
      </c>
      <c r="AT719" t="s">
        <v>14124</v>
      </c>
      <c r="AU719">
        <v>2023</v>
      </c>
      <c r="AV719">
        <v>57</v>
      </c>
      <c r="AW719">
        <v>1</v>
      </c>
      <c r="AX719" t="s">
        <v>74</v>
      </c>
      <c r="AY719" t="s">
        <v>74</v>
      </c>
      <c r="AZ719" t="s">
        <v>74</v>
      </c>
      <c r="BA719" t="s">
        <v>74</v>
      </c>
      <c r="BB719">
        <v>170</v>
      </c>
      <c r="BC719">
        <v>183</v>
      </c>
      <c r="BD719" t="s">
        <v>74</v>
      </c>
      <c r="BE719" t="s">
        <v>14125</v>
      </c>
      <c r="BF719" t="str">
        <f>HYPERLINK("http://dx.doi.org/10.1080/00219266.2021.1877784","http://dx.doi.org/10.1080/00219266.2021.1877784")</f>
        <v>http://dx.doi.org/10.1080/00219266.2021.1877784</v>
      </c>
      <c r="BG719" t="s">
        <v>74</v>
      </c>
      <c r="BH719" t="s">
        <v>12028</v>
      </c>
      <c r="BI719">
        <v>14</v>
      </c>
      <c r="BJ719" t="s">
        <v>14126</v>
      </c>
      <c r="BK719" t="s">
        <v>1038</v>
      </c>
      <c r="BL719" t="s">
        <v>14127</v>
      </c>
      <c r="BM719" t="s">
        <v>14128</v>
      </c>
      <c r="BN719" t="s">
        <v>74</v>
      </c>
      <c r="BO719" t="s">
        <v>74</v>
      </c>
      <c r="BP719" t="s">
        <v>74</v>
      </c>
      <c r="BQ719" t="s">
        <v>74</v>
      </c>
      <c r="BR719" t="s">
        <v>104</v>
      </c>
      <c r="BS719" t="s">
        <v>14129</v>
      </c>
      <c r="BT719" t="str">
        <f>HYPERLINK("https%3A%2F%2Fwww.webofscience.com%2Fwos%2Fwoscc%2Ffull-record%2FWOS:000617966000001","View Full Record in Web of Science")</f>
        <v>View Full Record in Web of Science</v>
      </c>
    </row>
    <row r="720" spans="1:72" x14ac:dyDescent="0.15">
      <c r="A720" t="s">
        <v>72</v>
      </c>
      <c r="B720" t="s">
        <v>14130</v>
      </c>
      <c r="C720" t="s">
        <v>74</v>
      </c>
      <c r="D720" t="s">
        <v>74</v>
      </c>
      <c r="E720" t="s">
        <v>74</v>
      </c>
      <c r="F720" t="s">
        <v>14131</v>
      </c>
      <c r="G720" t="s">
        <v>74</v>
      </c>
      <c r="H720" t="s">
        <v>74</v>
      </c>
      <c r="I720" t="s">
        <v>14132</v>
      </c>
      <c r="J720" t="s">
        <v>14133</v>
      </c>
      <c r="K720" t="s">
        <v>74</v>
      </c>
      <c r="L720" t="s">
        <v>74</v>
      </c>
      <c r="M720" t="s">
        <v>78</v>
      </c>
      <c r="N720" t="s">
        <v>79</v>
      </c>
      <c r="O720" t="s">
        <v>74</v>
      </c>
      <c r="P720" t="s">
        <v>74</v>
      </c>
      <c r="Q720" t="s">
        <v>74</v>
      </c>
      <c r="R720" t="s">
        <v>74</v>
      </c>
      <c r="S720" t="s">
        <v>74</v>
      </c>
      <c r="T720" t="s">
        <v>14134</v>
      </c>
      <c r="U720" t="s">
        <v>14135</v>
      </c>
      <c r="V720" t="s">
        <v>14136</v>
      </c>
      <c r="W720" t="s">
        <v>14137</v>
      </c>
      <c r="X720" t="s">
        <v>14138</v>
      </c>
      <c r="Y720" t="s">
        <v>14139</v>
      </c>
      <c r="Z720" t="s">
        <v>14140</v>
      </c>
      <c r="AA720" t="s">
        <v>14141</v>
      </c>
      <c r="AB720" t="s">
        <v>14142</v>
      </c>
      <c r="AC720" t="s">
        <v>74</v>
      </c>
      <c r="AD720" t="s">
        <v>74</v>
      </c>
      <c r="AE720" t="s">
        <v>74</v>
      </c>
      <c r="AF720" t="s">
        <v>74</v>
      </c>
      <c r="AG720">
        <v>63</v>
      </c>
      <c r="AH720">
        <v>8</v>
      </c>
      <c r="AI720">
        <v>10</v>
      </c>
      <c r="AJ720">
        <v>1</v>
      </c>
      <c r="AK720">
        <v>20</v>
      </c>
      <c r="AL720" t="s">
        <v>795</v>
      </c>
      <c r="AM720" t="s">
        <v>796</v>
      </c>
      <c r="AN720" t="s">
        <v>797</v>
      </c>
      <c r="AO720" t="s">
        <v>14143</v>
      </c>
      <c r="AP720" t="s">
        <v>14144</v>
      </c>
      <c r="AQ720" t="s">
        <v>74</v>
      </c>
      <c r="AR720" t="s">
        <v>14145</v>
      </c>
      <c r="AS720" t="s">
        <v>14146</v>
      </c>
      <c r="AT720" t="s">
        <v>1364</v>
      </c>
      <c r="AU720">
        <v>2021</v>
      </c>
      <c r="AV720">
        <v>24</v>
      </c>
      <c r="AW720">
        <v>4</v>
      </c>
      <c r="AX720" t="s">
        <v>74</v>
      </c>
      <c r="AY720" t="s">
        <v>74</v>
      </c>
      <c r="AZ720" t="s">
        <v>74</v>
      </c>
      <c r="BA720" t="s">
        <v>74</v>
      </c>
      <c r="BB720">
        <v>637</v>
      </c>
      <c r="BC720">
        <v>645</v>
      </c>
      <c r="BD720" t="s">
        <v>74</v>
      </c>
      <c r="BE720" t="s">
        <v>14147</v>
      </c>
      <c r="BF720" t="str">
        <f>HYPERLINK("http://dx.doi.org/10.1111/acv.12670","http://dx.doi.org/10.1111/acv.12670")</f>
        <v>http://dx.doi.org/10.1111/acv.12670</v>
      </c>
      <c r="BG720" t="s">
        <v>74</v>
      </c>
      <c r="BH720" t="s">
        <v>12028</v>
      </c>
      <c r="BI720">
        <v>9</v>
      </c>
      <c r="BJ720" t="s">
        <v>1438</v>
      </c>
      <c r="BK720" t="s">
        <v>101</v>
      </c>
      <c r="BL720" t="s">
        <v>1439</v>
      </c>
      <c r="BM720" t="s">
        <v>14148</v>
      </c>
      <c r="BN720" t="s">
        <v>74</v>
      </c>
      <c r="BO720" t="s">
        <v>496</v>
      </c>
      <c r="BP720" t="s">
        <v>74</v>
      </c>
      <c r="BQ720" t="s">
        <v>74</v>
      </c>
      <c r="BR720" t="s">
        <v>104</v>
      </c>
      <c r="BS720" t="s">
        <v>14149</v>
      </c>
      <c r="BT720" t="str">
        <f>HYPERLINK("https%3A%2F%2Fwww.webofscience.com%2Fwos%2Fwoscc%2Ffull-record%2FWOS:000617905100001","View Full Record in Web of Science")</f>
        <v>View Full Record in Web of Science</v>
      </c>
    </row>
    <row r="721" spans="1:72" x14ac:dyDescent="0.15">
      <c r="A721" t="s">
        <v>72</v>
      </c>
      <c r="B721" t="s">
        <v>14150</v>
      </c>
      <c r="C721" t="s">
        <v>74</v>
      </c>
      <c r="D721" t="s">
        <v>74</v>
      </c>
      <c r="E721" t="s">
        <v>74</v>
      </c>
      <c r="F721" t="s">
        <v>14151</v>
      </c>
      <c r="G721" t="s">
        <v>74</v>
      </c>
      <c r="H721" t="s">
        <v>74</v>
      </c>
      <c r="I721" t="s">
        <v>14152</v>
      </c>
      <c r="J721" t="s">
        <v>1980</v>
      </c>
      <c r="K721" t="s">
        <v>74</v>
      </c>
      <c r="L721" t="s">
        <v>74</v>
      </c>
      <c r="M721" t="s">
        <v>78</v>
      </c>
      <c r="N721" t="s">
        <v>79</v>
      </c>
      <c r="O721" t="s">
        <v>74</v>
      </c>
      <c r="P721" t="s">
        <v>74</v>
      </c>
      <c r="Q721" t="s">
        <v>74</v>
      </c>
      <c r="R721" t="s">
        <v>74</v>
      </c>
      <c r="S721" t="s">
        <v>74</v>
      </c>
      <c r="T721" t="s">
        <v>74</v>
      </c>
      <c r="U721" t="s">
        <v>74</v>
      </c>
      <c r="V721" t="s">
        <v>14153</v>
      </c>
      <c r="W721" t="s">
        <v>14154</v>
      </c>
      <c r="X721" t="s">
        <v>14155</v>
      </c>
      <c r="Y721" t="s">
        <v>14156</v>
      </c>
      <c r="Z721" t="s">
        <v>7019</v>
      </c>
      <c r="AA721" t="s">
        <v>14157</v>
      </c>
      <c r="AB721" t="s">
        <v>14158</v>
      </c>
      <c r="AC721" t="s">
        <v>14159</v>
      </c>
      <c r="AD721" t="s">
        <v>14160</v>
      </c>
      <c r="AE721" t="s">
        <v>14161</v>
      </c>
      <c r="AF721" t="s">
        <v>74</v>
      </c>
      <c r="AG721">
        <v>32</v>
      </c>
      <c r="AH721">
        <v>6</v>
      </c>
      <c r="AI721">
        <v>6</v>
      </c>
      <c r="AJ721">
        <v>0</v>
      </c>
      <c r="AK721">
        <v>2</v>
      </c>
      <c r="AL721" t="s">
        <v>1269</v>
      </c>
      <c r="AM721" t="s">
        <v>1270</v>
      </c>
      <c r="AN721" t="s">
        <v>1271</v>
      </c>
      <c r="AO721" t="s">
        <v>1992</v>
      </c>
      <c r="AP721" t="s">
        <v>1993</v>
      </c>
      <c r="AQ721" t="s">
        <v>74</v>
      </c>
      <c r="AR721" t="s">
        <v>1994</v>
      </c>
      <c r="AS721" t="s">
        <v>1995</v>
      </c>
      <c r="AT721" t="s">
        <v>14050</v>
      </c>
      <c r="AU721">
        <v>2021</v>
      </c>
      <c r="AV721">
        <v>21</v>
      </c>
      <c r="AW721">
        <v>3</v>
      </c>
      <c r="AX721" t="s">
        <v>74</v>
      </c>
      <c r="AY721" t="s">
        <v>74</v>
      </c>
      <c r="AZ721" t="s">
        <v>74</v>
      </c>
      <c r="BA721" t="s">
        <v>74</v>
      </c>
      <c r="BB721">
        <v>2165</v>
      </c>
      <c r="BC721">
        <v>2178</v>
      </c>
      <c r="BD721" t="s">
        <v>74</v>
      </c>
      <c r="BE721" t="s">
        <v>14162</v>
      </c>
      <c r="BF721" t="str">
        <f>HYPERLINK("http://dx.doi.org/10.5194/acp-21-2165-2021","http://dx.doi.org/10.5194/acp-21-2165-2021")</f>
        <v>http://dx.doi.org/10.5194/acp-21-2165-2021</v>
      </c>
      <c r="BG721" t="s">
        <v>74</v>
      </c>
      <c r="BH721" t="s">
        <v>74</v>
      </c>
      <c r="BI721">
        <v>14</v>
      </c>
      <c r="BJ721" t="s">
        <v>199</v>
      </c>
      <c r="BK721" t="s">
        <v>101</v>
      </c>
      <c r="BL721" t="s">
        <v>200</v>
      </c>
      <c r="BM721" t="s">
        <v>14163</v>
      </c>
      <c r="BN721" t="s">
        <v>74</v>
      </c>
      <c r="BO721" t="s">
        <v>1779</v>
      </c>
      <c r="BP721" t="s">
        <v>74</v>
      </c>
      <c r="BQ721" t="s">
        <v>74</v>
      </c>
      <c r="BR721" t="s">
        <v>104</v>
      </c>
      <c r="BS721" t="s">
        <v>14164</v>
      </c>
      <c r="BT721" t="str">
        <f>HYPERLINK("https%3A%2F%2Fwww.webofscience.com%2Fwos%2Fwoscc%2Ffull-record%2FWOS:000619828400001","View Full Record in Web of Science")</f>
        <v>View Full Record in Web of Science</v>
      </c>
    </row>
    <row r="722" spans="1:72" x14ac:dyDescent="0.15">
      <c r="A722" t="s">
        <v>72</v>
      </c>
      <c r="B722" t="s">
        <v>14165</v>
      </c>
      <c r="C722" t="s">
        <v>74</v>
      </c>
      <c r="D722" t="s">
        <v>74</v>
      </c>
      <c r="E722" t="s">
        <v>74</v>
      </c>
      <c r="F722" t="s">
        <v>14166</v>
      </c>
      <c r="G722" t="s">
        <v>74</v>
      </c>
      <c r="H722" t="s">
        <v>74</v>
      </c>
      <c r="I722" t="s">
        <v>14167</v>
      </c>
      <c r="J722" t="s">
        <v>2779</v>
      </c>
      <c r="K722" t="s">
        <v>74</v>
      </c>
      <c r="L722" t="s">
        <v>74</v>
      </c>
      <c r="M722" t="s">
        <v>78</v>
      </c>
      <c r="N722" t="s">
        <v>79</v>
      </c>
      <c r="O722" t="s">
        <v>74</v>
      </c>
      <c r="P722" t="s">
        <v>74</v>
      </c>
      <c r="Q722" t="s">
        <v>74</v>
      </c>
      <c r="R722" t="s">
        <v>74</v>
      </c>
      <c r="S722" t="s">
        <v>74</v>
      </c>
      <c r="T722" t="s">
        <v>14168</v>
      </c>
      <c r="U722" t="s">
        <v>14169</v>
      </c>
      <c r="V722" t="s">
        <v>14170</v>
      </c>
      <c r="W722" t="s">
        <v>14171</v>
      </c>
      <c r="X722" t="s">
        <v>5506</v>
      </c>
      <c r="Y722" t="s">
        <v>14172</v>
      </c>
      <c r="Z722" t="s">
        <v>14173</v>
      </c>
      <c r="AA722" t="s">
        <v>14174</v>
      </c>
      <c r="AB722" t="s">
        <v>14175</v>
      </c>
      <c r="AC722" t="s">
        <v>14176</v>
      </c>
      <c r="AD722" t="s">
        <v>14177</v>
      </c>
      <c r="AE722" t="s">
        <v>14178</v>
      </c>
      <c r="AF722" t="s">
        <v>74</v>
      </c>
      <c r="AG722">
        <v>121</v>
      </c>
      <c r="AH722">
        <v>7</v>
      </c>
      <c r="AI722">
        <v>8</v>
      </c>
      <c r="AJ722">
        <v>1</v>
      </c>
      <c r="AK722">
        <v>11</v>
      </c>
      <c r="AL722" t="s">
        <v>576</v>
      </c>
      <c r="AM722" t="s">
        <v>577</v>
      </c>
      <c r="AN722" t="s">
        <v>578</v>
      </c>
      <c r="AO722" t="s">
        <v>2791</v>
      </c>
      <c r="AP722" t="s">
        <v>2792</v>
      </c>
      <c r="AQ722" t="s">
        <v>74</v>
      </c>
      <c r="AR722" t="s">
        <v>2779</v>
      </c>
      <c r="AS722" t="s">
        <v>2793</v>
      </c>
      <c r="AT722" t="s">
        <v>14050</v>
      </c>
      <c r="AU722">
        <v>2021</v>
      </c>
      <c r="AV722">
        <v>532</v>
      </c>
      <c r="AW722" t="s">
        <v>74</v>
      </c>
      <c r="AX722" t="s">
        <v>74</v>
      </c>
      <c r="AY722" t="s">
        <v>74</v>
      </c>
      <c r="AZ722" t="s">
        <v>74</v>
      </c>
      <c r="BA722" t="s">
        <v>74</v>
      </c>
      <c r="BB722" t="s">
        <v>74</v>
      </c>
      <c r="BC722" t="s">
        <v>74</v>
      </c>
      <c r="BD722">
        <v>736021</v>
      </c>
      <c r="BE722" t="s">
        <v>14179</v>
      </c>
      <c r="BF722" t="str">
        <f>HYPERLINK("http://dx.doi.org/10.1016/j.aquaculture.2020.736021","http://dx.doi.org/10.1016/j.aquaculture.2020.736021")</f>
        <v>http://dx.doi.org/10.1016/j.aquaculture.2020.736021</v>
      </c>
      <c r="BG722" t="s">
        <v>74</v>
      </c>
      <c r="BH722" t="s">
        <v>74</v>
      </c>
      <c r="BI722">
        <v>11</v>
      </c>
      <c r="BJ722" t="s">
        <v>1811</v>
      </c>
      <c r="BK722" t="s">
        <v>101</v>
      </c>
      <c r="BL722" t="s">
        <v>1811</v>
      </c>
      <c r="BM722" t="s">
        <v>14180</v>
      </c>
      <c r="BN722" t="s">
        <v>74</v>
      </c>
      <c r="BO722" t="s">
        <v>74</v>
      </c>
      <c r="BP722" t="s">
        <v>74</v>
      </c>
      <c r="BQ722" t="s">
        <v>74</v>
      </c>
      <c r="BR722" t="s">
        <v>104</v>
      </c>
      <c r="BS722" t="s">
        <v>14181</v>
      </c>
      <c r="BT722" t="str">
        <f>HYPERLINK("https%3A%2F%2Fwww.webofscience.com%2Fwos%2Fwoscc%2Ffull-record%2FWOS:000600429200014","View Full Record in Web of Science")</f>
        <v>View Full Record in Web of Science</v>
      </c>
    </row>
    <row r="723" spans="1:72" x14ac:dyDescent="0.15">
      <c r="A723" t="s">
        <v>72</v>
      </c>
      <c r="B723" t="s">
        <v>14182</v>
      </c>
      <c r="C723" t="s">
        <v>74</v>
      </c>
      <c r="D723" t="s">
        <v>74</v>
      </c>
      <c r="E723" t="s">
        <v>74</v>
      </c>
      <c r="F723" t="s">
        <v>14183</v>
      </c>
      <c r="G723" t="s">
        <v>74</v>
      </c>
      <c r="H723" t="s">
        <v>74</v>
      </c>
      <c r="I723" t="s">
        <v>14184</v>
      </c>
      <c r="J723" t="s">
        <v>8653</v>
      </c>
      <c r="K723" t="s">
        <v>74</v>
      </c>
      <c r="L723" t="s">
        <v>74</v>
      </c>
      <c r="M723" t="s">
        <v>78</v>
      </c>
      <c r="N723" t="s">
        <v>79</v>
      </c>
      <c r="O723" t="s">
        <v>74</v>
      </c>
      <c r="P723" t="s">
        <v>74</v>
      </c>
      <c r="Q723" t="s">
        <v>74</v>
      </c>
      <c r="R723" t="s">
        <v>74</v>
      </c>
      <c r="S723" t="s">
        <v>74</v>
      </c>
      <c r="T723" t="s">
        <v>14185</v>
      </c>
      <c r="U723" t="s">
        <v>14186</v>
      </c>
      <c r="V723" t="s">
        <v>14187</v>
      </c>
      <c r="W723" t="s">
        <v>14188</v>
      </c>
      <c r="X723" t="s">
        <v>14189</v>
      </c>
      <c r="Y723" t="s">
        <v>14190</v>
      </c>
      <c r="Z723" t="s">
        <v>14191</v>
      </c>
      <c r="AA723" t="s">
        <v>74</v>
      </c>
      <c r="AB723" t="s">
        <v>74</v>
      </c>
      <c r="AC723" t="s">
        <v>14192</v>
      </c>
      <c r="AD723" t="s">
        <v>511</v>
      </c>
      <c r="AE723" t="s">
        <v>14193</v>
      </c>
      <c r="AF723" t="s">
        <v>74</v>
      </c>
      <c r="AG723">
        <v>40</v>
      </c>
      <c r="AH723">
        <v>25</v>
      </c>
      <c r="AI723">
        <v>29</v>
      </c>
      <c r="AJ723">
        <v>7</v>
      </c>
      <c r="AK723">
        <v>98</v>
      </c>
      <c r="AL723" t="s">
        <v>890</v>
      </c>
      <c r="AM723" t="s">
        <v>891</v>
      </c>
      <c r="AN723" t="s">
        <v>892</v>
      </c>
      <c r="AO723" t="s">
        <v>8665</v>
      </c>
      <c r="AP723" t="s">
        <v>8666</v>
      </c>
      <c r="AQ723" t="s">
        <v>74</v>
      </c>
      <c r="AR723" t="s">
        <v>8667</v>
      </c>
      <c r="AS723" t="s">
        <v>8668</v>
      </c>
      <c r="AT723" t="s">
        <v>14050</v>
      </c>
      <c r="AU723">
        <v>2021</v>
      </c>
      <c r="AV723">
        <v>338</v>
      </c>
      <c r="AW723" t="s">
        <v>74</v>
      </c>
      <c r="AX723" t="s">
        <v>74</v>
      </c>
      <c r="AY723" t="s">
        <v>74</v>
      </c>
      <c r="AZ723" t="s">
        <v>74</v>
      </c>
      <c r="BA723" t="s">
        <v>74</v>
      </c>
      <c r="BB723" t="s">
        <v>74</v>
      </c>
      <c r="BC723" t="s">
        <v>74</v>
      </c>
      <c r="BD723">
        <v>128089</v>
      </c>
      <c r="BE723" t="s">
        <v>14194</v>
      </c>
      <c r="BF723" t="str">
        <f>HYPERLINK("http://dx.doi.org/10.1016/j.foodchem.2020.128089","http://dx.doi.org/10.1016/j.foodchem.2020.128089")</f>
        <v>http://dx.doi.org/10.1016/j.foodchem.2020.128089</v>
      </c>
      <c r="BG723" t="s">
        <v>74</v>
      </c>
      <c r="BH723" t="s">
        <v>74</v>
      </c>
      <c r="BI723">
        <v>9</v>
      </c>
      <c r="BJ723" t="s">
        <v>8670</v>
      </c>
      <c r="BK723" t="s">
        <v>101</v>
      </c>
      <c r="BL723" t="s">
        <v>8671</v>
      </c>
      <c r="BM723" t="s">
        <v>14195</v>
      </c>
      <c r="BN723">
        <v>33091980</v>
      </c>
      <c r="BO723" t="s">
        <v>74</v>
      </c>
      <c r="BP723" t="s">
        <v>74</v>
      </c>
      <c r="BQ723" t="s">
        <v>74</v>
      </c>
      <c r="BR723" t="s">
        <v>104</v>
      </c>
      <c r="BS723" t="s">
        <v>14196</v>
      </c>
      <c r="BT723" t="str">
        <f>HYPERLINK("https%3A%2F%2Fwww.webofscience.com%2Fwos%2Fwoscc%2Ffull-record%2FWOS:000580559700016","View Full Record in Web of Science")</f>
        <v>View Full Record in Web of Science</v>
      </c>
    </row>
    <row r="724" spans="1:72" x14ac:dyDescent="0.15">
      <c r="A724" t="s">
        <v>72</v>
      </c>
      <c r="B724" t="s">
        <v>14197</v>
      </c>
      <c r="C724" t="s">
        <v>74</v>
      </c>
      <c r="D724" t="s">
        <v>74</v>
      </c>
      <c r="E724" t="s">
        <v>74</v>
      </c>
      <c r="F724" t="s">
        <v>14198</v>
      </c>
      <c r="G724" t="s">
        <v>74</v>
      </c>
      <c r="H724" t="s">
        <v>74</v>
      </c>
      <c r="I724" t="s">
        <v>14199</v>
      </c>
      <c r="J724" t="s">
        <v>877</v>
      </c>
      <c r="K724" t="s">
        <v>74</v>
      </c>
      <c r="L724" t="s">
        <v>74</v>
      </c>
      <c r="M724" t="s">
        <v>78</v>
      </c>
      <c r="N724" t="s">
        <v>79</v>
      </c>
      <c r="O724" t="s">
        <v>74</v>
      </c>
      <c r="P724" t="s">
        <v>74</v>
      </c>
      <c r="Q724" t="s">
        <v>74</v>
      </c>
      <c r="R724" t="s">
        <v>74</v>
      </c>
      <c r="S724" t="s">
        <v>74</v>
      </c>
      <c r="T724" t="s">
        <v>14200</v>
      </c>
      <c r="U724" t="s">
        <v>14201</v>
      </c>
      <c r="V724" t="s">
        <v>14202</v>
      </c>
      <c r="W724" t="s">
        <v>14203</v>
      </c>
      <c r="X724" t="s">
        <v>14204</v>
      </c>
      <c r="Y724" t="s">
        <v>14205</v>
      </c>
      <c r="Z724" t="s">
        <v>14206</v>
      </c>
      <c r="AA724" t="s">
        <v>14207</v>
      </c>
      <c r="AB724" t="s">
        <v>14208</v>
      </c>
      <c r="AC724" t="s">
        <v>14209</v>
      </c>
      <c r="AD724" t="s">
        <v>14210</v>
      </c>
      <c r="AE724" t="s">
        <v>14211</v>
      </c>
      <c r="AF724" t="s">
        <v>74</v>
      </c>
      <c r="AG724">
        <v>72</v>
      </c>
      <c r="AH724">
        <v>3</v>
      </c>
      <c r="AI724">
        <v>3</v>
      </c>
      <c r="AJ724">
        <v>1</v>
      </c>
      <c r="AK724">
        <v>29</v>
      </c>
      <c r="AL724" t="s">
        <v>890</v>
      </c>
      <c r="AM724" t="s">
        <v>891</v>
      </c>
      <c r="AN724" t="s">
        <v>892</v>
      </c>
      <c r="AO724" t="s">
        <v>893</v>
      </c>
      <c r="AP724" t="s">
        <v>894</v>
      </c>
      <c r="AQ724" t="s">
        <v>74</v>
      </c>
      <c r="AR724" t="s">
        <v>895</v>
      </c>
      <c r="AS724" t="s">
        <v>896</v>
      </c>
      <c r="AT724" t="s">
        <v>2506</v>
      </c>
      <c r="AU724">
        <v>2021</v>
      </c>
      <c r="AV724">
        <v>275</v>
      </c>
      <c r="AW724" t="s">
        <v>74</v>
      </c>
      <c r="AX724" t="s">
        <v>74</v>
      </c>
      <c r="AY724" t="s">
        <v>74</v>
      </c>
      <c r="AZ724" t="s">
        <v>74</v>
      </c>
      <c r="BA724" t="s">
        <v>74</v>
      </c>
      <c r="BB724" t="s">
        <v>74</v>
      </c>
      <c r="BC724" t="s">
        <v>74</v>
      </c>
      <c r="BD724">
        <v>116590</v>
      </c>
      <c r="BE724" t="s">
        <v>14212</v>
      </c>
      <c r="BF724" t="str">
        <f>HYPERLINK("http://dx.doi.org/10.1016/j.envpol.2021.116590","http://dx.doi.org/10.1016/j.envpol.2021.116590")</f>
        <v>http://dx.doi.org/10.1016/j.envpol.2021.116590</v>
      </c>
      <c r="BG724" t="s">
        <v>74</v>
      </c>
      <c r="BH724" t="s">
        <v>12028</v>
      </c>
      <c r="BI724">
        <v>10</v>
      </c>
      <c r="BJ724" t="s">
        <v>224</v>
      </c>
      <c r="BK724" t="s">
        <v>101</v>
      </c>
      <c r="BL724" t="s">
        <v>225</v>
      </c>
      <c r="BM724" t="s">
        <v>14213</v>
      </c>
      <c r="BN724">
        <v>33582630</v>
      </c>
      <c r="BO724" t="s">
        <v>74</v>
      </c>
      <c r="BP724" t="s">
        <v>74</v>
      </c>
      <c r="BQ724" t="s">
        <v>74</v>
      </c>
      <c r="BR724" t="s">
        <v>104</v>
      </c>
      <c r="BS724" t="s">
        <v>14214</v>
      </c>
      <c r="BT724" t="str">
        <f>HYPERLINK("https%3A%2F%2Fwww.webofscience.com%2Fwos%2Fwoscc%2Ffull-record%2FWOS:000625380600021","View Full Record in Web of Science")</f>
        <v>View Full Record in Web of Science</v>
      </c>
    </row>
    <row r="725" spans="1:72" x14ac:dyDescent="0.15">
      <c r="A725" t="s">
        <v>72</v>
      </c>
      <c r="B725" t="s">
        <v>14215</v>
      </c>
      <c r="C725" t="s">
        <v>74</v>
      </c>
      <c r="D725" t="s">
        <v>74</v>
      </c>
      <c r="E725" t="s">
        <v>74</v>
      </c>
      <c r="F725" t="s">
        <v>14216</v>
      </c>
      <c r="G725" t="s">
        <v>74</v>
      </c>
      <c r="H725" t="s">
        <v>74</v>
      </c>
      <c r="I725" t="s">
        <v>14217</v>
      </c>
      <c r="J725" t="s">
        <v>14218</v>
      </c>
      <c r="K725" t="s">
        <v>74</v>
      </c>
      <c r="L725" t="s">
        <v>74</v>
      </c>
      <c r="M725" t="s">
        <v>78</v>
      </c>
      <c r="N725" t="s">
        <v>79</v>
      </c>
      <c r="O725" t="s">
        <v>74</v>
      </c>
      <c r="P725" t="s">
        <v>74</v>
      </c>
      <c r="Q725" t="s">
        <v>74</v>
      </c>
      <c r="R725" t="s">
        <v>74</v>
      </c>
      <c r="S725" t="s">
        <v>74</v>
      </c>
      <c r="T725" t="s">
        <v>74</v>
      </c>
      <c r="U725" t="s">
        <v>74</v>
      </c>
      <c r="V725" t="s">
        <v>14219</v>
      </c>
      <c r="W725" t="s">
        <v>14220</v>
      </c>
      <c r="X725" t="s">
        <v>14221</v>
      </c>
      <c r="Y725" t="s">
        <v>14222</v>
      </c>
      <c r="Z725" t="s">
        <v>14223</v>
      </c>
      <c r="AA725" t="s">
        <v>14224</v>
      </c>
      <c r="AB725" t="s">
        <v>14225</v>
      </c>
      <c r="AC725" t="s">
        <v>14226</v>
      </c>
      <c r="AD725" t="s">
        <v>14226</v>
      </c>
      <c r="AE725" t="s">
        <v>14227</v>
      </c>
      <c r="AF725" t="s">
        <v>74</v>
      </c>
      <c r="AG725">
        <v>75</v>
      </c>
      <c r="AH725">
        <v>19</v>
      </c>
      <c r="AI725">
        <v>21</v>
      </c>
      <c r="AJ725">
        <v>0</v>
      </c>
      <c r="AK725">
        <v>26</v>
      </c>
      <c r="AL725" t="s">
        <v>795</v>
      </c>
      <c r="AM725" t="s">
        <v>796</v>
      </c>
      <c r="AN725" t="s">
        <v>797</v>
      </c>
      <c r="AO725" t="s">
        <v>14228</v>
      </c>
      <c r="AP725" t="s">
        <v>14229</v>
      </c>
      <c r="AQ725" t="s">
        <v>74</v>
      </c>
      <c r="AR725" t="s">
        <v>14230</v>
      </c>
      <c r="AS725" t="s">
        <v>14231</v>
      </c>
      <c r="AT725" t="s">
        <v>1035</v>
      </c>
      <c r="AU725">
        <v>2021</v>
      </c>
      <c r="AV725">
        <v>23</v>
      </c>
      <c r="AW725">
        <v>7</v>
      </c>
      <c r="AX725" t="s">
        <v>74</v>
      </c>
      <c r="AY725" t="s">
        <v>74</v>
      </c>
      <c r="AZ725" t="s">
        <v>74</v>
      </c>
      <c r="BA725" t="s">
        <v>74</v>
      </c>
      <c r="BB725">
        <v>4002</v>
      </c>
      <c r="BC725">
        <v>4016</v>
      </c>
      <c r="BD725" t="s">
        <v>74</v>
      </c>
      <c r="BE725" t="s">
        <v>14232</v>
      </c>
      <c r="BF725" t="str">
        <f>HYPERLINK("http://dx.doi.org/10.1111/1462-2920.15419","http://dx.doi.org/10.1111/1462-2920.15419")</f>
        <v>http://dx.doi.org/10.1111/1462-2920.15419</v>
      </c>
      <c r="BG725" t="s">
        <v>74</v>
      </c>
      <c r="BH725" t="s">
        <v>12028</v>
      </c>
      <c r="BI725">
        <v>15</v>
      </c>
      <c r="BJ725" t="s">
        <v>396</v>
      </c>
      <c r="BK725" t="s">
        <v>101</v>
      </c>
      <c r="BL725" t="s">
        <v>396</v>
      </c>
      <c r="BM725" t="s">
        <v>14233</v>
      </c>
      <c r="BN725">
        <v>33538384</v>
      </c>
      <c r="BO725" t="s">
        <v>74</v>
      </c>
      <c r="BP725" t="s">
        <v>74</v>
      </c>
      <c r="BQ725" t="s">
        <v>74</v>
      </c>
      <c r="BR725" t="s">
        <v>104</v>
      </c>
      <c r="BS725" t="s">
        <v>14234</v>
      </c>
      <c r="BT725" t="str">
        <f>HYPERLINK("https%3A%2F%2Fwww.webofscience.com%2Fwos%2Fwoscc%2Ffull-record%2FWOS:000617794200001","View Full Record in Web of Science")</f>
        <v>View Full Record in Web of Science</v>
      </c>
    </row>
    <row r="726" spans="1:72" x14ac:dyDescent="0.15">
      <c r="A726" t="s">
        <v>72</v>
      </c>
      <c r="B726" t="s">
        <v>14235</v>
      </c>
      <c r="C726" t="s">
        <v>74</v>
      </c>
      <c r="D726" t="s">
        <v>74</v>
      </c>
      <c r="E726" t="s">
        <v>74</v>
      </c>
      <c r="F726" t="s">
        <v>14236</v>
      </c>
      <c r="G726" t="s">
        <v>74</v>
      </c>
      <c r="H726" t="s">
        <v>74</v>
      </c>
      <c r="I726" t="s">
        <v>14237</v>
      </c>
      <c r="J726" t="s">
        <v>3228</v>
      </c>
      <c r="K726" t="s">
        <v>74</v>
      </c>
      <c r="L726" t="s">
        <v>74</v>
      </c>
      <c r="M726" t="s">
        <v>78</v>
      </c>
      <c r="N726" t="s">
        <v>79</v>
      </c>
      <c r="O726" t="s">
        <v>74</v>
      </c>
      <c r="P726" t="s">
        <v>74</v>
      </c>
      <c r="Q726" t="s">
        <v>74</v>
      </c>
      <c r="R726" t="s">
        <v>74</v>
      </c>
      <c r="S726" t="s">
        <v>74</v>
      </c>
      <c r="T726" t="s">
        <v>14238</v>
      </c>
      <c r="U726" t="s">
        <v>74</v>
      </c>
      <c r="V726" t="s">
        <v>14239</v>
      </c>
      <c r="W726" t="s">
        <v>14240</v>
      </c>
      <c r="X726" t="s">
        <v>14241</v>
      </c>
      <c r="Y726" t="s">
        <v>14242</v>
      </c>
      <c r="Z726" t="s">
        <v>14243</v>
      </c>
      <c r="AA726" t="s">
        <v>14244</v>
      </c>
      <c r="AB726" t="s">
        <v>14245</v>
      </c>
      <c r="AC726" t="s">
        <v>74</v>
      </c>
      <c r="AD726" t="s">
        <v>74</v>
      </c>
      <c r="AE726" t="s">
        <v>74</v>
      </c>
      <c r="AF726" t="s">
        <v>74</v>
      </c>
      <c r="AG726">
        <v>3</v>
      </c>
      <c r="AH726">
        <v>5</v>
      </c>
      <c r="AI726">
        <v>5</v>
      </c>
      <c r="AJ726">
        <v>2</v>
      </c>
      <c r="AK726">
        <v>5</v>
      </c>
      <c r="AL726" t="s">
        <v>890</v>
      </c>
      <c r="AM726" t="s">
        <v>891</v>
      </c>
      <c r="AN726" t="s">
        <v>892</v>
      </c>
      <c r="AO726" t="s">
        <v>3240</v>
      </c>
      <c r="AP726" t="s">
        <v>3241</v>
      </c>
      <c r="AQ726" t="s">
        <v>74</v>
      </c>
      <c r="AR726" t="s">
        <v>3242</v>
      </c>
      <c r="AS726" t="s">
        <v>3243</v>
      </c>
      <c r="AT726" t="s">
        <v>1809</v>
      </c>
      <c r="AU726">
        <v>2021</v>
      </c>
      <c r="AV726">
        <v>125</v>
      </c>
      <c r="AW726" t="s">
        <v>74</v>
      </c>
      <c r="AX726" t="s">
        <v>74</v>
      </c>
      <c r="AY726" t="s">
        <v>74</v>
      </c>
      <c r="AZ726" t="s">
        <v>74</v>
      </c>
      <c r="BA726" t="s">
        <v>74</v>
      </c>
      <c r="BB726" t="s">
        <v>74</v>
      </c>
      <c r="BC726" t="s">
        <v>74</v>
      </c>
      <c r="BD726">
        <v>104288</v>
      </c>
      <c r="BE726" t="s">
        <v>14246</v>
      </c>
      <c r="BF726" t="str">
        <f>HYPERLINK("http://dx.doi.org/10.1016/j.marpol.2020.104288","http://dx.doi.org/10.1016/j.marpol.2020.104288")</f>
        <v>http://dx.doi.org/10.1016/j.marpol.2020.104288</v>
      </c>
      <c r="BG726" t="s">
        <v>74</v>
      </c>
      <c r="BH726" t="s">
        <v>12028</v>
      </c>
      <c r="BI726">
        <v>4</v>
      </c>
      <c r="BJ726" t="s">
        <v>3245</v>
      </c>
      <c r="BK726" t="s">
        <v>3246</v>
      </c>
      <c r="BL726" t="s">
        <v>3247</v>
      </c>
      <c r="BM726" t="s">
        <v>14247</v>
      </c>
      <c r="BN726">
        <v>36568494</v>
      </c>
      <c r="BO726" t="s">
        <v>398</v>
      </c>
      <c r="BP726" t="s">
        <v>74</v>
      </c>
      <c r="BQ726" t="s">
        <v>74</v>
      </c>
      <c r="BR726" t="s">
        <v>104</v>
      </c>
      <c r="BS726" t="s">
        <v>14248</v>
      </c>
      <c r="BT726" t="str">
        <f>HYPERLINK("https%3A%2F%2Fwww.webofscience.com%2Fwos%2Fwoscc%2Ffull-record%2FWOS:000683425600015","View Full Record in Web of Science")</f>
        <v>View Full Record in Web of Science</v>
      </c>
    </row>
    <row r="727" spans="1:72" x14ac:dyDescent="0.15">
      <c r="A727" t="s">
        <v>72</v>
      </c>
      <c r="B727" t="s">
        <v>14249</v>
      </c>
      <c r="C727" t="s">
        <v>74</v>
      </c>
      <c r="D727" t="s">
        <v>74</v>
      </c>
      <c r="E727" t="s">
        <v>74</v>
      </c>
      <c r="F727" t="s">
        <v>14250</v>
      </c>
      <c r="G727" t="s">
        <v>74</v>
      </c>
      <c r="H727" t="s">
        <v>74</v>
      </c>
      <c r="I727" t="s">
        <v>14251</v>
      </c>
      <c r="J727" t="s">
        <v>3119</v>
      </c>
      <c r="K727" t="s">
        <v>74</v>
      </c>
      <c r="L727" t="s">
        <v>74</v>
      </c>
      <c r="M727" t="s">
        <v>78</v>
      </c>
      <c r="N727" t="s">
        <v>79</v>
      </c>
      <c r="O727" t="s">
        <v>74</v>
      </c>
      <c r="P727" t="s">
        <v>74</v>
      </c>
      <c r="Q727" t="s">
        <v>74</v>
      </c>
      <c r="R727" t="s">
        <v>74</v>
      </c>
      <c r="S727" t="s">
        <v>74</v>
      </c>
      <c r="T727" t="s">
        <v>14252</v>
      </c>
      <c r="U727" t="s">
        <v>14253</v>
      </c>
      <c r="V727" t="s">
        <v>14254</v>
      </c>
      <c r="W727" t="s">
        <v>14255</v>
      </c>
      <c r="X727" t="s">
        <v>14256</v>
      </c>
      <c r="Y727" t="s">
        <v>14257</v>
      </c>
      <c r="Z727" t="s">
        <v>14258</v>
      </c>
      <c r="AA727" t="s">
        <v>14259</v>
      </c>
      <c r="AB727" t="s">
        <v>14260</v>
      </c>
      <c r="AC727" t="s">
        <v>14261</v>
      </c>
      <c r="AD727" t="s">
        <v>14262</v>
      </c>
      <c r="AE727" t="s">
        <v>14263</v>
      </c>
      <c r="AF727" t="s">
        <v>74</v>
      </c>
      <c r="AG727">
        <v>54</v>
      </c>
      <c r="AH727">
        <v>32</v>
      </c>
      <c r="AI727">
        <v>36</v>
      </c>
      <c r="AJ727">
        <v>56</v>
      </c>
      <c r="AK727">
        <v>269</v>
      </c>
      <c r="AL727" t="s">
        <v>1058</v>
      </c>
      <c r="AM727" t="s">
        <v>891</v>
      </c>
      <c r="AN727" t="s">
        <v>1059</v>
      </c>
      <c r="AO727" t="s">
        <v>3132</v>
      </c>
      <c r="AP727" t="s">
        <v>3133</v>
      </c>
      <c r="AQ727" t="s">
        <v>74</v>
      </c>
      <c r="AR727" t="s">
        <v>3119</v>
      </c>
      <c r="AS727" t="s">
        <v>3134</v>
      </c>
      <c r="AT727" t="s">
        <v>707</v>
      </c>
      <c r="AU727">
        <v>2021</v>
      </c>
      <c r="AV727">
        <v>272</v>
      </c>
      <c r="AW727" t="s">
        <v>74</v>
      </c>
      <c r="AX727" t="s">
        <v>74</v>
      </c>
      <c r="AY727" t="s">
        <v>74</v>
      </c>
      <c r="AZ727" t="s">
        <v>74</v>
      </c>
      <c r="BA727" t="s">
        <v>74</v>
      </c>
      <c r="BB727" t="s">
        <v>74</v>
      </c>
      <c r="BC727" t="s">
        <v>74</v>
      </c>
      <c r="BD727">
        <v>129869</v>
      </c>
      <c r="BE727" t="s">
        <v>14264</v>
      </c>
      <c r="BF727" t="str">
        <f>HYPERLINK("http://dx.doi.org/10.1016/j.chemosphere.2021.129869","http://dx.doi.org/10.1016/j.chemosphere.2021.129869")</f>
        <v>http://dx.doi.org/10.1016/j.chemosphere.2021.129869</v>
      </c>
      <c r="BG727" t="s">
        <v>74</v>
      </c>
      <c r="BH727" t="s">
        <v>12028</v>
      </c>
      <c r="BI727">
        <v>10</v>
      </c>
      <c r="BJ727" t="s">
        <v>224</v>
      </c>
      <c r="BK727" t="s">
        <v>101</v>
      </c>
      <c r="BL727" t="s">
        <v>225</v>
      </c>
      <c r="BM727" t="s">
        <v>14265</v>
      </c>
      <c r="BN727">
        <v>33592511</v>
      </c>
      <c r="BO727" t="s">
        <v>74</v>
      </c>
      <c r="BP727" t="s">
        <v>74</v>
      </c>
      <c r="BQ727" t="s">
        <v>74</v>
      </c>
      <c r="BR727" t="s">
        <v>104</v>
      </c>
      <c r="BS727" t="s">
        <v>14266</v>
      </c>
      <c r="BT727" t="str">
        <f>HYPERLINK("https%3A%2F%2Fwww.webofscience.com%2Fwos%2Fwoscc%2Ffull-record%2FWOS:000635594700077","View Full Record in Web of Science")</f>
        <v>View Full Record in Web of Science</v>
      </c>
    </row>
    <row r="728" spans="1:72" x14ac:dyDescent="0.15">
      <c r="A728" t="s">
        <v>72</v>
      </c>
      <c r="B728" t="s">
        <v>14267</v>
      </c>
      <c r="C728" t="s">
        <v>74</v>
      </c>
      <c r="D728" t="s">
        <v>74</v>
      </c>
      <c r="E728" t="s">
        <v>74</v>
      </c>
      <c r="F728" t="s">
        <v>14268</v>
      </c>
      <c r="G728" t="s">
        <v>74</v>
      </c>
      <c r="H728" t="s">
        <v>74</v>
      </c>
      <c r="I728" t="s">
        <v>14269</v>
      </c>
      <c r="J728" t="s">
        <v>14270</v>
      </c>
      <c r="K728" t="s">
        <v>74</v>
      </c>
      <c r="L728" t="s">
        <v>74</v>
      </c>
      <c r="M728" t="s">
        <v>78</v>
      </c>
      <c r="N728" t="s">
        <v>79</v>
      </c>
      <c r="O728" t="s">
        <v>74</v>
      </c>
      <c r="P728" t="s">
        <v>74</v>
      </c>
      <c r="Q728" t="s">
        <v>74</v>
      </c>
      <c r="R728" t="s">
        <v>74</v>
      </c>
      <c r="S728" t="s">
        <v>74</v>
      </c>
      <c r="T728" t="s">
        <v>14271</v>
      </c>
      <c r="U728" t="s">
        <v>74</v>
      </c>
      <c r="V728" t="s">
        <v>14272</v>
      </c>
      <c r="W728" t="s">
        <v>14273</v>
      </c>
      <c r="X728" t="s">
        <v>14274</v>
      </c>
      <c r="Y728" t="s">
        <v>14275</v>
      </c>
      <c r="Z728" t="s">
        <v>14276</v>
      </c>
      <c r="AA728" t="s">
        <v>14277</v>
      </c>
      <c r="AB728" t="s">
        <v>14278</v>
      </c>
      <c r="AC728" t="s">
        <v>14279</v>
      </c>
      <c r="AD728" t="s">
        <v>14280</v>
      </c>
      <c r="AE728" t="s">
        <v>14281</v>
      </c>
      <c r="AF728" t="s">
        <v>74</v>
      </c>
      <c r="AG728">
        <v>23</v>
      </c>
      <c r="AH728">
        <v>0</v>
      </c>
      <c r="AI728">
        <v>0</v>
      </c>
      <c r="AJ728">
        <v>1</v>
      </c>
      <c r="AK728">
        <v>23</v>
      </c>
      <c r="AL728" t="s">
        <v>1160</v>
      </c>
      <c r="AM728" t="s">
        <v>891</v>
      </c>
      <c r="AN728" t="s">
        <v>1161</v>
      </c>
      <c r="AO728" t="s">
        <v>14282</v>
      </c>
      <c r="AP728" t="s">
        <v>14283</v>
      </c>
      <c r="AQ728" t="s">
        <v>74</v>
      </c>
      <c r="AR728" t="s">
        <v>14284</v>
      </c>
      <c r="AS728" t="s">
        <v>14285</v>
      </c>
      <c r="AT728" t="s">
        <v>1091</v>
      </c>
      <c r="AU728">
        <v>2021</v>
      </c>
      <c r="AV728">
        <v>368</v>
      </c>
      <c r="AW728">
        <v>3</v>
      </c>
      <c r="AX728" t="s">
        <v>74</v>
      </c>
      <c r="AY728" t="s">
        <v>74</v>
      </c>
      <c r="AZ728" t="s">
        <v>74</v>
      </c>
      <c r="BA728" t="s">
        <v>74</v>
      </c>
      <c r="BB728" t="s">
        <v>74</v>
      </c>
      <c r="BC728" t="s">
        <v>74</v>
      </c>
      <c r="BD728" t="s">
        <v>14286</v>
      </c>
      <c r="BE728" t="s">
        <v>14287</v>
      </c>
      <c r="BF728" t="str">
        <f>HYPERLINK("http://dx.doi.org/10.1093/femsle/fnab006","http://dx.doi.org/10.1093/femsle/fnab006")</f>
        <v>http://dx.doi.org/10.1093/femsle/fnab006</v>
      </c>
      <c r="BG728" t="s">
        <v>74</v>
      </c>
      <c r="BH728" t="s">
        <v>12028</v>
      </c>
      <c r="BI728">
        <v>8</v>
      </c>
      <c r="BJ728" t="s">
        <v>396</v>
      </c>
      <c r="BK728" t="s">
        <v>101</v>
      </c>
      <c r="BL728" t="s">
        <v>396</v>
      </c>
      <c r="BM728" t="s">
        <v>14288</v>
      </c>
      <c r="BN728">
        <v>33469645</v>
      </c>
      <c r="BO728" t="s">
        <v>74</v>
      </c>
      <c r="BP728" t="s">
        <v>74</v>
      </c>
      <c r="BQ728" t="s">
        <v>74</v>
      </c>
      <c r="BR728" t="s">
        <v>104</v>
      </c>
      <c r="BS728" t="s">
        <v>14289</v>
      </c>
      <c r="BT728" t="str">
        <f>HYPERLINK("https%3A%2F%2Fwww.webofscience.com%2Fwos%2Fwoscc%2Ffull-record%2FWOS:000637052900005","View Full Record in Web of Science")</f>
        <v>View Full Record in Web of Science</v>
      </c>
    </row>
    <row r="729" spans="1:72" x14ac:dyDescent="0.15">
      <c r="A729" t="s">
        <v>72</v>
      </c>
      <c r="B729" t="s">
        <v>14290</v>
      </c>
      <c r="C729" t="s">
        <v>74</v>
      </c>
      <c r="D729" t="s">
        <v>74</v>
      </c>
      <c r="E729" t="s">
        <v>74</v>
      </c>
      <c r="F729" t="s">
        <v>14291</v>
      </c>
      <c r="G729" t="s">
        <v>74</v>
      </c>
      <c r="H729" t="s">
        <v>74</v>
      </c>
      <c r="I729" t="s">
        <v>14292</v>
      </c>
      <c r="J729" t="s">
        <v>14293</v>
      </c>
      <c r="K729" t="s">
        <v>74</v>
      </c>
      <c r="L729" t="s">
        <v>74</v>
      </c>
      <c r="M729" t="s">
        <v>78</v>
      </c>
      <c r="N729" t="s">
        <v>79</v>
      </c>
      <c r="O729" t="s">
        <v>74</v>
      </c>
      <c r="P729" t="s">
        <v>74</v>
      </c>
      <c r="Q729" t="s">
        <v>74</v>
      </c>
      <c r="R729" t="s">
        <v>74</v>
      </c>
      <c r="S729" t="s">
        <v>74</v>
      </c>
      <c r="T729" t="s">
        <v>14294</v>
      </c>
      <c r="U729" t="s">
        <v>14295</v>
      </c>
      <c r="V729" t="s">
        <v>14296</v>
      </c>
      <c r="W729" t="s">
        <v>14297</v>
      </c>
      <c r="X729" t="s">
        <v>14298</v>
      </c>
      <c r="Y729" t="s">
        <v>14299</v>
      </c>
      <c r="Z729" t="s">
        <v>14300</v>
      </c>
      <c r="AA729" t="s">
        <v>74</v>
      </c>
      <c r="AB729" t="s">
        <v>14301</v>
      </c>
      <c r="AC729" t="s">
        <v>14302</v>
      </c>
      <c r="AD729" t="s">
        <v>14303</v>
      </c>
      <c r="AE729" t="s">
        <v>14304</v>
      </c>
      <c r="AF729" t="s">
        <v>74</v>
      </c>
      <c r="AG729">
        <v>47</v>
      </c>
      <c r="AH729">
        <v>0</v>
      </c>
      <c r="AI729">
        <v>0</v>
      </c>
      <c r="AJ729">
        <v>0</v>
      </c>
      <c r="AK729">
        <v>3</v>
      </c>
      <c r="AL729" t="s">
        <v>8404</v>
      </c>
      <c r="AM729" t="s">
        <v>8405</v>
      </c>
      <c r="AN729" t="s">
        <v>8406</v>
      </c>
      <c r="AO729" t="s">
        <v>14305</v>
      </c>
      <c r="AP729" t="s">
        <v>74</v>
      </c>
      <c r="AQ729" t="s">
        <v>74</v>
      </c>
      <c r="AR729" t="s">
        <v>14306</v>
      </c>
      <c r="AS729" t="s">
        <v>14307</v>
      </c>
      <c r="AT729" t="s">
        <v>1809</v>
      </c>
      <c r="AU729">
        <v>2021</v>
      </c>
      <c r="AV729">
        <v>291</v>
      </c>
      <c r="AW729" t="s">
        <v>74</v>
      </c>
      <c r="AX729" t="s">
        <v>74</v>
      </c>
      <c r="AY729" t="s">
        <v>74</v>
      </c>
      <c r="AZ729" t="s">
        <v>74</v>
      </c>
      <c r="BA729" t="s">
        <v>74</v>
      </c>
      <c r="BB729">
        <v>23</v>
      </c>
      <c r="BC729">
        <v>33</v>
      </c>
      <c r="BD729" t="s">
        <v>74</v>
      </c>
      <c r="BE729" t="s">
        <v>14308</v>
      </c>
      <c r="BF729" t="str">
        <f>HYPERLINK("http://dx.doi.org/10.1016/j.jcz.2021.02.001","http://dx.doi.org/10.1016/j.jcz.2021.02.001")</f>
        <v>http://dx.doi.org/10.1016/j.jcz.2021.02.001</v>
      </c>
      <c r="BG729" t="s">
        <v>74</v>
      </c>
      <c r="BH729" t="s">
        <v>12028</v>
      </c>
      <c r="BI729">
        <v>11</v>
      </c>
      <c r="BJ729" t="s">
        <v>1229</v>
      </c>
      <c r="BK729" t="s">
        <v>101</v>
      </c>
      <c r="BL729" t="s">
        <v>1229</v>
      </c>
      <c r="BM729" t="s">
        <v>14309</v>
      </c>
      <c r="BN729" t="s">
        <v>74</v>
      </c>
      <c r="BO729" t="s">
        <v>74</v>
      </c>
      <c r="BP729" t="s">
        <v>74</v>
      </c>
      <c r="BQ729" t="s">
        <v>74</v>
      </c>
      <c r="BR729" t="s">
        <v>104</v>
      </c>
      <c r="BS729" t="s">
        <v>14310</v>
      </c>
      <c r="BT729" t="str">
        <f>HYPERLINK("https%3A%2F%2Fwww.webofscience.com%2Fwos%2Fwoscc%2Ffull-record%2FWOS:000632647000003","View Full Record in Web of Science")</f>
        <v>View Full Record in Web of Science</v>
      </c>
    </row>
    <row r="730" spans="1:72" x14ac:dyDescent="0.15">
      <c r="A730" t="s">
        <v>72</v>
      </c>
      <c r="B730" t="s">
        <v>14311</v>
      </c>
      <c r="C730" t="s">
        <v>74</v>
      </c>
      <c r="D730" t="s">
        <v>74</v>
      </c>
      <c r="E730" t="s">
        <v>74</v>
      </c>
      <c r="F730" t="s">
        <v>14312</v>
      </c>
      <c r="G730" t="s">
        <v>74</v>
      </c>
      <c r="H730" t="s">
        <v>74</v>
      </c>
      <c r="I730" t="s">
        <v>14313</v>
      </c>
      <c r="J730" t="s">
        <v>877</v>
      </c>
      <c r="K730" t="s">
        <v>74</v>
      </c>
      <c r="L730" t="s">
        <v>74</v>
      </c>
      <c r="M730" t="s">
        <v>78</v>
      </c>
      <c r="N730" t="s">
        <v>79</v>
      </c>
      <c r="O730" t="s">
        <v>74</v>
      </c>
      <c r="P730" t="s">
        <v>74</v>
      </c>
      <c r="Q730" t="s">
        <v>74</v>
      </c>
      <c r="R730" t="s">
        <v>74</v>
      </c>
      <c r="S730" t="s">
        <v>74</v>
      </c>
      <c r="T730" t="s">
        <v>14314</v>
      </c>
      <c r="U730" t="s">
        <v>74</v>
      </c>
      <c r="V730" t="s">
        <v>14315</v>
      </c>
      <c r="W730" t="s">
        <v>14316</v>
      </c>
      <c r="X730" t="s">
        <v>1131</v>
      </c>
      <c r="Y730" t="s">
        <v>14317</v>
      </c>
      <c r="Z730" t="s">
        <v>14318</v>
      </c>
      <c r="AA730" t="s">
        <v>14319</v>
      </c>
      <c r="AB730" t="s">
        <v>14320</v>
      </c>
      <c r="AC730" t="s">
        <v>74</v>
      </c>
      <c r="AD730" t="s">
        <v>74</v>
      </c>
      <c r="AE730" t="s">
        <v>74</v>
      </c>
      <c r="AF730" t="s">
        <v>74</v>
      </c>
      <c r="AG730">
        <v>27</v>
      </c>
      <c r="AH730">
        <v>11</v>
      </c>
      <c r="AI730">
        <v>12</v>
      </c>
      <c r="AJ730">
        <v>2</v>
      </c>
      <c r="AK730">
        <v>42</v>
      </c>
      <c r="AL730" t="s">
        <v>890</v>
      </c>
      <c r="AM730" t="s">
        <v>891</v>
      </c>
      <c r="AN730" t="s">
        <v>892</v>
      </c>
      <c r="AO730" t="s">
        <v>893</v>
      </c>
      <c r="AP730" t="s">
        <v>894</v>
      </c>
      <c r="AQ730" t="s">
        <v>74</v>
      </c>
      <c r="AR730" t="s">
        <v>895</v>
      </c>
      <c r="AS730" t="s">
        <v>896</v>
      </c>
      <c r="AT730" t="s">
        <v>4706</v>
      </c>
      <c r="AU730">
        <v>2021</v>
      </c>
      <c r="AV730">
        <v>276</v>
      </c>
      <c r="AW730" t="s">
        <v>74</v>
      </c>
      <c r="AX730" t="s">
        <v>74</v>
      </c>
      <c r="AY730" t="s">
        <v>74</v>
      </c>
      <c r="AZ730" t="s">
        <v>74</v>
      </c>
      <c r="BA730" t="s">
        <v>74</v>
      </c>
      <c r="BB730" t="s">
        <v>74</v>
      </c>
      <c r="BC730" t="s">
        <v>74</v>
      </c>
      <c r="BD730">
        <v>116645</v>
      </c>
      <c r="BE730" t="s">
        <v>14321</v>
      </c>
      <c r="BF730" t="str">
        <f>HYPERLINK("http://dx.doi.org/10.1016/j.envpol.2021.116645","http://dx.doi.org/10.1016/j.envpol.2021.116645")</f>
        <v>http://dx.doi.org/10.1016/j.envpol.2021.116645</v>
      </c>
      <c r="BG730" t="s">
        <v>74</v>
      </c>
      <c r="BH730" t="s">
        <v>12028</v>
      </c>
      <c r="BI730">
        <v>8</v>
      </c>
      <c r="BJ730" t="s">
        <v>224</v>
      </c>
      <c r="BK730" t="s">
        <v>101</v>
      </c>
      <c r="BL730" t="s">
        <v>225</v>
      </c>
      <c r="BM730" t="s">
        <v>13164</v>
      </c>
      <c r="BN730">
        <v>33592443</v>
      </c>
      <c r="BO730" t="s">
        <v>712</v>
      </c>
      <c r="BP730" t="s">
        <v>74</v>
      </c>
      <c r="BQ730" t="s">
        <v>74</v>
      </c>
      <c r="BR730" t="s">
        <v>104</v>
      </c>
      <c r="BS730" t="s">
        <v>14322</v>
      </c>
      <c r="BT730" t="str">
        <f>HYPERLINK("https%3A%2F%2Fwww.webofscience.com%2Fwos%2Fwoscc%2Ffull-record%2FWOS:000630774100012","View Full Record in Web of Science")</f>
        <v>View Full Record in Web of Science</v>
      </c>
    </row>
    <row r="731" spans="1:72" x14ac:dyDescent="0.15">
      <c r="A731" t="s">
        <v>72</v>
      </c>
      <c r="B731" t="s">
        <v>14323</v>
      </c>
      <c r="C731" t="s">
        <v>74</v>
      </c>
      <c r="D731" t="s">
        <v>74</v>
      </c>
      <c r="E731" t="s">
        <v>74</v>
      </c>
      <c r="F731" t="s">
        <v>14324</v>
      </c>
      <c r="G731" t="s">
        <v>74</v>
      </c>
      <c r="H731" t="s">
        <v>74</v>
      </c>
      <c r="I731" t="s">
        <v>14325</v>
      </c>
      <c r="J731" t="s">
        <v>14326</v>
      </c>
      <c r="K731" t="s">
        <v>74</v>
      </c>
      <c r="L731" t="s">
        <v>74</v>
      </c>
      <c r="M731" t="s">
        <v>78</v>
      </c>
      <c r="N731" t="s">
        <v>79</v>
      </c>
      <c r="O731" t="s">
        <v>74</v>
      </c>
      <c r="P731" t="s">
        <v>74</v>
      </c>
      <c r="Q731" t="s">
        <v>74</v>
      </c>
      <c r="R731" t="s">
        <v>74</v>
      </c>
      <c r="S731" t="s">
        <v>74</v>
      </c>
      <c r="T731" t="s">
        <v>74</v>
      </c>
      <c r="U731" t="s">
        <v>14327</v>
      </c>
      <c r="V731" t="s">
        <v>14328</v>
      </c>
      <c r="W731" t="s">
        <v>14329</v>
      </c>
      <c r="X731" t="s">
        <v>14330</v>
      </c>
      <c r="Y731" t="s">
        <v>14331</v>
      </c>
      <c r="Z731" t="s">
        <v>14332</v>
      </c>
      <c r="AA731" t="s">
        <v>14333</v>
      </c>
      <c r="AB731" t="s">
        <v>14334</v>
      </c>
      <c r="AC731" t="s">
        <v>74</v>
      </c>
      <c r="AD731" t="s">
        <v>74</v>
      </c>
      <c r="AE731" t="s">
        <v>74</v>
      </c>
      <c r="AF731" t="s">
        <v>74</v>
      </c>
      <c r="AG731">
        <v>68</v>
      </c>
      <c r="AH731">
        <v>7</v>
      </c>
      <c r="AI731">
        <v>7</v>
      </c>
      <c r="AJ731">
        <v>0</v>
      </c>
      <c r="AK731">
        <v>5</v>
      </c>
      <c r="AL731" t="s">
        <v>1269</v>
      </c>
      <c r="AM731" t="s">
        <v>1270</v>
      </c>
      <c r="AN731" t="s">
        <v>1271</v>
      </c>
      <c r="AO731" t="s">
        <v>14335</v>
      </c>
      <c r="AP731" t="s">
        <v>14336</v>
      </c>
      <c r="AQ731" t="s">
        <v>74</v>
      </c>
      <c r="AR731" t="s">
        <v>14337</v>
      </c>
      <c r="AS731" t="s">
        <v>14338</v>
      </c>
      <c r="AT731" t="s">
        <v>14339</v>
      </c>
      <c r="AU731">
        <v>2021</v>
      </c>
      <c r="AV731">
        <v>14</v>
      </c>
      <c r="AW731">
        <v>2</v>
      </c>
      <c r="AX731" t="s">
        <v>74</v>
      </c>
      <c r="AY731" t="s">
        <v>74</v>
      </c>
      <c r="AZ731" t="s">
        <v>74</v>
      </c>
      <c r="BA731" t="s">
        <v>74</v>
      </c>
      <c r="BB731">
        <v>935</v>
      </c>
      <c r="BC731">
        <v>959</v>
      </c>
      <c r="BD731" t="s">
        <v>74</v>
      </c>
      <c r="BE731" t="s">
        <v>14340</v>
      </c>
      <c r="BF731" t="str">
        <f>HYPERLINK("http://dx.doi.org/10.5194/gmd-14-935-2021","http://dx.doi.org/10.5194/gmd-14-935-2021")</f>
        <v>http://dx.doi.org/10.5194/gmd-14-935-2021</v>
      </c>
      <c r="BG731" t="s">
        <v>74</v>
      </c>
      <c r="BH731" t="s">
        <v>74</v>
      </c>
      <c r="BI731">
        <v>25</v>
      </c>
      <c r="BJ731" t="s">
        <v>100</v>
      </c>
      <c r="BK731" t="s">
        <v>101</v>
      </c>
      <c r="BL731" t="s">
        <v>102</v>
      </c>
      <c r="BM731" t="s">
        <v>14341</v>
      </c>
      <c r="BN731" t="s">
        <v>74</v>
      </c>
      <c r="BO731" t="s">
        <v>1319</v>
      </c>
      <c r="BP731" t="s">
        <v>74</v>
      </c>
      <c r="BQ731" t="s">
        <v>74</v>
      </c>
      <c r="BR731" t="s">
        <v>104</v>
      </c>
      <c r="BS731" t="s">
        <v>14342</v>
      </c>
      <c r="BT731" t="str">
        <f>HYPERLINK("https%3A%2F%2Fwww.webofscience.com%2Fwos%2Fwoscc%2Ffull-record%2FWOS:000619675000003","View Full Record in Web of Science")</f>
        <v>View Full Record in Web of Science</v>
      </c>
    </row>
    <row r="732" spans="1:72" x14ac:dyDescent="0.15">
      <c r="A732" t="s">
        <v>72</v>
      </c>
      <c r="B732" t="s">
        <v>14343</v>
      </c>
      <c r="C732" t="s">
        <v>74</v>
      </c>
      <c r="D732" t="s">
        <v>74</v>
      </c>
      <c r="E732" t="s">
        <v>74</v>
      </c>
      <c r="F732" t="s">
        <v>14344</v>
      </c>
      <c r="G732" t="s">
        <v>74</v>
      </c>
      <c r="H732" t="s">
        <v>74</v>
      </c>
      <c r="I732" t="s">
        <v>14345</v>
      </c>
      <c r="J732" t="s">
        <v>14346</v>
      </c>
      <c r="K732" t="s">
        <v>74</v>
      </c>
      <c r="L732" t="s">
        <v>74</v>
      </c>
      <c r="M732" t="s">
        <v>78</v>
      </c>
      <c r="N732" t="s">
        <v>1074</v>
      </c>
      <c r="O732" t="s">
        <v>74</v>
      </c>
      <c r="P732" t="s">
        <v>74</v>
      </c>
      <c r="Q732" t="s">
        <v>74</v>
      </c>
      <c r="R732" t="s">
        <v>74</v>
      </c>
      <c r="S732" t="s">
        <v>74</v>
      </c>
      <c r="T732" t="s">
        <v>14347</v>
      </c>
      <c r="U732" t="s">
        <v>14348</v>
      </c>
      <c r="V732" t="s">
        <v>14349</v>
      </c>
      <c r="W732" t="s">
        <v>14350</v>
      </c>
      <c r="X732" t="s">
        <v>14351</v>
      </c>
      <c r="Y732" t="s">
        <v>14352</v>
      </c>
      <c r="Z732" t="s">
        <v>12350</v>
      </c>
      <c r="AA732" t="s">
        <v>14353</v>
      </c>
      <c r="AB732" t="s">
        <v>14354</v>
      </c>
      <c r="AC732" t="s">
        <v>14355</v>
      </c>
      <c r="AD732" t="s">
        <v>14356</v>
      </c>
      <c r="AE732" t="s">
        <v>14357</v>
      </c>
      <c r="AF732" t="s">
        <v>74</v>
      </c>
      <c r="AG732">
        <v>157</v>
      </c>
      <c r="AH732">
        <v>25</v>
      </c>
      <c r="AI732">
        <v>27</v>
      </c>
      <c r="AJ732">
        <v>5</v>
      </c>
      <c r="AK732">
        <v>47</v>
      </c>
      <c r="AL732" t="s">
        <v>2922</v>
      </c>
      <c r="AM732" t="s">
        <v>2923</v>
      </c>
      <c r="AN732" t="s">
        <v>2924</v>
      </c>
      <c r="AO732" t="s">
        <v>14358</v>
      </c>
      <c r="AP732" t="s">
        <v>14359</v>
      </c>
      <c r="AQ732" t="s">
        <v>74</v>
      </c>
      <c r="AR732" t="s">
        <v>14360</v>
      </c>
      <c r="AS732" t="s">
        <v>14361</v>
      </c>
      <c r="AT732" t="s">
        <v>14362</v>
      </c>
      <c r="AU732">
        <v>2021</v>
      </c>
      <c r="AV732">
        <v>41</v>
      </c>
      <c r="AW732">
        <v>6</v>
      </c>
      <c r="AX732" t="s">
        <v>74</v>
      </c>
      <c r="AY732" t="s">
        <v>74</v>
      </c>
      <c r="AZ732" t="s">
        <v>74</v>
      </c>
      <c r="BA732" t="s">
        <v>74</v>
      </c>
      <c r="BB732">
        <v>809</v>
      </c>
      <c r="BC732">
        <v>826</v>
      </c>
      <c r="BD732" t="s">
        <v>74</v>
      </c>
      <c r="BE732" t="s">
        <v>14363</v>
      </c>
      <c r="BF732" t="str">
        <f>HYPERLINK("http://dx.doi.org/10.1080/07388551.2021.1888068","http://dx.doi.org/10.1080/07388551.2021.1888068")</f>
        <v>http://dx.doi.org/10.1080/07388551.2021.1888068</v>
      </c>
      <c r="BG732" t="s">
        <v>74</v>
      </c>
      <c r="BH732" t="s">
        <v>12028</v>
      </c>
      <c r="BI732">
        <v>18</v>
      </c>
      <c r="BJ732" t="s">
        <v>10043</v>
      </c>
      <c r="BK732" t="s">
        <v>101</v>
      </c>
      <c r="BL732" t="s">
        <v>10043</v>
      </c>
      <c r="BM732" t="s">
        <v>14364</v>
      </c>
      <c r="BN732">
        <v>33622142</v>
      </c>
      <c r="BO732" t="s">
        <v>74</v>
      </c>
      <c r="BP732" t="s">
        <v>74</v>
      </c>
      <c r="BQ732" t="s">
        <v>74</v>
      </c>
      <c r="BR732" t="s">
        <v>104</v>
      </c>
      <c r="BS732" t="s">
        <v>14365</v>
      </c>
      <c r="BT732" t="str">
        <f>HYPERLINK("https%3A%2F%2Fwww.webofscience.com%2Fwos%2Fwoscc%2Ffull-record%2FWOS:000621271400001","View Full Record in Web of Science")</f>
        <v>View Full Record in Web of Science</v>
      </c>
    </row>
    <row r="733" spans="1:72" x14ac:dyDescent="0.15">
      <c r="A733" t="s">
        <v>72</v>
      </c>
      <c r="B733" t="s">
        <v>14366</v>
      </c>
      <c r="C733" t="s">
        <v>74</v>
      </c>
      <c r="D733" t="s">
        <v>74</v>
      </c>
      <c r="E733" t="s">
        <v>74</v>
      </c>
      <c r="F733" t="s">
        <v>14367</v>
      </c>
      <c r="G733" t="s">
        <v>74</v>
      </c>
      <c r="H733" t="s">
        <v>74</v>
      </c>
      <c r="I733" t="s">
        <v>14368</v>
      </c>
      <c r="J733" t="s">
        <v>9855</v>
      </c>
      <c r="K733" t="s">
        <v>74</v>
      </c>
      <c r="L733" t="s">
        <v>74</v>
      </c>
      <c r="M733" t="s">
        <v>78</v>
      </c>
      <c r="N733" t="s">
        <v>79</v>
      </c>
      <c r="O733" t="s">
        <v>74</v>
      </c>
      <c r="P733" t="s">
        <v>74</v>
      </c>
      <c r="Q733" t="s">
        <v>74</v>
      </c>
      <c r="R733" t="s">
        <v>74</v>
      </c>
      <c r="S733" t="s">
        <v>74</v>
      </c>
      <c r="T733" t="s">
        <v>14369</v>
      </c>
      <c r="U733" t="s">
        <v>14370</v>
      </c>
      <c r="V733" t="s">
        <v>14371</v>
      </c>
      <c r="W733" t="s">
        <v>14372</v>
      </c>
      <c r="X733" t="s">
        <v>14373</v>
      </c>
      <c r="Y733" t="s">
        <v>14374</v>
      </c>
      <c r="Z733" t="s">
        <v>14375</v>
      </c>
      <c r="AA733" t="s">
        <v>14376</v>
      </c>
      <c r="AB733" t="s">
        <v>14377</v>
      </c>
      <c r="AC733" t="s">
        <v>74</v>
      </c>
      <c r="AD733" t="s">
        <v>74</v>
      </c>
      <c r="AE733" t="s">
        <v>74</v>
      </c>
      <c r="AF733" t="s">
        <v>74</v>
      </c>
      <c r="AG733">
        <v>65</v>
      </c>
      <c r="AH733">
        <v>11</v>
      </c>
      <c r="AI733">
        <v>11</v>
      </c>
      <c r="AJ733">
        <v>3</v>
      </c>
      <c r="AK733">
        <v>25</v>
      </c>
      <c r="AL733" t="s">
        <v>9867</v>
      </c>
      <c r="AM733" t="s">
        <v>9868</v>
      </c>
      <c r="AN733" t="s">
        <v>9869</v>
      </c>
      <c r="AO733" t="s">
        <v>9870</v>
      </c>
      <c r="AP733" t="s">
        <v>74</v>
      </c>
      <c r="AQ733" t="s">
        <v>74</v>
      </c>
      <c r="AR733" t="s">
        <v>9871</v>
      </c>
      <c r="AS733" t="s">
        <v>9872</v>
      </c>
      <c r="AT733" t="s">
        <v>1091</v>
      </c>
      <c r="AU733">
        <v>2021</v>
      </c>
      <c r="AV733">
        <v>12</v>
      </c>
      <c r="AW733">
        <v>2</v>
      </c>
      <c r="AX733" t="s">
        <v>74</v>
      </c>
      <c r="AY733" t="s">
        <v>74</v>
      </c>
      <c r="AZ733" t="s">
        <v>74</v>
      </c>
      <c r="BA733" t="s">
        <v>74</v>
      </c>
      <c r="BB733">
        <v>23</v>
      </c>
      <c r="BC733">
        <v>35</v>
      </c>
      <c r="BD733" t="s">
        <v>74</v>
      </c>
      <c r="BE733" t="s">
        <v>14378</v>
      </c>
      <c r="BF733" t="str">
        <f>HYPERLINK("http://dx.doi.org/10.1016/j.apr.2020.08.001","http://dx.doi.org/10.1016/j.apr.2020.08.001")</f>
        <v>http://dx.doi.org/10.1016/j.apr.2020.08.001</v>
      </c>
      <c r="BG733" t="s">
        <v>74</v>
      </c>
      <c r="BH733" t="s">
        <v>12028</v>
      </c>
      <c r="BI733">
        <v>13</v>
      </c>
      <c r="BJ733" t="s">
        <v>224</v>
      </c>
      <c r="BK733" t="s">
        <v>101</v>
      </c>
      <c r="BL733" t="s">
        <v>225</v>
      </c>
      <c r="BM733" t="s">
        <v>14379</v>
      </c>
      <c r="BN733">
        <v>32837216</v>
      </c>
      <c r="BO733" t="s">
        <v>398</v>
      </c>
      <c r="BP733" t="s">
        <v>74</v>
      </c>
      <c r="BQ733" t="s">
        <v>74</v>
      </c>
      <c r="BR733" t="s">
        <v>104</v>
      </c>
      <c r="BS733" t="s">
        <v>14380</v>
      </c>
      <c r="BT733" t="str">
        <f>HYPERLINK("https%3A%2F%2Fwww.webofscience.com%2Fwos%2Fwoscc%2Ffull-record%2FWOS:000618956700003","View Full Record in Web of Science")</f>
        <v>View Full Record in Web of Science</v>
      </c>
    </row>
    <row r="734" spans="1:72" x14ac:dyDescent="0.15">
      <c r="A734" t="s">
        <v>72</v>
      </c>
      <c r="B734" t="s">
        <v>14381</v>
      </c>
      <c r="C734" t="s">
        <v>74</v>
      </c>
      <c r="D734" t="s">
        <v>74</v>
      </c>
      <c r="E734" t="s">
        <v>74</v>
      </c>
      <c r="F734" t="s">
        <v>14382</v>
      </c>
      <c r="G734" t="s">
        <v>74</v>
      </c>
      <c r="H734" t="s">
        <v>74</v>
      </c>
      <c r="I734" t="s">
        <v>14383</v>
      </c>
      <c r="J734" t="s">
        <v>2021</v>
      </c>
      <c r="K734" t="s">
        <v>74</v>
      </c>
      <c r="L734" t="s">
        <v>74</v>
      </c>
      <c r="M734" t="s">
        <v>78</v>
      </c>
      <c r="N734" t="s">
        <v>79</v>
      </c>
      <c r="O734" t="s">
        <v>74</v>
      </c>
      <c r="P734" t="s">
        <v>74</v>
      </c>
      <c r="Q734" t="s">
        <v>74</v>
      </c>
      <c r="R734" t="s">
        <v>74</v>
      </c>
      <c r="S734" t="s">
        <v>74</v>
      </c>
      <c r="T734" t="s">
        <v>74</v>
      </c>
      <c r="U734" t="s">
        <v>14384</v>
      </c>
      <c r="V734" t="s">
        <v>14385</v>
      </c>
      <c r="W734" t="s">
        <v>14386</v>
      </c>
      <c r="X734" t="s">
        <v>14387</v>
      </c>
      <c r="Y734" t="s">
        <v>14388</v>
      </c>
      <c r="Z734" t="s">
        <v>14389</v>
      </c>
      <c r="AA734" t="s">
        <v>14390</v>
      </c>
      <c r="AB734" t="s">
        <v>14391</v>
      </c>
      <c r="AC734" t="s">
        <v>14392</v>
      </c>
      <c r="AD734" t="s">
        <v>14393</v>
      </c>
      <c r="AE734" t="s">
        <v>14394</v>
      </c>
      <c r="AF734" t="s">
        <v>74</v>
      </c>
      <c r="AG734">
        <v>83</v>
      </c>
      <c r="AH734">
        <v>8</v>
      </c>
      <c r="AI734">
        <v>8</v>
      </c>
      <c r="AJ734">
        <v>1</v>
      </c>
      <c r="AK734">
        <v>14</v>
      </c>
      <c r="AL734" t="s">
        <v>861</v>
      </c>
      <c r="AM734" t="s">
        <v>862</v>
      </c>
      <c r="AN734" t="s">
        <v>863</v>
      </c>
      <c r="AO734" t="s">
        <v>2033</v>
      </c>
      <c r="AP734" t="s">
        <v>74</v>
      </c>
      <c r="AQ734" t="s">
        <v>74</v>
      </c>
      <c r="AR734" t="s">
        <v>2034</v>
      </c>
      <c r="AS734" t="s">
        <v>2035</v>
      </c>
      <c r="AT734" t="s">
        <v>14339</v>
      </c>
      <c r="AU734">
        <v>2021</v>
      </c>
      <c r="AV734">
        <v>11</v>
      </c>
      <c r="AW734">
        <v>1</v>
      </c>
      <c r="AX734" t="s">
        <v>74</v>
      </c>
      <c r="AY734" t="s">
        <v>74</v>
      </c>
      <c r="AZ734" t="s">
        <v>74</v>
      </c>
      <c r="BA734" t="s">
        <v>74</v>
      </c>
      <c r="BB734" t="s">
        <v>74</v>
      </c>
      <c r="BC734" t="s">
        <v>74</v>
      </c>
      <c r="BD734">
        <v>3707</v>
      </c>
      <c r="BE734" t="s">
        <v>14395</v>
      </c>
      <c r="BF734" t="str">
        <f>HYPERLINK("http://dx.doi.org/10.1038/s41598-021-82825-w","http://dx.doi.org/10.1038/s41598-021-82825-w")</f>
        <v>http://dx.doi.org/10.1038/s41598-021-82825-w</v>
      </c>
      <c r="BG734" t="s">
        <v>74</v>
      </c>
      <c r="BH734" t="s">
        <v>74</v>
      </c>
      <c r="BI734">
        <v>14</v>
      </c>
      <c r="BJ734" t="s">
        <v>555</v>
      </c>
      <c r="BK734" t="s">
        <v>101</v>
      </c>
      <c r="BL734" t="s">
        <v>556</v>
      </c>
      <c r="BM734" t="s">
        <v>14396</v>
      </c>
      <c r="BN734">
        <v>33580138</v>
      </c>
      <c r="BO734" t="s">
        <v>298</v>
      </c>
      <c r="BP734" t="s">
        <v>74</v>
      </c>
      <c r="BQ734" t="s">
        <v>74</v>
      </c>
      <c r="BR734" t="s">
        <v>104</v>
      </c>
      <c r="BS734" t="s">
        <v>14397</v>
      </c>
      <c r="BT734" t="str">
        <f>HYPERLINK("https%3A%2F%2Fwww.webofscience.com%2Fwos%2Fwoscc%2Ffull-record%2FWOS:000620250600002","View Full Record in Web of Science")</f>
        <v>View Full Record in Web of Science</v>
      </c>
    </row>
    <row r="735" spans="1:72" x14ac:dyDescent="0.15">
      <c r="A735" t="s">
        <v>72</v>
      </c>
      <c r="B735" t="s">
        <v>14398</v>
      </c>
      <c r="C735" t="s">
        <v>74</v>
      </c>
      <c r="D735" t="s">
        <v>74</v>
      </c>
      <c r="E735" t="s">
        <v>74</v>
      </c>
      <c r="F735" t="s">
        <v>14399</v>
      </c>
      <c r="G735" t="s">
        <v>74</v>
      </c>
      <c r="H735" t="s">
        <v>14400</v>
      </c>
      <c r="I735" t="s">
        <v>14401</v>
      </c>
      <c r="J735" t="s">
        <v>14402</v>
      </c>
      <c r="K735" t="s">
        <v>74</v>
      </c>
      <c r="L735" t="s">
        <v>74</v>
      </c>
      <c r="M735" t="s">
        <v>78</v>
      </c>
      <c r="N735" t="s">
        <v>79</v>
      </c>
      <c r="O735" t="s">
        <v>74</v>
      </c>
      <c r="P735" t="s">
        <v>74</v>
      </c>
      <c r="Q735" t="s">
        <v>74</v>
      </c>
      <c r="R735" t="s">
        <v>74</v>
      </c>
      <c r="S735" t="s">
        <v>74</v>
      </c>
      <c r="T735" t="s">
        <v>74</v>
      </c>
      <c r="U735" t="s">
        <v>74</v>
      </c>
      <c r="V735" t="s">
        <v>14403</v>
      </c>
      <c r="W735" t="s">
        <v>14404</v>
      </c>
      <c r="X735" t="s">
        <v>14405</v>
      </c>
      <c r="Y735" t="s">
        <v>14406</v>
      </c>
      <c r="Z735" t="s">
        <v>14407</v>
      </c>
      <c r="AA735" t="s">
        <v>14408</v>
      </c>
      <c r="AB735" t="s">
        <v>14409</v>
      </c>
      <c r="AC735" t="s">
        <v>14410</v>
      </c>
      <c r="AD735" t="s">
        <v>14411</v>
      </c>
      <c r="AE735" t="s">
        <v>14412</v>
      </c>
      <c r="AF735" t="s">
        <v>74</v>
      </c>
      <c r="AG735">
        <v>45</v>
      </c>
      <c r="AH735">
        <v>10</v>
      </c>
      <c r="AI735">
        <v>11</v>
      </c>
      <c r="AJ735">
        <v>0</v>
      </c>
      <c r="AK735">
        <v>2</v>
      </c>
      <c r="AL735" t="s">
        <v>12239</v>
      </c>
      <c r="AM735" t="s">
        <v>12240</v>
      </c>
      <c r="AN735" t="s">
        <v>12241</v>
      </c>
      <c r="AO735" t="s">
        <v>14413</v>
      </c>
      <c r="AP735" t="s">
        <v>14414</v>
      </c>
      <c r="AQ735" t="s">
        <v>74</v>
      </c>
      <c r="AR735" t="s">
        <v>14415</v>
      </c>
      <c r="AS735" t="s">
        <v>14416</v>
      </c>
      <c r="AT735" t="s">
        <v>14339</v>
      </c>
      <c r="AU735">
        <v>2021</v>
      </c>
      <c r="AV735">
        <v>103</v>
      </c>
      <c r="AW735">
        <v>4</v>
      </c>
      <c r="AX735" t="s">
        <v>74</v>
      </c>
      <c r="AY735" t="s">
        <v>74</v>
      </c>
      <c r="AZ735" t="s">
        <v>74</v>
      </c>
      <c r="BA735" t="s">
        <v>74</v>
      </c>
      <c r="BB735" t="s">
        <v>74</v>
      </c>
      <c r="BC735" t="s">
        <v>74</v>
      </c>
      <c r="BD735">
        <v>42002</v>
      </c>
      <c r="BE735" t="s">
        <v>14417</v>
      </c>
      <c r="BF735" t="str">
        <f>HYPERLINK("http://dx.doi.org/10.1103/PhysRevD.103.042002","http://dx.doi.org/10.1103/PhysRevD.103.042002")</f>
        <v>http://dx.doi.org/10.1103/PhysRevD.103.042002</v>
      </c>
      <c r="BG735" t="s">
        <v>74</v>
      </c>
      <c r="BH735" t="s">
        <v>74</v>
      </c>
      <c r="BI735">
        <v>23</v>
      </c>
      <c r="BJ735" t="s">
        <v>3049</v>
      </c>
      <c r="BK735" t="s">
        <v>101</v>
      </c>
      <c r="BL735" t="s">
        <v>3050</v>
      </c>
      <c r="BM735" t="s">
        <v>14418</v>
      </c>
      <c r="BN735" t="s">
        <v>74</v>
      </c>
      <c r="BO735" t="s">
        <v>3511</v>
      </c>
      <c r="BP735" t="s">
        <v>74</v>
      </c>
      <c r="BQ735" t="s">
        <v>74</v>
      </c>
      <c r="BR735" t="s">
        <v>104</v>
      </c>
      <c r="BS735" t="s">
        <v>14419</v>
      </c>
      <c r="BT735" t="str">
        <f>HYPERLINK("https%3A%2F%2Fwww.webofscience.com%2Fwos%2Fwoscc%2Ffull-record%2FWOS:000617796700001","View Full Record in Web of Science")</f>
        <v>View Full Record in Web of Science</v>
      </c>
    </row>
    <row r="736" spans="1:72" x14ac:dyDescent="0.15">
      <c r="A736" t="s">
        <v>72</v>
      </c>
      <c r="B736" t="s">
        <v>14420</v>
      </c>
      <c r="C736" t="s">
        <v>74</v>
      </c>
      <c r="D736" t="s">
        <v>74</v>
      </c>
      <c r="E736" t="s">
        <v>74</v>
      </c>
      <c r="F736" t="s">
        <v>14421</v>
      </c>
      <c r="G736" t="s">
        <v>74</v>
      </c>
      <c r="H736" t="s">
        <v>74</v>
      </c>
      <c r="I736" t="s">
        <v>14422</v>
      </c>
      <c r="J736" t="s">
        <v>14423</v>
      </c>
      <c r="K736" t="s">
        <v>74</v>
      </c>
      <c r="L736" t="s">
        <v>74</v>
      </c>
      <c r="M736" t="s">
        <v>78</v>
      </c>
      <c r="N736" t="s">
        <v>79</v>
      </c>
      <c r="O736" t="s">
        <v>74</v>
      </c>
      <c r="P736" t="s">
        <v>74</v>
      </c>
      <c r="Q736" t="s">
        <v>74</v>
      </c>
      <c r="R736" t="s">
        <v>74</v>
      </c>
      <c r="S736" t="s">
        <v>74</v>
      </c>
      <c r="T736" t="s">
        <v>74</v>
      </c>
      <c r="U736" t="s">
        <v>74</v>
      </c>
      <c r="V736" t="s">
        <v>14424</v>
      </c>
      <c r="W736" t="s">
        <v>14425</v>
      </c>
      <c r="X736" t="s">
        <v>14426</v>
      </c>
      <c r="Y736" t="s">
        <v>14427</v>
      </c>
      <c r="Z736" t="s">
        <v>14428</v>
      </c>
      <c r="AA736" t="s">
        <v>14429</v>
      </c>
      <c r="AB736" t="s">
        <v>14430</v>
      </c>
      <c r="AC736" t="s">
        <v>14431</v>
      </c>
      <c r="AD736" t="s">
        <v>14432</v>
      </c>
      <c r="AE736" t="s">
        <v>14433</v>
      </c>
      <c r="AF736" t="s">
        <v>74</v>
      </c>
      <c r="AG736">
        <v>44</v>
      </c>
      <c r="AH736">
        <v>16</v>
      </c>
      <c r="AI736">
        <v>17</v>
      </c>
      <c r="AJ736">
        <v>1</v>
      </c>
      <c r="AK736">
        <v>15</v>
      </c>
      <c r="AL736" t="s">
        <v>12239</v>
      </c>
      <c r="AM736" t="s">
        <v>12240</v>
      </c>
      <c r="AN736" t="s">
        <v>12241</v>
      </c>
      <c r="AO736" t="s">
        <v>14434</v>
      </c>
      <c r="AP736" t="s">
        <v>74</v>
      </c>
      <c r="AQ736" t="s">
        <v>74</v>
      </c>
      <c r="AR736" t="s">
        <v>14435</v>
      </c>
      <c r="AS736" t="s">
        <v>14436</v>
      </c>
      <c r="AT736" t="s">
        <v>14339</v>
      </c>
      <c r="AU736">
        <v>2021</v>
      </c>
      <c r="AV736">
        <v>6</v>
      </c>
      <c r="AW736">
        <v>2</v>
      </c>
      <c r="AX736" t="s">
        <v>74</v>
      </c>
      <c r="AY736" t="s">
        <v>74</v>
      </c>
      <c r="AZ736" t="s">
        <v>74</v>
      </c>
      <c r="BA736" t="s">
        <v>74</v>
      </c>
      <c r="BB736" t="s">
        <v>74</v>
      </c>
      <c r="BC736" t="s">
        <v>74</v>
      </c>
      <c r="BD736">
        <v>23802</v>
      </c>
      <c r="BE736" t="s">
        <v>14437</v>
      </c>
      <c r="BF736" t="str">
        <f>HYPERLINK("http://dx.doi.org/10.1103/PhysRevFluids.6.023802","http://dx.doi.org/10.1103/PhysRevFluids.6.023802")</f>
        <v>http://dx.doi.org/10.1103/PhysRevFluids.6.023802</v>
      </c>
      <c r="BG736" t="s">
        <v>74</v>
      </c>
      <c r="BH736" t="s">
        <v>74</v>
      </c>
      <c r="BI736">
        <v>20</v>
      </c>
      <c r="BJ736" t="s">
        <v>14438</v>
      </c>
      <c r="BK736" t="s">
        <v>101</v>
      </c>
      <c r="BL736" t="s">
        <v>12249</v>
      </c>
      <c r="BM736" t="s">
        <v>14439</v>
      </c>
      <c r="BN736" t="s">
        <v>74</v>
      </c>
      <c r="BO736" t="s">
        <v>496</v>
      </c>
      <c r="BP736" t="s">
        <v>74</v>
      </c>
      <c r="BQ736" t="s">
        <v>74</v>
      </c>
      <c r="BR736" t="s">
        <v>104</v>
      </c>
      <c r="BS736" t="s">
        <v>14440</v>
      </c>
      <c r="BT736" t="str">
        <f>HYPERLINK("https%3A%2F%2Fwww.webofscience.com%2Fwos%2Fwoscc%2Ffull-record%2FWOS:000617803700001","View Full Record in Web of Science")</f>
        <v>View Full Record in Web of Science</v>
      </c>
    </row>
    <row r="737" spans="1:72" x14ac:dyDescent="0.15">
      <c r="A737" t="s">
        <v>72</v>
      </c>
      <c r="B737" t="s">
        <v>14441</v>
      </c>
      <c r="C737" t="s">
        <v>74</v>
      </c>
      <c r="D737" t="s">
        <v>74</v>
      </c>
      <c r="E737" t="s">
        <v>74</v>
      </c>
      <c r="F737" t="s">
        <v>14442</v>
      </c>
      <c r="G737" t="s">
        <v>74</v>
      </c>
      <c r="H737" t="s">
        <v>74</v>
      </c>
      <c r="I737" t="s">
        <v>14443</v>
      </c>
      <c r="J737" t="s">
        <v>1980</v>
      </c>
      <c r="K737" t="s">
        <v>74</v>
      </c>
      <c r="L737" t="s">
        <v>74</v>
      </c>
      <c r="M737" t="s">
        <v>78</v>
      </c>
      <c r="N737" t="s">
        <v>79</v>
      </c>
      <c r="O737" t="s">
        <v>74</v>
      </c>
      <c r="P737" t="s">
        <v>74</v>
      </c>
      <c r="Q737" t="s">
        <v>74</v>
      </c>
      <c r="R737" t="s">
        <v>74</v>
      </c>
      <c r="S737" t="s">
        <v>74</v>
      </c>
      <c r="T737" t="s">
        <v>74</v>
      </c>
      <c r="U737" t="s">
        <v>14444</v>
      </c>
      <c r="V737" t="s">
        <v>14445</v>
      </c>
      <c r="W737" t="s">
        <v>14446</v>
      </c>
      <c r="X737" t="s">
        <v>14447</v>
      </c>
      <c r="Y737" t="s">
        <v>14448</v>
      </c>
      <c r="Z737" t="s">
        <v>14449</v>
      </c>
      <c r="AA737" t="s">
        <v>74</v>
      </c>
      <c r="AB737" t="s">
        <v>14450</v>
      </c>
      <c r="AC737" t="s">
        <v>14451</v>
      </c>
      <c r="AD737" t="s">
        <v>14452</v>
      </c>
      <c r="AE737" t="s">
        <v>14453</v>
      </c>
      <c r="AF737" t="s">
        <v>74</v>
      </c>
      <c r="AG737">
        <v>125</v>
      </c>
      <c r="AH737">
        <v>7</v>
      </c>
      <c r="AI737">
        <v>9</v>
      </c>
      <c r="AJ737">
        <v>5</v>
      </c>
      <c r="AK737">
        <v>35</v>
      </c>
      <c r="AL737" t="s">
        <v>1269</v>
      </c>
      <c r="AM737" t="s">
        <v>1270</v>
      </c>
      <c r="AN737" t="s">
        <v>1271</v>
      </c>
      <c r="AO737" t="s">
        <v>1992</v>
      </c>
      <c r="AP737" t="s">
        <v>1993</v>
      </c>
      <c r="AQ737" t="s">
        <v>74</v>
      </c>
      <c r="AR737" t="s">
        <v>1994</v>
      </c>
      <c r="AS737" t="s">
        <v>1995</v>
      </c>
      <c r="AT737" t="s">
        <v>14339</v>
      </c>
      <c r="AU737">
        <v>2021</v>
      </c>
      <c r="AV737">
        <v>21</v>
      </c>
      <c r="AW737">
        <v>3</v>
      </c>
      <c r="AX737" t="s">
        <v>74</v>
      </c>
      <c r="AY737" t="s">
        <v>74</v>
      </c>
      <c r="AZ737" t="s">
        <v>74</v>
      </c>
      <c r="BA737" t="s">
        <v>74</v>
      </c>
      <c r="BB737">
        <v>2105</v>
      </c>
      <c r="BC737">
        <v>2124</v>
      </c>
      <c r="BD737" t="s">
        <v>74</v>
      </c>
      <c r="BE737" t="s">
        <v>14454</v>
      </c>
      <c r="BF737" t="str">
        <f>HYPERLINK("http://dx.doi.org/10.5194/acp-21-2105-2021","http://dx.doi.org/10.5194/acp-21-2105-2021")</f>
        <v>http://dx.doi.org/10.5194/acp-21-2105-2021</v>
      </c>
      <c r="BG737" t="s">
        <v>74</v>
      </c>
      <c r="BH737" t="s">
        <v>74</v>
      </c>
      <c r="BI737">
        <v>20</v>
      </c>
      <c r="BJ737" t="s">
        <v>199</v>
      </c>
      <c r="BK737" t="s">
        <v>101</v>
      </c>
      <c r="BL737" t="s">
        <v>200</v>
      </c>
      <c r="BM737" t="s">
        <v>14455</v>
      </c>
      <c r="BN737" t="s">
        <v>74</v>
      </c>
      <c r="BO737" t="s">
        <v>1779</v>
      </c>
      <c r="BP737" t="s">
        <v>74</v>
      </c>
      <c r="BQ737" t="s">
        <v>74</v>
      </c>
      <c r="BR737" t="s">
        <v>104</v>
      </c>
      <c r="BS737" t="s">
        <v>14456</v>
      </c>
      <c r="BT737" t="str">
        <f>HYPERLINK("https%3A%2F%2Fwww.webofscience.com%2Fwos%2Fwoscc%2Ffull-record%2FWOS:000619671700001","View Full Record in Web of Science")</f>
        <v>View Full Record in Web of Science</v>
      </c>
    </row>
    <row r="738" spans="1:72" x14ac:dyDescent="0.15">
      <c r="A738" t="s">
        <v>72</v>
      </c>
      <c r="B738" t="s">
        <v>14457</v>
      </c>
      <c r="C738" t="s">
        <v>74</v>
      </c>
      <c r="D738" t="s">
        <v>74</v>
      </c>
      <c r="E738" t="s">
        <v>74</v>
      </c>
      <c r="F738" t="s">
        <v>14458</v>
      </c>
      <c r="G738" t="s">
        <v>74</v>
      </c>
      <c r="H738" t="s">
        <v>74</v>
      </c>
      <c r="I738" t="s">
        <v>14459</v>
      </c>
      <c r="J738" t="s">
        <v>1628</v>
      </c>
      <c r="K738" t="s">
        <v>74</v>
      </c>
      <c r="L738" t="s">
        <v>74</v>
      </c>
      <c r="M738" t="s">
        <v>78</v>
      </c>
      <c r="N738" t="s">
        <v>3616</v>
      </c>
      <c r="O738" t="s">
        <v>74</v>
      </c>
      <c r="P738" t="s">
        <v>74</v>
      </c>
      <c r="Q738" t="s">
        <v>74</v>
      </c>
      <c r="R738" t="s">
        <v>74</v>
      </c>
      <c r="S738" t="s">
        <v>74</v>
      </c>
      <c r="T738" t="s">
        <v>74</v>
      </c>
      <c r="U738" t="s">
        <v>74</v>
      </c>
      <c r="V738" t="s">
        <v>74</v>
      </c>
      <c r="W738" t="s">
        <v>14460</v>
      </c>
      <c r="X738" t="s">
        <v>14461</v>
      </c>
      <c r="Y738" t="s">
        <v>14462</v>
      </c>
      <c r="Z738" t="s">
        <v>14463</v>
      </c>
      <c r="AA738" t="s">
        <v>14464</v>
      </c>
      <c r="AB738" t="s">
        <v>74</v>
      </c>
      <c r="AC738" t="s">
        <v>74</v>
      </c>
      <c r="AD738" t="s">
        <v>74</v>
      </c>
      <c r="AE738" t="s">
        <v>74</v>
      </c>
      <c r="AF738" t="s">
        <v>74</v>
      </c>
      <c r="AG738">
        <v>1</v>
      </c>
      <c r="AH738">
        <v>1</v>
      </c>
      <c r="AI738">
        <v>1</v>
      </c>
      <c r="AJ738">
        <v>1</v>
      </c>
      <c r="AK738">
        <v>5</v>
      </c>
      <c r="AL738" t="s">
        <v>1058</v>
      </c>
      <c r="AM738" t="s">
        <v>891</v>
      </c>
      <c r="AN738" t="s">
        <v>1059</v>
      </c>
      <c r="AO738" t="s">
        <v>1641</v>
      </c>
      <c r="AP738" t="s">
        <v>1642</v>
      </c>
      <c r="AQ738" t="s">
        <v>74</v>
      </c>
      <c r="AR738" t="s">
        <v>1643</v>
      </c>
      <c r="AS738" t="s">
        <v>1644</v>
      </c>
      <c r="AT738" t="s">
        <v>1091</v>
      </c>
      <c r="AU738">
        <v>2021</v>
      </c>
      <c r="AV738">
        <v>163</v>
      </c>
      <c r="AW738" t="s">
        <v>74</v>
      </c>
      <c r="AX738" t="s">
        <v>74</v>
      </c>
      <c r="AY738" t="s">
        <v>74</v>
      </c>
      <c r="AZ738" t="s">
        <v>74</v>
      </c>
      <c r="BA738" t="s">
        <v>74</v>
      </c>
      <c r="BB738" t="s">
        <v>74</v>
      </c>
      <c r="BC738" t="s">
        <v>74</v>
      </c>
      <c r="BD738">
        <v>111802</v>
      </c>
      <c r="BE738" t="s">
        <v>14465</v>
      </c>
      <c r="BF738" t="str">
        <f>HYPERLINK("http://dx.doi.org/10.1016/j.marpolbul.2020.111802","http://dx.doi.org/10.1016/j.marpolbul.2020.111802")</f>
        <v>http://dx.doi.org/10.1016/j.marpolbul.2020.111802</v>
      </c>
      <c r="BG738" t="s">
        <v>74</v>
      </c>
      <c r="BH738" t="s">
        <v>12028</v>
      </c>
      <c r="BI738">
        <v>1</v>
      </c>
      <c r="BJ738" t="s">
        <v>1646</v>
      </c>
      <c r="BK738" t="s">
        <v>101</v>
      </c>
      <c r="BL738" t="s">
        <v>710</v>
      </c>
      <c r="BM738" t="s">
        <v>14466</v>
      </c>
      <c r="BN738">
        <v>33229001</v>
      </c>
      <c r="BO738" t="s">
        <v>74</v>
      </c>
      <c r="BP738" t="s">
        <v>74</v>
      </c>
      <c r="BQ738" t="s">
        <v>74</v>
      </c>
      <c r="BR738" t="s">
        <v>104</v>
      </c>
      <c r="BS738" t="s">
        <v>14467</v>
      </c>
      <c r="BT738" t="str">
        <f>HYPERLINK("https%3A%2F%2Fwww.webofscience.com%2Fwos%2Fwoscc%2Ffull-record%2FWOS:000620266400019","View Full Record in Web of Science")</f>
        <v>View Full Record in Web of Science</v>
      </c>
    </row>
    <row r="739" spans="1:72" x14ac:dyDescent="0.15">
      <c r="A739" t="s">
        <v>72</v>
      </c>
      <c r="B739" t="s">
        <v>14468</v>
      </c>
      <c r="C739" t="s">
        <v>74</v>
      </c>
      <c r="D739" t="s">
        <v>74</v>
      </c>
      <c r="E739" t="s">
        <v>74</v>
      </c>
      <c r="F739" t="s">
        <v>14469</v>
      </c>
      <c r="G739" t="s">
        <v>74</v>
      </c>
      <c r="H739" t="s">
        <v>74</v>
      </c>
      <c r="I739" t="s">
        <v>14470</v>
      </c>
      <c r="J739" t="s">
        <v>14471</v>
      </c>
      <c r="K739" t="s">
        <v>74</v>
      </c>
      <c r="L739" t="s">
        <v>74</v>
      </c>
      <c r="M739" t="s">
        <v>78</v>
      </c>
      <c r="N739" t="s">
        <v>79</v>
      </c>
      <c r="O739" t="s">
        <v>74</v>
      </c>
      <c r="P739" t="s">
        <v>74</v>
      </c>
      <c r="Q739" t="s">
        <v>74</v>
      </c>
      <c r="R739" t="s">
        <v>74</v>
      </c>
      <c r="S739" t="s">
        <v>74</v>
      </c>
      <c r="T739" t="s">
        <v>14472</v>
      </c>
      <c r="U739" t="s">
        <v>14473</v>
      </c>
      <c r="V739" t="s">
        <v>14474</v>
      </c>
      <c r="W739" t="s">
        <v>14475</v>
      </c>
      <c r="X739" t="s">
        <v>14476</v>
      </c>
      <c r="Y739" t="s">
        <v>14477</v>
      </c>
      <c r="Z739" t="s">
        <v>14478</v>
      </c>
      <c r="AA739" t="s">
        <v>14479</v>
      </c>
      <c r="AB739" t="s">
        <v>14480</v>
      </c>
      <c r="AC739" t="s">
        <v>14481</v>
      </c>
      <c r="AD739" t="s">
        <v>6780</v>
      </c>
      <c r="AE739" t="s">
        <v>14482</v>
      </c>
      <c r="AF739" t="s">
        <v>74</v>
      </c>
      <c r="AG739">
        <v>54</v>
      </c>
      <c r="AH739">
        <v>12</v>
      </c>
      <c r="AI739">
        <v>14</v>
      </c>
      <c r="AJ739">
        <v>4</v>
      </c>
      <c r="AK739">
        <v>34</v>
      </c>
      <c r="AL739" t="s">
        <v>3000</v>
      </c>
      <c r="AM739" t="s">
        <v>167</v>
      </c>
      <c r="AN739" t="s">
        <v>3001</v>
      </c>
      <c r="AO739" t="s">
        <v>14483</v>
      </c>
      <c r="AP739" t="s">
        <v>14484</v>
      </c>
      <c r="AQ739" t="s">
        <v>74</v>
      </c>
      <c r="AR739" t="s">
        <v>14485</v>
      </c>
      <c r="AS739" t="s">
        <v>14486</v>
      </c>
      <c r="AT739" t="s">
        <v>2859</v>
      </c>
      <c r="AU739">
        <v>2021</v>
      </c>
      <c r="AV739">
        <v>256</v>
      </c>
      <c r="AW739" t="s">
        <v>74</v>
      </c>
      <c r="AX739" t="s">
        <v>74</v>
      </c>
      <c r="AY739" t="s">
        <v>74</v>
      </c>
      <c r="AZ739" t="s">
        <v>74</v>
      </c>
      <c r="BA739" t="s">
        <v>74</v>
      </c>
      <c r="BB739" t="s">
        <v>74</v>
      </c>
      <c r="BC739" t="s">
        <v>74</v>
      </c>
      <c r="BD739">
        <v>112342</v>
      </c>
      <c r="BE739" t="s">
        <v>14487</v>
      </c>
      <c r="BF739" t="str">
        <f>HYPERLINK("http://dx.doi.org/10.1016/j.rse.2021.112342","http://dx.doi.org/10.1016/j.rse.2021.112342")</f>
        <v>http://dx.doi.org/10.1016/j.rse.2021.112342</v>
      </c>
      <c r="BG739" t="s">
        <v>74</v>
      </c>
      <c r="BH739" t="s">
        <v>12028</v>
      </c>
      <c r="BI739">
        <v>14</v>
      </c>
      <c r="BJ739" t="s">
        <v>14488</v>
      </c>
      <c r="BK739" t="s">
        <v>101</v>
      </c>
      <c r="BL739" t="s">
        <v>14489</v>
      </c>
      <c r="BM739" t="s">
        <v>14490</v>
      </c>
      <c r="BN739" t="s">
        <v>74</v>
      </c>
      <c r="BO739" t="s">
        <v>712</v>
      </c>
      <c r="BP739" t="s">
        <v>74</v>
      </c>
      <c r="BQ739" t="s">
        <v>74</v>
      </c>
      <c r="BR739" t="s">
        <v>104</v>
      </c>
      <c r="BS739" t="s">
        <v>14491</v>
      </c>
      <c r="BT739" t="str">
        <f>HYPERLINK("https%3A%2F%2Fwww.webofscience.com%2Fwos%2Fwoscc%2Ffull-record%2FWOS:000626633200001","View Full Record in Web of Science")</f>
        <v>View Full Record in Web of Science</v>
      </c>
    </row>
    <row r="740" spans="1:72" x14ac:dyDescent="0.15">
      <c r="A740" t="s">
        <v>72</v>
      </c>
      <c r="B740" t="s">
        <v>14492</v>
      </c>
      <c r="C740" t="s">
        <v>74</v>
      </c>
      <c r="D740" t="s">
        <v>74</v>
      </c>
      <c r="E740" t="s">
        <v>74</v>
      </c>
      <c r="F740" t="s">
        <v>14493</v>
      </c>
      <c r="G740" t="s">
        <v>74</v>
      </c>
      <c r="H740" t="s">
        <v>74</v>
      </c>
      <c r="I740" t="s">
        <v>14494</v>
      </c>
      <c r="J740" t="s">
        <v>14495</v>
      </c>
      <c r="K740" t="s">
        <v>74</v>
      </c>
      <c r="L740" t="s">
        <v>74</v>
      </c>
      <c r="M740" t="s">
        <v>78</v>
      </c>
      <c r="N740" t="s">
        <v>79</v>
      </c>
      <c r="O740" t="s">
        <v>74</v>
      </c>
      <c r="P740" t="s">
        <v>74</v>
      </c>
      <c r="Q740" t="s">
        <v>74</v>
      </c>
      <c r="R740" t="s">
        <v>74</v>
      </c>
      <c r="S740" t="s">
        <v>74</v>
      </c>
      <c r="T740" t="s">
        <v>14496</v>
      </c>
      <c r="U740" t="s">
        <v>14497</v>
      </c>
      <c r="V740" t="s">
        <v>14498</v>
      </c>
      <c r="W740" t="s">
        <v>14499</v>
      </c>
      <c r="X740" t="s">
        <v>14500</v>
      </c>
      <c r="Y740" t="s">
        <v>14501</v>
      </c>
      <c r="Z740" t="s">
        <v>14502</v>
      </c>
      <c r="AA740" t="s">
        <v>14503</v>
      </c>
      <c r="AB740" t="s">
        <v>14504</v>
      </c>
      <c r="AC740" t="s">
        <v>14505</v>
      </c>
      <c r="AD740" t="s">
        <v>14506</v>
      </c>
      <c r="AE740" t="s">
        <v>14507</v>
      </c>
      <c r="AF740" t="s">
        <v>74</v>
      </c>
      <c r="AG740">
        <v>108</v>
      </c>
      <c r="AH740">
        <v>15</v>
      </c>
      <c r="AI740">
        <v>15</v>
      </c>
      <c r="AJ740">
        <v>3</v>
      </c>
      <c r="AK740">
        <v>27</v>
      </c>
      <c r="AL740" t="s">
        <v>1160</v>
      </c>
      <c r="AM740" t="s">
        <v>891</v>
      </c>
      <c r="AN740" t="s">
        <v>1161</v>
      </c>
      <c r="AO740" t="s">
        <v>14508</v>
      </c>
      <c r="AP740" t="s">
        <v>74</v>
      </c>
      <c r="AQ740" t="s">
        <v>74</v>
      </c>
      <c r="AR740" t="s">
        <v>14509</v>
      </c>
      <c r="AS740" t="s">
        <v>14510</v>
      </c>
      <c r="AT740" t="s">
        <v>1809</v>
      </c>
      <c r="AU740">
        <v>2021</v>
      </c>
      <c r="AV740">
        <v>13</v>
      </c>
      <c r="AW740">
        <v>3</v>
      </c>
      <c r="AX740" t="s">
        <v>74</v>
      </c>
      <c r="AY740" t="s">
        <v>74</v>
      </c>
      <c r="AZ740" t="s">
        <v>74</v>
      </c>
      <c r="BA740" t="s">
        <v>74</v>
      </c>
      <c r="BB740" t="s">
        <v>74</v>
      </c>
      <c r="BC740" t="s">
        <v>74</v>
      </c>
      <c r="BD740" t="s">
        <v>14511</v>
      </c>
      <c r="BE740" t="s">
        <v>14512</v>
      </c>
      <c r="BF740" t="str">
        <f>HYPERLINK("http://dx.doi.org/10.1093/gbe/evab017","http://dx.doi.org/10.1093/gbe/evab017")</f>
        <v>http://dx.doi.org/10.1093/gbe/evab017</v>
      </c>
      <c r="BG740" t="s">
        <v>74</v>
      </c>
      <c r="BH740" t="s">
        <v>12028</v>
      </c>
      <c r="BI740">
        <v>21</v>
      </c>
      <c r="BJ740" t="s">
        <v>14513</v>
      </c>
      <c r="BK740" t="s">
        <v>101</v>
      </c>
      <c r="BL740" t="s">
        <v>14513</v>
      </c>
      <c r="BM740" t="s">
        <v>14514</v>
      </c>
      <c r="BN740">
        <v>33570582</v>
      </c>
      <c r="BO740" t="s">
        <v>558</v>
      </c>
      <c r="BP740" t="s">
        <v>74</v>
      </c>
      <c r="BQ740" t="s">
        <v>74</v>
      </c>
      <c r="BR740" t="s">
        <v>104</v>
      </c>
      <c r="BS740" t="s">
        <v>14515</v>
      </c>
      <c r="BT740" t="str">
        <f>HYPERLINK("https%3A%2F%2Fwww.webofscience.com%2Fwos%2Fwoscc%2Ffull-record%2FWOS:000637216700011","View Full Record in Web of Science")</f>
        <v>View Full Record in Web of Science</v>
      </c>
    </row>
    <row r="741" spans="1:72" x14ac:dyDescent="0.15">
      <c r="A741" t="s">
        <v>72</v>
      </c>
      <c r="B741" t="s">
        <v>14516</v>
      </c>
      <c r="C741" t="s">
        <v>74</v>
      </c>
      <c r="D741" t="s">
        <v>74</v>
      </c>
      <c r="E741" t="s">
        <v>74</v>
      </c>
      <c r="F741" t="s">
        <v>14517</v>
      </c>
      <c r="G741" t="s">
        <v>74</v>
      </c>
      <c r="H741" t="s">
        <v>74</v>
      </c>
      <c r="I741" t="s">
        <v>14518</v>
      </c>
      <c r="J741" t="s">
        <v>14326</v>
      </c>
      <c r="K741" t="s">
        <v>74</v>
      </c>
      <c r="L741" t="s">
        <v>74</v>
      </c>
      <c r="M741" t="s">
        <v>78</v>
      </c>
      <c r="N741" t="s">
        <v>79</v>
      </c>
      <c r="O741" t="s">
        <v>74</v>
      </c>
      <c r="P741" t="s">
        <v>74</v>
      </c>
      <c r="Q741" t="s">
        <v>74</v>
      </c>
      <c r="R741" t="s">
        <v>74</v>
      </c>
      <c r="S741" t="s">
        <v>74</v>
      </c>
      <c r="T741" t="s">
        <v>74</v>
      </c>
      <c r="U741" t="s">
        <v>14519</v>
      </c>
      <c r="V741" t="s">
        <v>14520</v>
      </c>
      <c r="W741" t="s">
        <v>14521</v>
      </c>
      <c r="X741" t="s">
        <v>14522</v>
      </c>
      <c r="Y741" t="s">
        <v>14523</v>
      </c>
      <c r="Z741" t="s">
        <v>14524</v>
      </c>
      <c r="AA741" t="s">
        <v>14525</v>
      </c>
      <c r="AB741" t="s">
        <v>14526</v>
      </c>
      <c r="AC741" t="s">
        <v>14527</v>
      </c>
      <c r="AD741" t="s">
        <v>14528</v>
      </c>
      <c r="AE741" t="s">
        <v>14529</v>
      </c>
      <c r="AF741" t="s">
        <v>74</v>
      </c>
      <c r="AG741">
        <v>44</v>
      </c>
      <c r="AH741">
        <v>7</v>
      </c>
      <c r="AI741">
        <v>7</v>
      </c>
      <c r="AJ741">
        <v>0</v>
      </c>
      <c r="AK741">
        <v>0</v>
      </c>
      <c r="AL741" t="s">
        <v>1269</v>
      </c>
      <c r="AM741" t="s">
        <v>1270</v>
      </c>
      <c r="AN741" t="s">
        <v>1271</v>
      </c>
      <c r="AO741" t="s">
        <v>14335</v>
      </c>
      <c r="AP741" t="s">
        <v>14336</v>
      </c>
      <c r="AQ741" t="s">
        <v>74</v>
      </c>
      <c r="AR741" t="s">
        <v>14337</v>
      </c>
      <c r="AS741" t="s">
        <v>14338</v>
      </c>
      <c r="AT741" t="s">
        <v>14530</v>
      </c>
      <c r="AU741">
        <v>2021</v>
      </c>
      <c r="AV741">
        <v>14</v>
      </c>
      <c r="AW741">
        <v>2</v>
      </c>
      <c r="AX741" t="s">
        <v>74</v>
      </c>
      <c r="AY741" t="s">
        <v>74</v>
      </c>
      <c r="AZ741" t="s">
        <v>74</v>
      </c>
      <c r="BA741" t="s">
        <v>74</v>
      </c>
      <c r="BB741">
        <v>889</v>
      </c>
      <c r="BC741">
        <v>905</v>
      </c>
      <c r="BD741" t="s">
        <v>74</v>
      </c>
      <c r="BE741" t="s">
        <v>14531</v>
      </c>
      <c r="BF741" t="str">
        <f>HYPERLINK("http://dx.doi.org/10.5194/gmd-14-889-2021","http://dx.doi.org/10.5194/gmd-14-889-2021")</f>
        <v>http://dx.doi.org/10.5194/gmd-14-889-2021</v>
      </c>
      <c r="BG741" t="s">
        <v>74</v>
      </c>
      <c r="BH741" t="s">
        <v>74</v>
      </c>
      <c r="BI741">
        <v>17</v>
      </c>
      <c r="BJ741" t="s">
        <v>100</v>
      </c>
      <c r="BK741" t="s">
        <v>101</v>
      </c>
      <c r="BL741" t="s">
        <v>102</v>
      </c>
      <c r="BM741" t="s">
        <v>14532</v>
      </c>
      <c r="BN741" t="s">
        <v>74</v>
      </c>
      <c r="BO741" t="s">
        <v>1170</v>
      </c>
      <c r="BP741" t="s">
        <v>74</v>
      </c>
      <c r="BQ741" t="s">
        <v>74</v>
      </c>
      <c r="BR741" t="s">
        <v>104</v>
      </c>
      <c r="BS741" t="s">
        <v>14533</v>
      </c>
      <c r="BT741" t="str">
        <f>HYPERLINK("https%3A%2F%2Fwww.webofscience.com%2Fwos%2Fwoscc%2Ffull-record%2FWOS:000619643100002","View Full Record in Web of Science")</f>
        <v>View Full Record in Web of Science</v>
      </c>
    </row>
    <row r="742" spans="1:72" x14ac:dyDescent="0.15">
      <c r="A742" t="s">
        <v>72</v>
      </c>
      <c r="B742" t="s">
        <v>14534</v>
      </c>
      <c r="C742" t="s">
        <v>74</v>
      </c>
      <c r="D742" t="s">
        <v>74</v>
      </c>
      <c r="E742" t="s">
        <v>74</v>
      </c>
      <c r="F742" t="s">
        <v>14535</v>
      </c>
      <c r="G742" t="s">
        <v>74</v>
      </c>
      <c r="H742" t="s">
        <v>74</v>
      </c>
      <c r="I742" t="s">
        <v>14536</v>
      </c>
      <c r="J742" t="s">
        <v>474</v>
      </c>
      <c r="K742" t="s">
        <v>74</v>
      </c>
      <c r="L742" t="s">
        <v>74</v>
      </c>
      <c r="M742" t="s">
        <v>78</v>
      </c>
      <c r="N742" t="s">
        <v>79</v>
      </c>
      <c r="O742" t="s">
        <v>74</v>
      </c>
      <c r="P742" t="s">
        <v>74</v>
      </c>
      <c r="Q742" t="s">
        <v>74</v>
      </c>
      <c r="R742" t="s">
        <v>74</v>
      </c>
      <c r="S742" t="s">
        <v>74</v>
      </c>
      <c r="T742" t="s">
        <v>74</v>
      </c>
      <c r="U742" t="s">
        <v>14537</v>
      </c>
      <c r="V742" t="s">
        <v>14538</v>
      </c>
      <c r="W742" t="s">
        <v>14539</v>
      </c>
      <c r="X742" t="s">
        <v>14540</v>
      </c>
      <c r="Y742" t="s">
        <v>14541</v>
      </c>
      <c r="Z742" t="s">
        <v>14542</v>
      </c>
      <c r="AA742" t="s">
        <v>14543</v>
      </c>
      <c r="AB742" t="s">
        <v>14544</v>
      </c>
      <c r="AC742" t="s">
        <v>14545</v>
      </c>
      <c r="AD742" t="s">
        <v>14546</v>
      </c>
      <c r="AE742" t="s">
        <v>14547</v>
      </c>
      <c r="AF742" t="s">
        <v>74</v>
      </c>
      <c r="AG742">
        <v>72</v>
      </c>
      <c r="AH742">
        <v>10</v>
      </c>
      <c r="AI742">
        <v>11</v>
      </c>
      <c r="AJ742">
        <v>2</v>
      </c>
      <c r="AK742">
        <v>9</v>
      </c>
      <c r="AL742" t="s">
        <v>486</v>
      </c>
      <c r="AM742" t="s">
        <v>487</v>
      </c>
      <c r="AN742" t="s">
        <v>488</v>
      </c>
      <c r="AO742" t="s">
        <v>489</v>
      </c>
      <c r="AP742" t="s">
        <v>490</v>
      </c>
      <c r="AQ742" t="s">
        <v>74</v>
      </c>
      <c r="AR742" t="s">
        <v>491</v>
      </c>
      <c r="AS742" t="s">
        <v>492</v>
      </c>
      <c r="AT742" t="s">
        <v>14530</v>
      </c>
      <c r="AU742">
        <v>2021</v>
      </c>
      <c r="AV742">
        <v>168</v>
      </c>
      <c r="AW742">
        <v>3</v>
      </c>
      <c r="AX742" t="s">
        <v>74</v>
      </c>
      <c r="AY742" t="s">
        <v>74</v>
      </c>
      <c r="AZ742" t="s">
        <v>74</v>
      </c>
      <c r="BA742" t="s">
        <v>74</v>
      </c>
      <c r="BB742" t="s">
        <v>74</v>
      </c>
      <c r="BC742" t="s">
        <v>74</v>
      </c>
      <c r="BD742">
        <v>31</v>
      </c>
      <c r="BE742" t="s">
        <v>14548</v>
      </c>
      <c r="BF742" t="str">
        <f>HYPERLINK("http://dx.doi.org/10.1007/s00227-021-03839-6","http://dx.doi.org/10.1007/s00227-021-03839-6")</f>
        <v>http://dx.doi.org/10.1007/s00227-021-03839-6</v>
      </c>
      <c r="BG742" t="s">
        <v>74</v>
      </c>
      <c r="BH742" t="s">
        <v>74</v>
      </c>
      <c r="BI742">
        <v>12</v>
      </c>
      <c r="BJ742" t="s">
        <v>494</v>
      </c>
      <c r="BK742" t="s">
        <v>101</v>
      </c>
      <c r="BL742" t="s">
        <v>494</v>
      </c>
      <c r="BM742" t="s">
        <v>14549</v>
      </c>
      <c r="BN742" t="s">
        <v>74</v>
      </c>
      <c r="BO742" t="s">
        <v>74</v>
      </c>
      <c r="BP742" t="s">
        <v>74</v>
      </c>
      <c r="BQ742" t="s">
        <v>74</v>
      </c>
      <c r="BR742" t="s">
        <v>104</v>
      </c>
      <c r="BS742" t="s">
        <v>14550</v>
      </c>
      <c r="BT742" t="str">
        <f>HYPERLINK("https%3A%2F%2Fwww.webofscience.com%2Fwos%2Fwoscc%2Ffull-record%2FWOS:000620081600003","View Full Record in Web of Science")</f>
        <v>View Full Record in Web of Science</v>
      </c>
    </row>
    <row r="743" spans="1:72" x14ac:dyDescent="0.15">
      <c r="A743" t="s">
        <v>72</v>
      </c>
      <c r="B743" t="s">
        <v>14551</v>
      </c>
      <c r="C743" t="s">
        <v>74</v>
      </c>
      <c r="D743" t="s">
        <v>74</v>
      </c>
      <c r="E743" t="s">
        <v>74</v>
      </c>
      <c r="F743" t="s">
        <v>14552</v>
      </c>
      <c r="G743" t="s">
        <v>74</v>
      </c>
      <c r="H743" t="s">
        <v>74</v>
      </c>
      <c r="I743" t="s">
        <v>14553</v>
      </c>
      <c r="J743" t="s">
        <v>1421</v>
      </c>
      <c r="K743" t="s">
        <v>74</v>
      </c>
      <c r="L743" t="s">
        <v>74</v>
      </c>
      <c r="M743" t="s">
        <v>78</v>
      </c>
      <c r="N743" t="s">
        <v>79</v>
      </c>
      <c r="O743" t="s">
        <v>74</v>
      </c>
      <c r="P743" t="s">
        <v>74</v>
      </c>
      <c r="Q743" t="s">
        <v>74</v>
      </c>
      <c r="R743" t="s">
        <v>74</v>
      </c>
      <c r="S743" t="s">
        <v>74</v>
      </c>
      <c r="T743" t="s">
        <v>14554</v>
      </c>
      <c r="U743" t="s">
        <v>74</v>
      </c>
      <c r="V743" t="s">
        <v>14555</v>
      </c>
      <c r="W743" t="s">
        <v>14556</v>
      </c>
      <c r="X743" t="s">
        <v>74</v>
      </c>
      <c r="Y743" t="s">
        <v>14557</v>
      </c>
      <c r="Z743" t="s">
        <v>14558</v>
      </c>
      <c r="AA743" t="s">
        <v>14559</v>
      </c>
      <c r="AB743" t="s">
        <v>74</v>
      </c>
      <c r="AC743" t="s">
        <v>14560</v>
      </c>
      <c r="AD743" t="s">
        <v>14561</v>
      </c>
      <c r="AE743" t="s">
        <v>14562</v>
      </c>
      <c r="AF743" t="s">
        <v>74</v>
      </c>
      <c r="AG743">
        <v>57</v>
      </c>
      <c r="AH743">
        <v>5</v>
      </c>
      <c r="AI743">
        <v>5</v>
      </c>
      <c r="AJ743">
        <v>2</v>
      </c>
      <c r="AK743">
        <v>17</v>
      </c>
      <c r="AL743" t="s">
        <v>166</v>
      </c>
      <c r="AM743" t="s">
        <v>167</v>
      </c>
      <c r="AN743" t="s">
        <v>168</v>
      </c>
      <c r="AO743" t="s">
        <v>1433</v>
      </c>
      <c r="AP743" t="s">
        <v>1434</v>
      </c>
      <c r="AQ743" t="s">
        <v>74</v>
      </c>
      <c r="AR743" t="s">
        <v>1435</v>
      </c>
      <c r="AS743" t="s">
        <v>1436</v>
      </c>
      <c r="AT743" t="s">
        <v>1809</v>
      </c>
      <c r="AU743">
        <v>2021</v>
      </c>
      <c r="AV743">
        <v>44</v>
      </c>
      <c r="AW743">
        <v>3</v>
      </c>
      <c r="AX743" t="s">
        <v>74</v>
      </c>
      <c r="AY743" t="s">
        <v>74</v>
      </c>
      <c r="AZ743" t="s">
        <v>74</v>
      </c>
      <c r="BA743" t="s">
        <v>74</v>
      </c>
      <c r="BB743">
        <v>473</v>
      </c>
      <c r="BC743">
        <v>482</v>
      </c>
      <c r="BD743" t="s">
        <v>74</v>
      </c>
      <c r="BE743" t="s">
        <v>14563</v>
      </c>
      <c r="BF743" t="str">
        <f>HYPERLINK("http://dx.doi.org/10.1007/s00300-021-02812-9","http://dx.doi.org/10.1007/s00300-021-02812-9")</f>
        <v>http://dx.doi.org/10.1007/s00300-021-02812-9</v>
      </c>
      <c r="BG743" t="s">
        <v>74</v>
      </c>
      <c r="BH743" t="s">
        <v>12028</v>
      </c>
      <c r="BI743">
        <v>10</v>
      </c>
      <c r="BJ743" t="s">
        <v>1438</v>
      </c>
      <c r="BK743" t="s">
        <v>101</v>
      </c>
      <c r="BL743" t="s">
        <v>1439</v>
      </c>
      <c r="BM743" t="s">
        <v>13018</v>
      </c>
      <c r="BN743" t="s">
        <v>74</v>
      </c>
      <c r="BO743" t="s">
        <v>74</v>
      </c>
      <c r="BP743" t="s">
        <v>74</v>
      </c>
      <c r="BQ743" t="s">
        <v>74</v>
      </c>
      <c r="BR743" t="s">
        <v>104</v>
      </c>
      <c r="BS743" t="s">
        <v>14564</v>
      </c>
      <c r="BT743" t="str">
        <f>HYPERLINK("https%3A%2F%2Fwww.webofscience.com%2Fwos%2Fwoscc%2Ffull-record%2FWOS:000617082000003","View Full Record in Web of Science")</f>
        <v>View Full Record in Web of Science</v>
      </c>
    </row>
    <row r="744" spans="1:72" x14ac:dyDescent="0.15">
      <c r="A744" t="s">
        <v>72</v>
      </c>
      <c r="B744" t="s">
        <v>14565</v>
      </c>
      <c r="C744" t="s">
        <v>74</v>
      </c>
      <c r="D744" t="s">
        <v>74</v>
      </c>
      <c r="E744" t="s">
        <v>74</v>
      </c>
      <c r="F744" t="s">
        <v>14566</v>
      </c>
      <c r="G744" t="s">
        <v>74</v>
      </c>
      <c r="H744" t="s">
        <v>74</v>
      </c>
      <c r="I744" t="s">
        <v>14567</v>
      </c>
      <c r="J744" t="s">
        <v>1421</v>
      </c>
      <c r="K744" t="s">
        <v>74</v>
      </c>
      <c r="L744" t="s">
        <v>74</v>
      </c>
      <c r="M744" t="s">
        <v>78</v>
      </c>
      <c r="N744" t="s">
        <v>79</v>
      </c>
      <c r="O744" t="s">
        <v>74</v>
      </c>
      <c r="P744" t="s">
        <v>74</v>
      </c>
      <c r="Q744" t="s">
        <v>74</v>
      </c>
      <c r="R744" t="s">
        <v>74</v>
      </c>
      <c r="S744" t="s">
        <v>74</v>
      </c>
      <c r="T744" t="s">
        <v>14568</v>
      </c>
      <c r="U744" t="s">
        <v>74</v>
      </c>
      <c r="V744" t="s">
        <v>14569</v>
      </c>
      <c r="W744" t="s">
        <v>14570</v>
      </c>
      <c r="X744" t="s">
        <v>14571</v>
      </c>
      <c r="Y744" t="s">
        <v>14572</v>
      </c>
      <c r="Z744" t="s">
        <v>14573</v>
      </c>
      <c r="AA744" t="s">
        <v>74</v>
      </c>
      <c r="AB744" t="s">
        <v>14574</v>
      </c>
      <c r="AC744" t="s">
        <v>14575</v>
      </c>
      <c r="AD744" t="s">
        <v>14575</v>
      </c>
      <c r="AE744" t="s">
        <v>14576</v>
      </c>
      <c r="AF744" t="s">
        <v>74</v>
      </c>
      <c r="AG744">
        <v>26</v>
      </c>
      <c r="AH744">
        <v>1</v>
      </c>
      <c r="AI744">
        <v>1</v>
      </c>
      <c r="AJ744">
        <v>2</v>
      </c>
      <c r="AK744">
        <v>18</v>
      </c>
      <c r="AL744" t="s">
        <v>166</v>
      </c>
      <c r="AM744" t="s">
        <v>167</v>
      </c>
      <c r="AN744" t="s">
        <v>168</v>
      </c>
      <c r="AO744" t="s">
        <v>1433</v>
      </c>
      <c r="AP744" t="s">
        <v>1434</v>
      </c>
      <c r="AQ744" t="s">
        <v>74</v>
      </c>
      <c r="AR744" t="s">
        <v>1435</v>
      </c>
      <c r="AS744" t="s">
        <v>1436</v>
      </c>
      <c r="AT744" t="s">
        <v>1809</v>
      </c>
      <c r="AU744">
        <v>2021</v>
      </c>
      <c r="AV744">
        <v>44</v>
      </c>
      <c r="AW744">
        <v>3</v>
      </c>
      <c r="AX744" t="s">
        <v>74</v>
      </c>
      <c r="AY744" t="s">
        <v>74</v>
      </c>
      <c r="AZ744" t="s">
        <v>74</v>
      </c>
      <c r="BA744" t="s">
        <v>74</v>
      </c>
      <c r="BB744">
        <v>483</v>
      </c>
      <c r="BC744">
        <v>489</v>
      </c>
      <c r="BD744" t="s">
        <v>74</v>
      </c>
      <c r="BE744" t="s">
        <v>14577</v>
      </c>
      <c r="BF744" t="str">
        <f>HYPERLINK("http://dx.doi.org/10.1007/s00300-021-02814-7","http://dx.doi.org/10.1007/s00300-021-02814-7")</f>
        <v>http://dx.doi.org/10.1007/s00300-021-02814-7</v>
      </c>
      <c r="BG744" t="s">
        <v>74</v>
      </c>
      <c r="BH744" t="s">
        <v>12028</v>
      </c>
      <c r="BI744">
        <v>7</v>
      </c>
      <c r="BJ744" t="s">
        <v>1438</v>
      </c>
      <c r="BK744" t="s">
        <v>101</v>
      </c>
      <c r="BL744" t="s">
        <v>1439</v>
      </c>
      <c r="BM744" t="s">
        <v>13018</v>
      </c>
      <c r="BN744" t="s">
        <v>74</v>
      </c>
      <c r="BO744" t="s">
        <v>1492</v>
      </c>
      <c r="BP744" t="s">
        <v>74</v>
      </c>
      <c r="BQ744" t="s">
        <v>74</v>
      </c>
      <c r="BR744" t="s">
        <v>104</v>
      </c>
      <c r="BS744" t="s">
        <v>14578</v>
      </c>
      <c r="BT744" t="str">
        <f>HYPERLINK("https%3A%2F%2Fwww.webofscience.com%2Fwos%2Fwoscc%2Ffull-record%2FWOS:000617082000001","View Full Record in Web of Science")</f>
        <v>View Full Record in Web of Science</v>
      </c>
    </row>
    <row r="745" spans="1:72" x14ac:dyDescent="0.15">
      <c r="A745" t="s">
        <v>72</v>
      </c>
      <c r="B745" t="s">
        <v>14579</v>
      </c>
      <c r="C745" t="s">
        <v>74</v>
      </c>
      <c r="D745" t="s">
        <v>74</v>
      </c>
      <c r="E745" t="s">
        <v>74</v>
      </c>
      <c r="F745" t="s">
        <v>14580</v>
      </c>
      <c r="G745" t="s">
        <v>74</v>
      </c>
      <c r="H745" t="s">
        <v>74</v>
      </c>
      <c r="I745" t="s">
        <v>14581</v>
      </c>
      <c r="J745" t="s">
        <v>1421</v>
      </c>
      <c r="K745" t="s">
        <v>74</v>
      </c>
      <c r="L745" t="s">
        <v>74</v>
      </c>
      <c r="M745" t="s">
        <v>78</v>
      </c>
      <c r="N745" t="s">
        <v>79</v>
      </c>
      <c r="O745" t="s">
        <v>74</v>
      </c>
      <c r="P745" t="s">
        <v>74</v>
      </c>
      <c r="Q745" t="s">
        <v>74</v>
      </c>
      <c r="R745" t="s">
        <v>74</v>
      </c>
      <c r="S745" t="s">
        <v>74</v>
      </c>
      <c r="T745" t="s">
        <v>14582</v>
      </c>
      <c r="U745" t="s">
        <v>74</v>
      </c>
      <c r="V745" t="s">
        <v>14583</v>
      </c>
      <c r="W745" t="s">
        <v>14584</v>
      </c>
      <c r="X745" t="s">
        <v>14585</v>
      </c>
      <c r="Y745" t="s">
        <v>14586</v>
      </c>
      <c r="Z745" t="s">
        <v>14587</v>
      </c>
      <c r="AA745" t="s">
        <v>14588</v>
      </c>
      <c r="AB745" t="s">
        <v>14589</v>
      </c>
      <c r="AC745" t="s">
        <v>14590</v>
      </c>
      <c r="AD745" t="s">
        <v>14591</v>
      </c>
      <c r="AE745" t="s">
        <v>14592</v>
      </c>
      <c r="AF745" t="s">
        <v>74</v>
      </c>
      <c r="AG745">
        <v>25</v>
      </c>
      <c r="AH745">
        <v>1</v>
      </c>
      <c r="AI745">
        <v>1</v>
      </c>
      <c r="AJ745">
        <v>1</v>
      </c>
      <c r="AK745">
        <v>10</v>
      </c>
      <c r="AL745" t="s">
        <v>166</v>
      </c>
      <c r="AM745" t="s">
        <v>167</v>
      </c>
      <c r="AN745" t="s">
        <v>168</v>
      </c>
      <c r="AO745" t="s">
        <v>1433</v>
      </c>
      <c r="AP745" t="s">
        <v>1434</v>
      </c>
      <c r="AQ745" t="s">
        <v>74</v>
      </c>
      <c r="AR745" t="s">
        <v>1435</v>
      </c>
      <c r="AS745" t="s">
        <v>1436</v>
      </c>
      <c r="AT745" t="s">
        <v>1809</v>
      </c>
      <c r="AU745">
        <v>2021</v>
      </c>
      <c r="AV745">
        <v>44</v>
      </c>
      <c r="AW745">
        <v>3</v>
      </c>
      <c r="AX745" t="s">
        <v>74</v>
      </c>
      <c r="AY745" t="s">
        <v>74</v>
      </c>
      <c r="AZ745" t="s">
        <v>74</v>
      </c>
      <c r="BA745" t="s">
        <v>74</v>
      </c>
      <c r="BB745">
        <v>587</v>
      </c>
      <c r="BC745">
        <v>591</v>
      </c>
      <c r="BD745" t="s">
        <v>74</v>
      </c>
      <c r="BE745" t="s">
        <v>14593</v>
      </c>
      <c r="BF745" t="str">
        <f>HYPERLINK("http://dx.doi.org/10.1007/s00300-021-02808-5","http://dx.doi.org/10.1007/s00300-021-02808-5")</f>
        <v>http://dx.doi.org/10.1007/s00300-021-02808-5</v>
      </c>
      <c r="BG745" t="s">
        <v>74</v>
      </c>
      <c r="BH745" t="s">
        <v>12028</v>
      </c>
      <c r="BI745">
        <v>5</v>
      </c>
      <c r="BJ745" t="s">
        <v>1438</v>
      </c>
      <c r="BK745" t="s">
        <v>101</v>
      </c>
      <c r="BL745" t="s">
        <v>1439</v>
      </c>
      <c r="BM745" t="s">
        <v>13018</v>
      </c>
      <c r="BN745" t="s">
        <v>74</v>
      </c>
      <c r="BO745" t="s">
        <v>712</v>
      </c>
      <c r="BP745" t="s">
        <v>74</v>
      </c>
      <c r="BQ745" t="s">
        <v>74</v>
      </c>
      <c r="BR745" t="s">
        <v>104</v>
      </c>
      <c r="BS745" t="s">
        <v>14594</v>
      </c>
      <c r="BT745" t="str">
        <f>HYPERLINK("https%3A%2F%2Fwww.webofscience.com%2Fwos%2Fwoscc%2Ffull-record%2FWOS:000617082000002","View Full Record in Web of Science")</f>
        <v>View Full Record in Web of Science</v>
      </c>
    </row>
    <row r="746" spans="1:72" x14ac:dyDescent="0.15">
      <c r="A746" t="s">
        <v>72</v>
      </c>
      <c r="B746" t="s">
        <v>14595</v>
      </c>
      <c r="C746" t="s">
        <v>74</v>
      </c>
      <c r="D746" t="s">
        <v>74</v>
      </c>
      <c r="E746" t="s">
        <v>74</v>
      </c>
      <c r="F746" t="s">
        <v>14596</v>
      </c>
      <c r="G746" t="s">
        <v>74</v>
      </c>
      <c r="H746" t="s">
        <v>74</v>
      </c>
      <c r="I746" t="s">
        <v>14597</v>
      </c>
      <c r="J746" t="s">
        <v>14598</v>
      </c>
      <c r="K746" t="s">
        <v>74</v>
      </c>
      <c r="L746" t="s">
        <v>74</v>
      </c>
      <c r="M746" t="s">
        <v>78</v>
      </c>
      <c r="N746" t="s">
        <v>79</v>
      </c>
      <c r="O746" t="s">
        <v>74</v>
      </c>
      <c r="P746" t="s">
        <v>74</v>
      </c>
      <c r="Q746" t="s">
        <v>74</v>
      </c>
      <c r="R746" t="s">
        <v>74</v>
      </c>
      <c r="S746" t="s">
        <v>74</v>
      </c>
      <c r="T746" t="s">
        <v>14599</v>
      </c>
      <c r="U746" t="s">
        <v>74</v>
      </c>
      <c r="V746" t="s">
        <v>14600</v>
      </c>
      <c r="W746" t="s">
        <v>14601</v>
      </c>
      <c r="X746" t="s">
        <v>14602</v>
      </c>
      <c r="Y746" t="s">
        <v>14603</v>
      </c>
      <c r="Z746" t="s">
        <v>14604</v>
      </c>
      <c r="AA746" t="s">
        <v>14605</v>
      </c>
      <c r="AB746" t="s">
        <v>14606</v>
      </c>
      <c r="AC746" t="s">
        <v>14607</v>
      </c>
      <c r="AD746" t="s">
        <v>14608</v>
      </c>
      <c r="AE746" t="s">
        <v>14609</v>
      </c>
      <c r="AF746" t="s">
        <v>74</v>
      </c>
      <c r="AG746">
        <v>50</v>
      </c>
      <c r="AH746">
        <v>2</v>
      </c>
      <c r="AI746">
        <v>2</v>
      </c>
      <c r="AJ746">
        <v>0</v>
      </c>
      <c r="AK746">
        <v>3</v>
      </c>
      <c r="AL746" t="s">
        <v>795</v>
      </c>
      <c r="AM746" t="s">
        <v>796</v>
      </c>
      <c r="AN746" t="s">
        <v>797</v>
      </c>
      <c r="AO746" t="s">
        <v>14610</v>
      </c>
      <c r="AP746" t="s">
        <v>14611</v>
      </c>
      <c r="AQ746" t="s">
        <v>74</v>
      </c>
      <c r="AR746" t="s">
        <v>14612</v>
      </c>
      <c r="AS746" t="s">
        <v>14613</v>
      </c>
      <c r="AT746" t="s">
        <v>1035</v>
      </c>
      <c r="AU746">
        <v>2021</v>
      </c>
      <c r="AV746">
        <v>239</v>
      </c>
      <c r="AW746">
        <v>1</v>
      </c>
      <c r="AX746" t="s">
        <v>74</v>
      </c>
      <c r="AY746" t="s">
        <v>74</v>
      </c>
      <c r="AZ746" t="s">
        <v>74</v>
      </c>
      <c r="BA746" t="s">
        <v>74</v>
      </c>
      <c r="BB746">
        <v>151</v>
      </c>
      <c r="BC746">
        <v>166</v>
      </c>
      <c r="BD746" t="s">
        <v>74</v>
      </c>
      <c r="BE746" t="s">
        <v>14614</v>
      </c>
      <c r="BF746" t="str">
        <f>HYPERLINK("http://dx.doi.org/10.1111/joa.13403","http://dx.doi.org/10.1111/joa.13403")</f>
        <v>http://dx.doi.org/10.1111/joa.13403</v>
      </c>
      <c r="BG746" t="s">
        <v>74</v>
      </c>
      <c r="BH746" t="s">
        <v>12028</v>
      </c>
      <c r="BI746">
        <v>16</v>
      </c>
      <c r="BJ746" t="s">
        <v>14615</v>
      </c>
      <c r="BK746" t="s">
        <v>101</v>
      </c>
      <c r="BL746" t="s">
        <v>14615</v>
      </c>
      <c r="BM746" t="s">
        <v>14616</v>
      </c>
      <c r="BN746">
        <v>33576081</v>
      </c>
      <c r="BO746" t="s">
        <v>927</v>
      </c>
      <c r="BP746" t="s">
        <v>74</v>
      </c>
      <c r="BQ746" t="s">
        <v>74</v>
      </c>
      <c r="BR746" t="s">
        <v>104</v>
      </c>
      <c r="BS746" t="s">
        <v>14617</v>
      </c>
      <c r="BT746" t="str">
        <f>HYPERLINK("https%3A%2F%2Fwww.webofscience.com%2Fwos%2Fwoscc%2Ffull-record%2FWOS:000617058700001","View Full Record in Web of Science")</f>
        <v>View Full Record in Web of Science</v>
      </c>
    </row>
    <row r="747" spans="1:72" x14ac:dyDescent="0.15">
      <c r="A747" t="s">
        <v>72</v>
      </c>
      <c r="B747" t="s">
        <v>14618</v>
      </c>
      <c r="C747" t="s">
        <v>74</v>
      </c>
      <c r="D747" t="s">
        <v>74</v>
      </c>
      <c r="E747" t="s">
        <v>74</v>
      </c>
      <c r="F747" t="s">
        <v>14619</v>
      </c>
      <c r="G747" t="s">
        <v>74</v>
      </c>
      <c r="H747" t="s">
        <v>74</v>
      </c>
      <c r="I747" t="s">
        <v>14620</v>
      </c>
      <c r="J747" t="s">
        <v>14621</v>
      </c>
      <c r="K747" t="s">
        <v>74</v>
      </c>
      <c r="L747" t="s">
        <v>74</v>
      </c>
      <c r="M747" t="s">
        <v>78</v>
      </c>
      <c r="N747" t="s">
        <v>79</v>
      </c>
      <c r="O747" t="s">
        <v>74</v>
      </c>
      <c r="P747" t="s">
        <v>74</v>
      </c>
      <c r="Q747" t="s">
        <v>74</v>
      </c>
      <c r="R747" t="s">
        <v>74</v>
      </c>
      <c r="S747" t="s">
        <v>74</v>
      </c>
      <c r="T747" t="s">
        <v>14622</v>
      </c>
      <c r="U747" t="s">
        <v>14623</v>
      </c>
      <c r="V747" t="s">
        <v>14624</v>
      </c>
      <c r="W747" t="s">
        <v>14625</v>
      </c>
      <c r="X747" t="s">
        <v>14626</v>
      </c>
      <c r="Y747" t="s">
        <v>14627</v>
      </c>
      <c r="Z747" t="s">
        <v>14628</v>
      </c>
      <c r="AA747" t="s">
        <v>14629</v>
      </c>
      <c r="AB747" t="s">
        <v>14630</v>
      </c>
      <c r="AC747" t="s">
        <v>14631</v>
      </c>
      <c r="AD747" t="s">
        <v>14632</v>
      </c>
      <c r="AE747" t="s">
        <v>14633</v>
      </c>
      <c r="AF747" t="s">
        <v>74</v>
      </c>
      <c r="AG747">
        <v>81</v>
      </c>
      <c r="AH747">
        <v>4</v>
      </c>
      <c r="AI747">
        <v>4</v>
      </c>
      <c r="AJ747">
        <v>1</v>
      </c>
      <c r="AK747">
        <v>18</v>
      </c>
      <c r="AL747" t="s">
        <v>795</v>
      </c>
      <c r="AM747" t="s">
        <v>796</v>
      </c>
      <c r="AN747" t="s">
        <v>797</v>
      </c>
      <c r="AO747" t="s">
        <v>14634</v>
      </c>
      <c r="AP747" t="s">
        <v>14635</v>
      </c>
      <c r="AQ747" t="s">
        <v>74</v>
      </c>
      <c r="AR747" t="s">
        <v>14636</v>
      </c>
      <c r="AS747" t="s">
        <v>14637</v>
      </c>
      <c r="AT747" t="s">
        <v>707</v>
      </c>
      <c r="AU747">
        <v>2021</v>
      </c>
      <c r="AV747">
        <v>98</v>
      </c>
      <c r="AW747">
        <v>6</v>
      </c>
      <c r="AX747" t="s">
        <v>74</v>
      </c>
      <c r="AY747" t="s">
        <v>74</v>
      </c>
      <c r="AZ747" t="s">
        <v>803</v>
      </c>
      <c r="BA747" t="s">
        <v>74</v>
      </c>
      <c r="BB747">
        <v>1558</v>
      </c>
      <c r="BC747">
        <v>1571</v>
      </c>
      <c r="BD747" t="s">
        <v>74</v>
      </c>
      <c r="BE747" t="s">
        <v>14638</v>
      </c>
      <c r="BF747" t="str">
        <f>HYPERLINK("http://dx.doi.org/10.1111/jfb.14676","http://dx.doi.org/10.1111/jfb.14676")</f>
        <v>http://dx.doi.org/10.1111/jfb.14676</v>
      </c>
      <c r="BG747" t="s">
        <v>74</v>
      </c>
      <c r="BH747" t="s">
        <v>12028</v>
      </c>
      <c r="BI747">
        <v>14</v>
      </c>
      <c r="BJ747" t="s">
        <v>1811</v>
      </c>
      <c r="BK747" t="s">
        <v>101</v>
      </c>
      <c r="BL747" t="s">
        <v>1811</v>
      </c>
      <c r="BM747" t="s">
        <v>14639</v>
      </c>
      <c r="BN747">
        <v>33452810</v>
      </c>
      <c r="BO747" t="s">
        <v>74</v>
      </c>
      <c r="BP747" t="s">
        <v>74</v>
      </c>
      <c r="BQ747" t="s">
        <v>74</v>
      </c>
      <c r="BR747" t="s">
        <v>104</v>
      </c>
      <c r="BS747" t="s">
        <v>14640</v>
      </c>
      <c r="BT747" t="str">
        <f>HYPERLINK("https%3A%2F%2Fwww.webofscience.com%2Fwos%2Fwoscc%2Ffull-record%2FWOS:000617031600001","View Full Record in Web of Science")</f>
        <v>View Full Record in Web of Science</v>
      </c>
    </row>
    <row r="748" spans="1:72" x14ac:dyDescent="0.15">
      <c r="A748" t="s">
        <v>72</v>
      </c>
      <c r="B748" t="s">
        <v>14641</v>
      </c>
      <c r="C748" t="s">
        <v>74</v>
      </c>
      <c r="D748" t="s">
        <v>74</v>
      </c>
      <c r="E748" t="s">
        <v>74</v>
      </c>
      <c r="F748" t="s">
        <v>14642</v>
      </c>
      <c r="G748" t="s">
        <v>74</v>
      </c>
      <c r="H748" t="s">
        <v>74</v>
      </c>
      <c r="I748" t="s">
        <v>14643</v>
      </c>
      <c r="J748" t="s">
        <v>14471</v>
      </c>
      <c r="K748" t="s">
        <v>74</v>
      </c>
      <c r="L748" t="s">
        <v>74</v>
      </c>
      <c r="M748" t="s">
        <v>78</v>
      </c>
      <c r="N748" t="s">
        <v>79</v>
      </c>
      <c r="O748" t="s">
        <v>74</v>
      </c>
      <c r="P748" t="s">
        <v>74</v>
      </c>
      <c r="Q748" t="s">
        <v>74</v>
      </c>
      <c r="R748" t="s">
        <v>74</v>
      </c>
      <c r="S748" t="s">
        <v>74</v>
      </c>
      <c r="T748" t="s">
        <v>14644</v>
      </c>
      <c r="U748" t="s">
        <v>14645</v>
      </c>
      <c r="V748" t="s">
        <v>14646</v>
      </c>
      <c r="W748" t="s">
        <v>14647</v>
      </c>
      <c r="X748" t="s">
        <v>14648</v>
      </c>
      <c r="Y748" t="s">
        <v>14649</v>
      </c>
      <c r="Z748" t="s">
        <v>14650</v>
      </c>
      <c r="AA748" t="s">
        <v>14651</v>
      </c>
      <c r="AB748" t="s">
        <v>14652</v>
      </c>
      <c r="AC748" t="s">
        <v>14653</v>
      </c>
      <c r="AD748" t="s">
        <v>14654</v>
      </c>
      <c r="AE748" t="s">
        <v>14655</v>
      </c>
      <c r="AF748" t="s">
        <v>74</v>
      </c>
      <c r="AG748">
        <v>68</v>
      </c>
      <c r="AH748">
        <v>30</v>
      </c>
      <c r="AI748">
        <v>35</v>
      </c>
      <c r="AJ748">
        <v>16</v>
      </c>
      <c r="AK748">
        <v>84</v>
      </c>
      <c r="AL748" t="s">
        <v>3000</v>
      </c>
      <c r="AM748" t="s">
        <v>167</v>
      </c>
      <c r="AN748" t="s">
        <v>3001</v>
      </c>
      <c r="AO748" t="s">
        <v>14483</v>
      </c>
      <c r="AP748" t="s">
        <v>14484</v>
      </c>
      <c r="AQ748" t="s">
        <v>74</v>
      </c>
      <c r="AR748" t="s">
        <v>14485</v>
      </c>
      <c r="AS748" t="s">
        <v>14486</v>
      </c>
      <c r="AT748" t="s">
        <v>2859</v>
      </c>
      <c r="AU748">
        <v>2021</v>
      </c>
      <c r="AV748">
        <v>256</v>
      </c>
      <c r="AW748" t="s">
        <v>74</v>
      </c>
      <c r="AX748" t="s">
        <v>74</v>
      </c>
      <c r="AY748" t="s">
        <v>74</v>
      </c>
      <c r="AZ748" t="s">
        <v>74</v>
      </c>
      <c r="BA748" t="s">
        <v>74</v>
      </c>
      <c r="BB748" t="s">
        <v>74</v>
      </c>
      <c r="BC748" t="s">
        <v>74</v>
      </c>
      <c r="BD748">
        <v>112318</v>
      </c>
      <c r="BE748" t="s">
        <v>14656</v>
      </c>
      <c r="BF748" t="str">
        <f>HYPERLINK("http://dx.doi.org/10.1016/j.rse.2021.112318","http://dx.doi.org/10.1016/j.rse.2021.112318")</f>
        <v>http://dx.doi.org/10.1016/j.rse.2021.112318</v>
      </c>
      <c r="BG748" t="s">
        <v>74</v>
      </c>
      <c r="BH748" t="s">
        <v>12028</v>
      </c>
      <c r="BI748">
        <v>17</v>
      </c>
      <c r="BJ748" t="s">
        <v>14488</v>
      </c>
      <c r="BK748" t="s">
        <v>101</v>
      </c>
      <c r="BL748" t="s">
        <v>14489</v>
      </c>
      <c r="BM748" t="s">
        <v>14657</v>
      </c>
      <c r="BN748" t="s">
        <v>74</v>
      </c>
      <c r="BO748" t="s">
        <v>712</v>
      </c>
      <c r="BP748" t="s">
        <v>74</v>
      </c>
      <c r="BQ748" t="s">
        <v>74</v>
      </c>
      <c r="BR748" t="s">
        <v>104</v>
      </c>
      <c r="BS748" t="s">
        <v>14658</v>
      </c>
      <c r="BT748" t="str">
        <f>HYPERLINK("https%3A%2F%2Fwww.webofscience.com%2Fwos%2Fwoscc%2Ffull-record%2FWOS:000632433700003","View Full Record in Web of Science")</f>
        <v>View Full Record in Web of Science</v>
      </c>
    </row>
    <row r="749" spans="1:72" x14ac:dyDescent="0.15">
      <c r="A749" t="s">
        <v>72</v>
      </c>
      <c r="B749" t="s">
        <v>14659</v>
      </c>
      <c r="C749" t="s">
        <v>74</v>
      </c>
      <c r="D749" t="s">
        <v>74</v>
      </c>
      <c r="E749" t="s">
        <v>74</v>
      </c>
      <c r="F749" t="s">
        <v>14660</v>
      </c>
      <c r="G749" t="s">
        <v>74</v>
      </c>
      <c r="H749" t="s">
        <v>74</v>
      </c>
      <c r="I749" t="s">
        <v>14661</v>
      </c>
      <c r="J749" t="s">
        <v>877</v>
      </c>
      <c r="K749" t="s">
        <v>74</v>
      </c>
      <c r="L749" t="s">
        <v>74</v>
      </c>
      <c r="M749" t="s">
        <v>78</v>
      </c>
      <c r="N749" t="s">
        <v>79</v>
      </c>
      <c r="O749" t="s">
        <v>74</v>
      </c>
      <c r="P749" t="s">
        <v>74</v>
      </c>
      <c r="Q749" t="s">
        <v>74</v>
      </c>
      <c r="R749" t="s">
        <v>74</v>
      </c>
      <c r="S749" t="s">
        <v>74</v>
      </c>
      <c r="T749" t="s">
        <v>14662</v>
      </c>
      <c r="U749" t="s">
        <v>74</v>
      </c>
      <c r="V749" t="s">
        <v>14663</v>
      </c>
      <c r="W749" t="s">
        <v>14664</v>
      </c>
      <c r="X749" t="s">
        <v>14665</v>
      </c>
      <c r="Y749" t="s">
        <v>14666</v>
      </c>
      <c r="Z749" t="s">
        <v>14667</v>
      </c>
      <c r="AA749" t="s">
        <v>14668</v>
      </c>
      <c r="AB749" t="s">
        <v>14669</v>
      </c>
      <c r="AC749" t="s">
        <v>14670</v>
      </c>
      <c r="AD749" t="s">
        <v>14671</v>
      </c>
      <c r="AE749" t="s">
        <v>14672</v>
      </c>
      <c r="AF749" t="s">
        <v>74</v>
      </c>
      <c r="AG749">
        <v>95</v>
      </c>
      <c r="AH749">
        <v>35</v>
      </c>
      <c r="AI749">
        <v>36</v>
      </c>
      <c r="AJ749">
        <v>4</v>
      </c>
      <c r="AK749">
        <v>65</v>
      </c>
      <c r="AL749" t="s">
        <v>890</v>
      </c>
      <c r="AM749" t="s">
        <v>891</v>
      </c>
      <c r="AN749" t="s">
        <v>892</v>
      </c>
      <c r="AO749" t="s">
        <v>893</v>
      </c>
      <c r="AP749" t="s">
        <v>894</v>
      </c>
      <c r="AQ749" t="s">
        <v>74</v>
      </c>
      <c r="AR749" t="s">
        <v>895</v>
      </c>
      <c r="AS749" t="s">
        <v>896</v>
      </c>
      <c r="AT749" t="s">
        <v>2506</v>
      </c>
      <c r="AU749">
        <v>2021</v>
      </c>
      <c r="AV749">
        <v>275</v>
      </c>
      <c r="AW749" t="s">
        <v>74</v>
      </c>
      <c r="AX749" t="s">
        <v>74</v>
      </c>
      <c r="AY749" t="s">
        <v>74</v>
      </c>
      <c r="AZ749" t="s">
        <v>74</v>
      </c>
      <c r="BA749" t="s">
        <v>74</v>
      </c>
      <c r="BB749" t="s">
        <v>74</v>
      </c>
      <c r="BC749" t="s">
        <v>74</v>
      </c>
      <c r="BD749">
        <v>116620</v>
      </c>
      <c r="BE749" t="s">
        <v>14673</v>
      </c>
      <c r="BF749" t="str">
        <f>HYPERLINK("http://dx.doi.org/10.1016/j.envpol.2021.116620","http://dx.doi.org/10.1016/j.envpol.2021.116620")</f>
        <v>http://dx.doi.org/10.1016/j.envpol.2021.116620</v>
      </c>
      <c r="BG749" t="s">
        <v>74</v>
      </c>
      <c r="BH749" t="s">
        <v>12028</v>
      </c>
      <c r="BI749">
        <v>11</v>
      </c>
      <c r="BJ749" t="s">
        <v>224</v>
      </c>
      <c r="BK749" t="s">
        <v>101</v>
      </c>
      <c r="BL749" t="s">
        <v>225</v>
      </c>
      <c r="BM749" t="s">
        <v>14213</v>
      </c>
      <c r="BN749">
        <v>33581632</v>
      </c>
      <c r="BO749" t="s">
        <v>14674</v>
      </c>
      <c r="BP749" t="s">
        <v>74</v>
      </c>
      <c r="BQ749" t="s">
        <v>74</v>
      </c>
      <c r="BR749" t="s">
        <v>104</v>
      </c>
      <c r="BS749" t="s">
        <v>14675</v>
      </c>
      <c r="BT749" t="str">
        <f>HYPERLINK("https%3A%2F%2Fwww.webofscience.com%2Fwos%2Fwoscc%2Ffull-record%2FWOS:000625380600033","View Full Record in Web of Science")</f>
        <v>View Full Record in Web of Science</v>
      </c>
    </row>
    <row r="750" spans="1:72" x14ac:dyDescent="0.15">
      <c r="A750" t="s">
        <v>72</v>
      </c>
      <c r="B750" t="s">
        <v>14676</v>
      </c>
      <c r="C750" t="s">
        <v>74</v>
      </c>
      <c r="D750" t="s">
        <v>74</v>
      </c>
      <c r="E750" t="s">
        <v>74</v>
      </c>
      <c r="F750" t="s">
        <v>14677</v>
      </c>
      <c r="G750" t="s">
        <v>74</v>
      </c>
      <c r="H750" t="s">
        <v>74</v>
      </c>
      <c r="I750" t="s">
        <v>14678</v>
      </c>
      <c r="J750" t="s">
        <v>3539</v>
      </c>
      <c r="K750" t="s">
        <v>74</v>
      </c>
      <c r="L750" t="s">
        <v>74</v>
      </c>
      <c r="M750" t="s">
        <v>78</v>
      </c>
      <c r="N750" t="s">
        <v>79</v>
      </c>
      <c r="O750" t="s">
        <v>74</v>
      </c>
      <c r="P750" t="s">
        <v>74</v>
      </c>
      <c r="Q750" t="s">
        <v>74</v>
      </c>
      <c r="R750" t="s">
        <v>74</v>
      </c>
      <c r="S750" t="s">
        <v>74</v>
      </c>
      <c r="T750" t="s">
        <v>14679</v>
      </c>
      <c r="U750" t="s">
        <v>14680</v>
      </c>
      <c r="V750" t="s">
        <v>14681</v>
      </c>
      <c r="W750" t="s">
        <v>14682</v>
      </c>
      <c r="X750" t="s">
        <v>14683</v>
      </c>
      <c r="Y750" t="s">
        <v>14684</v>
      </c>
      <c r="Z750" t="s">
        <v>14685</v>
      </c>
      <c r="AA750" t="s">
        <v>14686</v>
      </c>
      <c r="AB750" t="s">
        <v>14687</v>
      </c>
      <c r="AC750" t="s">
        <v>14688</v>
      </c>
      <c r="AD750" t="s">
        <v>14689</v>
      </c>
      <c r="AE750" t="s">
        <v>14690</v>
      </c>
      <c r="AF750" t="s">
        <v>74</v>
      </c>
      <c r="AG750">
        <v>41</v>
      </c>
      <c r="AH750">
        <v>31</v>
      </c>
      <c r="AI750">
        <v>31</v>
      </c>
      <c r="AJ750">
        <v>1</v>
      </c>
      <c r="AK750">
        <v>12</v>
      </c>
      <c r="AL750" t="s">
        <v>576</v>
      </c>
      <c r="AM750" t="s">
        <v>577</v>
      </c>
      <c r="AN750" t="s">
        <v>578</v>
      </c>
      <c r="AO750" t="s">
        <v>3552</v>
      </c>
      <c r="AP750" t="s">
        <v>3553</v>
      </c>
      <c r="AQ750" t="s">
        <v>74</v>
      </c>
      <c r="AR750" t="s">
        <v>3554</v>
      </c>
      <c r="AS750" t="s">
        <v>3555</v>
      </c>
      <c r="AT750" t="s">
        <v>2506</v>
      </c>
      <c r="AU750">
        <v>2021</v>
      </c>
      <c r="AV750">
        <v>560</v>
      </c>
      <c r="AW750" t="s">
        <v>74</v>
      </c>
      <c r="AX750" t="s">
        <v>74</v>
      </c>
      <c r="AY750" t="s">
        <v>74</v>
      </c>
      <c r="AZ750" t="s">
        <v>74</v>
      </c>
      <c r="BA750" t="s">
        <v>74</v>
      </c>
      <c r="BB750" t="s">
        <v>74</v>
      </c>
      <c r="BC750" t="s">
        <v>74</v>
      </c>
      <c r="BD750">
        <v>116794</v>
      </c>
      <c r="BE750" t="s">
        <v>14691</v>
      </c>
      <c r="BF750" t="str">
        <f>HYPERLINK("http://dx.doi.org/10.1016/j.epsl.2021.116794","http://dx.doi.org/10.1016/j.epsl.2021.116794")</f>
        <v>http://dx.doi.org/10.1016/j.epsl.2021.116794</v>
      </c>
      <c r="BG750" t="s">
        <v>74</v>
      </c>
      <c r="BH750" t="s">
        <v>12028</v>
      </c>
      <c r="BI750">
        <v>11</v>
      </c>
      <c r="BJ750" t="s">
        <v>1066</v>
      </c>
      <c r="BK750" t="s">
        <v>101</v>
      </c>
      <c r="BL750" t="s">
        <v>1066</v>
      </c>
      <c r="BM750" t="s">
        <v>14692</v>
      </c>
      <c r="BN750" t="s">
        <v>74</v>
      </c>
      <c r="BO750" t="s">
        <v>1492</v>
      </c>
      <c r="BP750" t="s">
        <v>74</v>
      </c>
      <c r="BQ750" t="s">
        <v>74</v>
      </c>
      <c r="BR750" t="s">
        <v>104</v>
      </c>
      <c r="BS750" t="s">
        <v>14693</v>
      </c>
      <c r="BT750" t="str">
        <f>HYPERLINK("https%3A%2F%2Fwww.webofscience.com%2Fwos%2Fwoscc%2Ffull-record%2FWOS:000626527700008","View Full Record in Web of Science")</f>
        <v>View Full Record in Web of Science</v>
      </c>
    </row>
    <row r="751" spans="1:72" x14ac:dyDescent="0.15">
      <c r="A751" t="s">
        <v>72</v>
      </c>
      <c r="B751" t="s">
        <v>14694</v>
      </c>
      <c r="C751" t="s">
        <v>74</v>
      </c>
      <c r="D751" t="s">
        <v>74</v>
      </c>
      <c r="E751" t="s">
        <v>74</v>
      </c>
      <c r="F751" t="s">
        <v>14695</v>
      </c>
      <c r="G751" t="s">
        <v>74</v>
      </c>
      <c r="H751" t="s">
        <v>74</v>
      </c>
      <c r="I751" t="s">
        <v>14696</v>
      </c>
      <c r="J751" t="s">
        <v>1761</v>
      </c>
      <c r="K751" t="s">
        <v>74</v>
      </c>
      <c r="L751" t="s">
        <v>74</v>
      </c>
      <c r="M751" t="s">
        <v>78</v>
      </c>
      <c r="N751" t="s">
        <v>79</v>
      </c>
      <c r="O751" t="s">
        <v>74</v>
      </c>
      <c r="P751" t="s">
        <v>74</v>
      </c>
      <c r="Q751" t="s">
        <v>74</v>
      </c>
      <c r="R751" t="s">
        <v>74</v>
      </c>
      <c r="S751" t="s">
        <v>74</v>
      </c>
      <c r="T751" t="s">
        <v>74</v>
      </c>
      <c r="U751" t="s">
        <v>14697</v>
      </c>
      <c r="V751" t="s">
        <v>14698</v>
      </c>
      <c r="W751" t="s">
        <v>14699</v>
      </c>
      <c r="X751" t="s">
        <v>14700</v>
      </c>
      <c r="Y751" t="s">
        <v>14701</v>
      </c>
      <c r="Z751" t="s">
        <v>14702</v>
      </c>
      <c r="AA751" t="s">
        <v>14703</v>
      </c>
      <c r="AB751" t="s">
        <v>14704</v>
      </c>
      <c r="AC751" t="s">
        <v>14705</v>
      </c>
      <c r="AD751" t="s">
        <v>14706</v>
      </c>
      <c r="AE751" t="s">
        <v>14707</v>
      </c>
      <c r="AF751" t="s">
        <v>74</v>
      </c>
      <c r="AG751">
        <v>83</v>
      </c>
      <c r="AH751">
        <v>15</v>
      </c>
      <c r="AI751">
        <v>15</v>
      </c>
      <c r="AJ751">
        <v>0</v>
      </c>
      <c r="AK751">
        <v>3</v>
      </c>
      <c r="AL751" t="s">
        <v>1269</v>
      </c>
      <c r="AM751" t="s">
        <v>1270</v>
      </c>
      <c r="AN751" t="s">
        <v>1271</v>
      </c>
      <c r="AO751" t="s">
        <v>1773</v>
      </c>
      <c r="AP751" t="s">
        <v>1774</v>
      </c>
      <c r="AQ751" t="s">
        <v>74</v>
      </c>
      <c r="AR751" t="s">
        <v>1761</v>
      </c>
      <c r="AS751" t="s">
        <v>1775</v>
      </c>
      <c r="AT751" t="s">
        <v>14708</v>
      </c>
      <c r="AU751">
        <v>2021</v>
      </c>
      <c r="AV751">
        <v>15</v>
      </c>
      <c r="AW751">
        <v>2</v>
      </c>
      <c r="AX751" t="s">
        <v>74</v>
      </c>
      <c r="AY751" t="s">
        <v>74</v>
      </c>
      <c r="AZ751" t="s">
        <v>74</v>
      </c>
      <c r="BA751" t="s">
        <v>74</v>
      </c>
      <c r="BB751">
        <v>633</v>
      </c>
      <c r="BC751">
        <v>661</v>
      </c>
      <c r="BD751" t="s">
        <v>74</v>
      </c>
      <c r="BE751" t="s">
        <v>14709</v>
      </c>
      <c r="BF751" t="str">
        <f>HYPERLINK("http://dx.doi.org/10.5194/tc-15-633-2021","http://dx.doi.org/10.5194/tc-15-633-2021")</f>
        <v>http://dx.doi.org/10.5194/tc-15-633-2021</v>
      </c>
      <c r="BG751" t="s">
        <v>74</v>
      </c>
      <c r="BH751" t="s">
        <v>74</v>
      </c>
      <c r="BI751">
        <v>29</v>
      </c>
      <c r="BJ751" t="s">
        <v>1685</v>
      </c>
      <c r="BK751" t="s">
        <v>101</v>
      </c>
      <c r="BL751" t="s">
        <v>1686</v>
      </c>
      <c r="BM751" t="s">
        <v>14710</v>
      </c>
      <c r="BN751" t="s">
        <v>74</v>
      </c>
      <c r="BO751" t="s">
        <v>1280</v>
      </c>
      <c r="BP751" t="s">
        <v>74</v>
      </c>
      <c r="BQ751" t="s">
        <v>74</v>
      </c>
      <c r="BR751" t="s">
        <v>104</v>
      </c>
      <c r="BS751" t="s">
        <v>14711</v>
      </c>
      <c r="BT751" t="str">
        <f>HYPERLINK("https%3A%2F%2Fwww.webofscience.com%2Fwos%2Fwoscc%2Ffull-record%2FWOS:000618979700001","View Full Record in Web of Science")</f>
        <v>View Full Record in Web of Science</v>
      </c>
    </row>
    <row r="752" spans="1:72" x14ac:dyDescent="0.15">
      <c r="A752" t="s">
        <v>72</v>
      </c>
      <c r="B752" t="s">
        <v>14712</v>
      </c>
      <c r="C752" t="s">
        <v>74</v>
      </c>
      <c r="D752" t="s">
        <v>74</v>
      </c>
      <c r="E752" t="s">
        <v>74</v>
      </c>
      <c r="F752" t="s">
        <v>14713</v>
      </c>
      <c r="G752" t="s">
        <v>74</v>
      </c>
      <c r="H752" t="s">
        <v>74</v>
      </c>
      <c r="I752" t="s">
        <v>14714</v>
      </c>
      <c r="J752" t="s">
        <v>1349</v>
      </c>
      <c r="K752" t="s">
        <v>74</v>
      </c>
      <c r="L752" t="s">
        <v>74</v>
      </c>
      <c r="M752" t="s">
        <v>78</v>
      </c>
      <c r="N752" t="s">
        <v>79</v>
      </c>
      <c r="O752" t="s">
        <v>74</v>
      </c>
      <c r="P752" t="s">
        <v>74</v>
      </c>
      <c r="Q752" t="s">
        <v>74</v>
      </c>
      <c r="R752" t="s">
        <v>74</v>
      </c>
      <c r="S752" t="s">
        <v>74</v>
      </c>
      <c r="T752" t="s">
        <v>14715</v>
      </c>
      <c r="U752" t="s">
        <v>14716</v>
      </c>
      <c r="V752" t="s">
        <v>14717</v>
      </c>
      <c r="W752" t="s">
        <v>14718</v>
      </c>
      <c r="X752" t="s">
        <v>14719</v>
      </c>
      <c r="Y752" t="s">
        <v>14720</v>
      </c>
      <c r="Z752" t="s">
        <v>14721</v>
      </c>
      <c r="AA752" t="s">
        <v>74</v>
      </c>
      <c r="AB752" t="s">
        <v>14722</v>
      </c>
      <c r="AC752" t="s">
        <v>14723</v>
      </c>
      <c r="AD752" t="s">
        <v>14723</v>
      </c>
      <c r="AE752" t="s">
        <v>14723</v>
      </c>
      <c r="AF752" t="s">
        <v>74</v>
      </c>
      <c r="AG752">
        <v>56</v>
      </c>
      <c r="AH752">
        <v>2</v>
      </c>
      <c r="AI752">
        <v>2</v>
      </c>
      <c r="AJ752">
        <v>0</v>
      </c>
      <c r="AK752">
        <v>10</v>
      </c>
      <c r="AL752" t="s">
        <v>795</v>
      </c>
      <c r="AM752" t="s">
        <v>796</v>
      </c>
      <c r="AN752" t="s">
        <v>797</v>
      </c>
      <c r="AO752" t="s">
        <v>1360</v>
      </c>
      <c r="AP752" t="s">
        <v>1361</v>
      </c>
      <c r="AQ752" t="s">
        <v>74</v>
      </c>
      <c r="AR752" t="s">
        <v>1362</v>
      </c>
      <c r="AS752" t="s">
        <v>1363</v>
      </c>
      <c r="AT752" t="s">
        <v>707</v>
      </c>
      <c r="AU752">
        <v>2021</v>
      </c>
      <c r="AV752">
        <v>31</v>
      </c>
      <c r="AW752">
        <v>6</v>
      </c>
      <c r="AX752" t="s">
        <v>74</v>
      </c>
      <c r="AY752" t="s">
        <v>74</v>
      </c>
      <c r="AZ752" t="s">
        <v>74</v>
      </c>
      <c r="BA752" t="s">
        <v>74</v>
      </c>
      <c r="BB752">
        <v>1354</v>
      </c>
      <c r="BC752">
        <v>1366</v>
      </c>
      <c r="BD752" t="s">
        <v>74</v>
      </c>
      <c r="BE752" t="s">
        <v>14724</v>
      </c>
      <c r="BF752" t="str">
        <f>HYPERLINK("http://dx.doi.org/10.1002/aqc.3518","http://dx.doi.org/10.1002/aqc.3518")</f>
        <v>http://dx.doi.org/10.1002/aqc.3518</v>
      </c>
      <c r="BG752" t="s">
        <v>74</v>
      </c>
      <c r="BH752" t="s">
        <v>12028</v>
      </c>
      <c r="BI752">
        <v>13</v>
      </c>
      <c r="BJ752" t="s">
        <v>1366</v>
      </c>
      <c r="BK752" t="s">
        <v>101</v>
      </c>
      <c r="BL752" t="s">
        <v>1367</v>
      </c>
      <c r="BM752" t="s">
        <v>14725</v>
      </c>
      <c r="BN752" t="s">
        <v>74</v>
      </c>
      <c r="BO752" t="s">
        <v>2543</v>
      </c>
      <c r="BP752" t="s">
        <v>74</v>
      </c>
      <c r="BQ752" t="s">
        <v>74</v>
      </c>
      <c r="BR752" t="s">
        <v>104</v>
      </c>
      <c r="BS752" t="s">
        <v>14726</v>
      </c>
      <c r="BT752" t="str">
        <f>HYPERLINK("https%3A%2F%2Fwww.webofscience.com%2Fwos%2Fwoscc%2Ffull-record%2FWOS:000616495400001","View Full Record in Web of Science")</f>
        <v>View Full Record in Web of Science</v>
      </c>
    </row>
    <row r="753" spans="1:72" x14ac:dyDescent="0.15">
      <c r="A753" t="s">
        <v>72</v>
      </c>
      <c r="B753" t="s">
        <v>14727</v>
      </c>
      <c r="C753" t="s">
        <v>74</v>
      </c>
      <c r="D753" t="s">
        <v>74</v>
      </c>
      <c r="E753" t="s">
        <v>74</v>
      </c>
      <c r="F753" t="s">
        <v>14728</v>
      </c>
      <c r="G753" t="s">
        <v>74</v>
      </c>
      <c r="H753" t="s">
        <v>74</v>
      </c>
      <c r="I753" t="s">
        <v>14729</v>
      </c>
      <c r="J753" t="s">
        <v>14730</v>
      </c>
      <c r="K753" t="s">
        <v>74</v>
      </c>
      <c r="L753" t="s">
        <v>74</v>
      </c>
      <c r="M753" t="s">
        <v>78</v>
      </c>
      <c r="N753" t="s">
        <v>79</v>
      </c>
      <c r="O753" t="s">
        <v>74</v>
      </c>
      <c r="P753" t="s">
        <v>74</v>
      </c>
      <c r="Q753" t="s">
        <v>74</v>
      </c>
      <c r="R753" t="s">
        <v>74</v>
      </c>
      <c r="S753" t="s">
        <v>74</v>
      </c>
      <c r="T753" t="s">
        <v>14731</v>
      </c>
      <c r="U753" t="s">
        <v>14732</v>
      </c>
      <c r="V753" t="s">
        <v>14733</v>
      </c>
      <c r="W753" t="s">
        <v>14734</v>
      </c>
      <c r="X753" t="s">
        <v>619</v>
      </c>
      <c r="Y753" t="s">
        <v>14735</v>
      </c>
      <c r="Z753" t="s">
        <v>14736</v>
      </c>
      <c r="AA753" t="s">
        <v>14737</v>
      </c>
      <c r="AB753" t="s">
        <v>14738</v>
      </c>
      <c r="AC753" t="s">
        <v>14739</v>
      </c>
      <c r="AD753" t="s">
        <v>14740</v>
      </c>
      <c r="AE753" t="s">
        <v>14741</v>
      </c>
      <c r="AF753" t="s">
        <v>74</v>
      </c>
      <c r="AG753">
        <v>39</v>
      </c>
      <c r="AH753">
        <v>1</v>
      </c>
      <c r="AI753">
        <v>2</v>
      </c>
      <c r="AJ753">
        <v>0</v>
      </c>
      <c r="AK753">
        <v>4</v>
      </c>
      <c r="AL753" t="s">
        <v>795</v>
      </c>
      <c r="AM753" t="s">
        <v>796</v>
      </c>
      <c r="AN753" t="s">
        <v>797</v>
      </c>
      <c r="AO753" t="s">
        <v>14742</v>
      </c>
      <c r="AP753" t="s">
        <v>14743</v>
      </c>
      <c r="AQ753" t="s">
        <v>74</v>
      </c>
      <c r="AR753" t="s">
        <v>14744</v>
      </c>
      <c r="AS753" t="s">
        <v>14745</v>
      </c>
      <c r="AT753" t="s">
        <v>1035</v>
      </c>
      <c r="AU753">
        <v>2021</v>
      </c>
      <c r="AV753">
        <v>17</v>
      </c>
      <c r="AW753">
        <v>4</v>
      </c>
      <c r="AX753" t="s">
        <v>74</v>
      </c>
      <c r="AY753" t="s">
        <v>74</v>
      </c>
      <c r="AZ753" t="s">
        <v>74</v>
      </c>
      <c r="BA753" t="s">
        <v>74</v>
      </c>
      <c r="BB753">
        <v>785</v>
      </c>
      <c r="BC753">
        <v>801</v>
      </c>
      <c r="BD753" t="s">
        <v>74</v>
      </c>
      <c r="BE753" t="s">
        <v>14746</v>
      </c>
      <c r="BF753" t="str">
        <f>HYPERLINK("http://dx.doi.org/10.1002/ieam.4382","http://dx.doi.org/10.1002/ieam.4382")</f>
        <v>http://dx.doi.org/10.1002/ieam.4382</v>
      </c>
      <c r="BG753" t="s">
        <v>74</v>
      </c>
      <c r="BH753" t="s">
        <v>12028</v>
      </c>
      <c r="BI753">
        <v>17</v>
      </c>
      <c r="BJ753" t="s">
        <v>14747</v>
      </c>
      <c r="BK753" t="s">
        <v>101</v>
      </c>
      <c r="BL753" t="s">
        <v>14748</v>
      </c>
      <c r="BM753" t="s">
        <v>14749</v>
      </c>
      <c r="BN753">
        <v>33369043</v>
      </c>
      <c r="BO753" t="s">
        <v>398</v>
      </c>
      <c r="BP753" t="s">
        <v>74</v>
      </c>
      <c r="BQ753" t="s">
        <v>74</v>
      </c>
      <c r="BR753" t="s">
        <v>104</v>
      </c>
      <c r="BS753" t="s">
        <v>14750</v>
      </c>
      <c r="BT753" t="str">
        <f>HYPERLINK("https%3A%2F%2Fwww.webofscience.com%2Fwos%2Fwoscc%2Ffull-record%2FWOS:000616620200001","View Full Record in Web of Science")</f>
        <v>View Full Record in Web of Science</v>
      </c>
    </row>
    <row r="754" spans="1:72" x14ac:dyDescent="0.15">
      <c r="A754" t="s">
        <v>72</v>
      </c>
      <c r="B754" t="s">
        <v>14751</v>
      </c>
      <c r="C754" t="s">
        <v>74</v>
      </c>
      <c r="D754" t="s">
        <v>74</v>
      </c>
      <c r="E754" t="s">
        <v>74</v>
      </c>
      <c r="F754" t="s">
        <v>14752</v>
      </c>
      <c r="G754" t="s">
        <v>74</v>
      </c>
      <c r="H754" t="s">
        <v>74</v>
      </c>
      <c r="I754" t="s">
        <v>14753</v>
      </c>
      <c r="J754" t="s">
        <v>14754</v>
      </c>
      <c r="K754" t="s">
        <v>74</v>
      </c>
      <c r="L754" t="s">
        <v>74</v>
      </c>
      <c r="M754" t="s">
        <v>78</v>
      </c>
      <c r="N754" t="s">
        <v>79</v>
      </c>
      <c r="O754" t="s">
        <v>74</v>
      </c>
      <c r="P754" t="s">
        <v>74</v>
      </c>
      <c r="Q754" t="s">
        <v>74</v>
      </c>
      <c r="R754" t="s">
        <v>74</v>
      </c>
      <c r="S754" t="s">
        <v>74</v>
      </c>
      <c r="T754" t="s">
        <v>14755</v>
      </c>
      <c r="U754" t="s">
        <v>14756</v>
      </c>
      <c r="V754" t="s">
        <v>14757</v>
      </c>
      <c r="W754" t="s">
        <v>14758</v>
      </c>
      <c r="X754" t="s">
        <v>14759</v>
      </c>
      <c r="Y754" t="s">
        <v>14760</v>
      </c>
      <c r="Z754" t="s">
        <v>74</v>
      </c>
      <c r="AA754" t="s">
        <v>14761</v>
      </c>
      <c r="AB754" t="s">
        <v>14762</v>
      </c>
      <c r="AC754" t="s">
        <v>14763</v>
      </c>
      <c r="AD754" t="s">
        <v>14764</v>
      </c>
      <c r="AE754" t="s">
        <v>14765</v>
      </c>
      <c r="AF754" t="s">
        <v>74</v>
      </c>
      <c r="AG754">
        <v>61</v>
      </c>
      <c r="AH754">
        <v>18</v>
      </c>
      <c r="AI754">
        <v>18</v>
      </c>
      <c r="AJ754">
        <v>3</v>
      </c>
      <c r="AK754">
        <v>29</v>
      </c>
      <c r="AL754" t="s">
        <v>8134</v>
      </c>
      <c r="AM754" t="s">
        <v>1909</v>
      </c>
      <c r="AN754" t="s">
        <v>8135</v>
      </c>
      <c r="AO754" t="s">
        <v>74</v>
      </c>
      <c r="AP754" t="s">
        <v>14766</v>
      </c>
      <c r="AQ754" t="s">
        <v>74</v>
      </c>
      <c r="AR754" t="s">
        <v>14767</v>
      </c>
      <c r="AS754" t="s">
        <v>14768</v>
      </c>
      <c r="AT754" t="s">
        <v>14708</v>
      </c>
      <c r="AU754">
        <v>2021</v>
      </c>
      <c r="AV754">
        <v>20</v>
      </c>
      <c r="AW754">
        <v>1</v>
      </c>
      <c r="AX754" t="s">
        <v>74</v>
      </c>
      <c r="AY754" t="s">
        <v>74</v>
      </c>
      <c r="AZ754" t="s">
        <v>74</v>
      </c>
      <c r="BA754" t="s">
        <v>74</v>
      </c>
      <c r="BB754" t="s">
        <v>74</v>
      </c>
      <c r="BC754" t="s">
        <v>74</v>
      </c>
      <c r="BD754">
        <v>41</v>
      </c>
      <c r="BE754" t="s">
        <v>14769</v>
      </c>
      <c r="BF754" t="str">
        <f>HYPERLINK("http://dx.doi.org/10.1186/s12934-021-01531-4","http://dx.doi.org/10.1186/s12934-021-01531-4")</f>
        <v>http://dx.doi.org/10.1186/s12934-021-01531-4</v>
      </c>
      <c r="BG754" t="s">
        <v>74</v>
      </c>
      <c r="BH754" t="s">
        <v>74</v>
      </c>
      <c r="BI754">
        <v>10</v>
      </c>
      <c r="BJ754" t="s">
        <v>10043</v>
      </c>
      <c r="BK754" t="s">
        <v>101</v>
      </c>
      <c r="BL754" t="s">
        <v>10043</v>
      </c>
      <c r="BM754" t="s">
        <v>14770</v>
      </c>
      <c r="BN754">
        <v>33568151</v>
      </c>
      <c r="BO754" t="s">
        <v>298</v>
      </c>
      <c r="BP754" t="s">
        <v>74</v>
      </c>
      <c r="BQ754" t="s">
        <v>74</v>
      </c>
      <c r="BR754" t="s">
        <v>104</v>
      </c>
      <c r="BS754" t="s">
        <v>14771</v>
      </c>
      <c r="BT754" t="str">
        <f>HYPERLINK("https%3A%2F%2Fwww.webofscience.com%2Fwos%2Fwoscc%2Ffull-record%2FWOS:000617128800001","View Full Record in Web of Science")</f>
        <v>View Full Record in Web of Science</v>
      </c>
    </row>
    <row r="755" spans="1:72" x14ac:dyDescent="0.15">
      <c r="A755" t="s">
        <v>72</v>
      </c>
      <c r="B755" t="s">
        <v>14772</v>
      </c>
      <c r="C755" t="s">
        <v>74</v>
      </c>
      <c r="D755" t="s">
        <v>74</v>
      </c>
      <c r="E755" t="s">
        <v>74</v>
      </c>
      <c r="F755" t="s">
        <v>14773</v>
      </c>
      <c r="G755" t="s">
        <v>74</v>
      </c>
      <c r="H755" t="s">
        <v>74</v>
      </c>
      <c r="I755" t="s">
        <v>14774</v>
      </c>
      <c r="J755" t="s">
        <v>1798</v>
      </c>
      <c r="K755" t="s">
        <v>74</v>
      </c>
      <c r="L755" t="s">
        <v>74</v>
      </c>
      <c r="M755" t="s">
        <v>78</v>
      </c>
      <c r="N755" t="s">
        <v>79</v>
      </c>
      <c r="O755" t="s">
        <v>74</v>
      </c>
      <c r="P755" t="s">
        <v>74</v>
      </c>
      <c r="Q755" t="s">
        <v>74</v>
      </c>
      <c r="R755" t="s">
        <v>74</v>
      </c>
      <c r="S755" t="s">
        <v>74</v>
      </c>
      <c r="T755" t="s">
        <v>14775</v>
      </c>
      <c r="U755" t="s">
        <v>14776</v>
      </c>
      <c r="V755" t="s">
        <v>14777</v>
      </c>
      <c r="W755" t="s">
        <v>14778</v>
      </c>
      <c r="X755" t="s">
        <v>14779</v>
      </c>
      <c r="Y755" t="s">
        <v>14780</v>
      </c>
      <c r="Z755" t="s">
        <v>14781</v>
      </c>
      <c r="AA755" t="s">
        <v>14782</v>
      </c>
      <c r="AB755" t="s">
        <v>14783</v>
      </c>
      <c r="AC755" t="s">
        <v>14784</v>
      </c>
      <c r="AD755" t="s">
        <v>14785</v>
      </c>
      <c r="AE755" t="s">
        <v>14786</v>
      </c>
      <c r="AF755" t="s">
        <v>74</v>
      </c>
      <c r="AG755">
        <v>171</v>
      </c>
      <c r="AH755">
        <v>62</v>
      </c>
      <c r="AI755">
        <v>64</v>
      </c>
      <c r="AJ755">
        <v>31</v>
      </c>
      <c r="AK755">
        <v>116</v>
      </c>
      <c r="AL755" t="s">
        <v>166</v>
      </c>
      <c r="AM755" t="s">
        <v>192</v>
      </c>
      <c r="AN755" t="s">
        <v>193</v>
      </c>
      <c r="AO755" t="s">
        <v>1805</v>
      </c>
      <c r="AP755" t="s">
        <v>1806</v>
      </c>
      <c r="AQ755" t="s">
        <v>74</v>
      </c>
      <c r="AR755" t="s">
        <v>1807</v>
      </c>
      <c r="AS755" t="s">
        <v>1808</v>
      </c>
      <c r="AT755" t="s">
        <v>1809</v>
      </c>
      <c r="AU755">
        <v>2022</v>
      </c>
      <c r="AV755">
        <v>32</v>
      </c>
      <c r="AW755">
        <v>1</v>
      </c>
      <c r="AX755" t="s">
        <v>74</v>
      </c>
      <c r="AY755" t="s">
        <v>74</v>
      </c>
      <c r="AZ755" t="s">
        <v>803</v>
      </c>
      <c r="BA755" t="s">
        <v>74</v>
      </c>
      <c r="BB755">
        <v>123</v>
      </c>
      <c r="BC755">
        <v>143</v>
      </c>
      <c r="BD755" t="s">
        <v>74</v>
      </c>
      <c r="BE755" t="s">
        <v>14787</v>
      </c>
      <c r="BF755" t="str">
        <f>HYPERLINK("http://dx.doi.org/10.1007/s11160-020-09625-9","http://dx.doi.org/10.1007/s11160-020-09625-9")</f>
        <v>http://dx.doi.org/10.1007/s11160-020-09625-9</v>
      </c>
      <c r="BG755" t="s">
        <v>74</v>
      </c>
      <c r="BH755" t="s">
        <v>12028</v>
      </c>
      <c r="BI755">
        <v>21</v>
      </c>
      <c r="BJ755" t="s">
        <v>1811</v>
      </c>
      <c r="BK755" t="s">
        <v>1038</v>
      </c>
      <c r="BL755" t="s">
        <v>1811</v>
      </c>
      <c r="BM755" t="s">
        <v>1812</v>
      </c>
      <c r="BN755">
        <v>33589856</v>
      </c>
      <c r="BO755" t="s">
        <v>14788</v>
      </c>
      <c r="BP755" t="s">
        <v>871</v>
      </c>
      <c r="BQ755" t="s">
        <v>872</v>
      </c>
      <c r="BR755" t="s">
        <v>104</v>
      </c>
      <c r="BS755" t="s">
        <v>14789</v>
      </c>
      <c r="BT755" t="str">
        <f>HYPERLINK("https%3A%2F%2Fwww.webofscience.com%2Fwos%2Fwoscc%2Ffull-record%2FWOS:000616874100001","View Full Record in Web of Science")</f>
        <v>View Full Record in Web of Science</v>
      </c>
    </row>
    <row r="756" spans="1:72" x14ac:dyDescent="0.15">
      <c r="A756" t="s">
        <v>72</v>
      </c>
      <c r="B756" t="s">
        <v>14790</v>
      </c>
      <c r="C756" t="s">
        <v>74</v>
      </c>
      <c r="D756" t="s">
        <v>74</v>
      </c>
      <c r="E756" t="s">
        <v>74</v>
      </c>
      <c r="F756" t="s">
        <v>14791</v>
      </c>
      <c r="G756" t="s">
        <v>74</v>
      </c>
      <c r="H756" t="s">
        <v>74</v>
      </c>
      <c r="I756" t="s">
        <v>14792</v>
      </c>
      <c r="J756" t="s">
        <v>563</v>
      </c>
      <c r="K756" t="s">
        <v>74</v>
      </c>
      <c r="L756" t="s">
        <v>74</v>
      </c>
      <c r="M756" t="s">
        <v>78</v>
      </c>
      <c r="N756" t="s">
        <v>79</v>
      </c>
      <c r="O756" t="s">
        <v>74</v>
      </c>
      <c r="P756" t="s">
        <v>74</v>
      </c>
      <c r="Q756" t="s">
        <v>74</v>
      </c>
      <c r="R756" t="s">
        <v>74</v>
      </c>
      <c r="S756" t="s">
        <v>74</v>
      </c>
      <c r="T756" t="s">
        <v>14793</v>
      </c>
      <c r="U756" t="s">
        <v>14794</v>
      </c>
      <c r="V756" t="s">
        <v>14795</v>
      </c>
      <c r="W756" t="s">
        <v>14796</v>
      </c>
      <c r="X756" t="s">
        <v>14797</v>
      </c>
      <c r="Y756" t="s">
        <v>14798</v>
      </c>
      <c r="Z756" t="s">
        <v>14799</v>
      </c>
      <c r="AA756" t="s">
        <v>14800</v>
      </c>
      <c r="AB756" t="s">
        <v>14801</v>
      </c>
      <c r="AC756" t="s">
        <v>14802</v>
      </c>
      <c r="AD756" t="s">
        <v>14803</v>
      </c>
      <c r="AE756" t="s">
        <v>14804</v>
      </c>
      <c r="AF756" t="s">
        <v>74</v>
      </c>
      <c r="AG756">
        <v>80</v>
      </c>
      <c r="AH756">
        <v>20</v>
      </c>
      <c r="AI756">
        <v>21</v>
      </c>
      <c r="AJ756">
        <v>1</v>
      </c>
      <c r="AK756">
        <v>31</v>
      </c>
      <c r="AL756" t="s">
        <v>576</v>
      </c>
      <c r="AM756" t="s">
        <v>577</v>
      </c>
      <c r="AN756" t="s">
        <v>578</v>
      </c>
      <c r="AO756" t="s">
        <v>579</v>
      </c>
      <c r="AP756" t="s">
        <v>580</v>
      </c>
      <c r="AQ756" t="s">
        <v>74</v>
      </c>
      <c r="AR756" t="s">
        <v>581</v>
      </c>
      <c r="AS756" t="s">
        <v>582</v>
      </c>
      <c r="AT756" t="s">
        <v>14708</v>
      </c>
      <c r="AU756">
        <v>2021</v>
      </c>
      <c r="AV756">
        <v>755</v>
      </c>
      <c r="AW756" t="s">
        <v>74</v>
      </c>
      <c r="AX756">
        <v>2</v>
      </c>
      <c r="AY756" t="s">
        <v>74</v>
      </c>
      <c r="AZ756" t="s">
        <v>74</v>
      </c>
      <c r="BA756" t="s">
        <v>74</v>
      </c>
      <c r="BB756" t="s">
        <v>74</v>
      </c>
      <c r="BC756" t="s">
        <v>74</v>
      </c>
      <c r="BD756">
        <v>143352</v>
      </c>
      <c r="BE756" t="s">
        <v>14805</v>
      </c>
      <c r="BF756" t="str">
        <f>HYPERLINK("http://dx.doi.org/10.1016/j.scitotenv.2020.143352","http://dx.doi.org/10.1016/j.scitotenv.2020.143352")</f>
        <v>http://dx.doi.org/10.1016/j.scitotenv.2020.143352</v>
      </c>
      <c r="BG756" t="s">
        <v>74</v>
      </c>
      <c r="BH756" t="s">
        <v>74</v>
      </c>
      <c r="BI756">
        <v>8</v>
      </c>
      <c r="BJ756" t="s">
        <v>224</v>
      </c>
      <c r="BK756" t="s">
        <v>101</v>
      </c>
      <c r="BL756" t="s">
        <v>225</v>
      </c>
      <c r="BM756" t="s">
        <v>14806</v>
      </c>
      <c r="BN756">
        <v>33162142</v>
      </c>
      <c r="BO756" t="s">
        <v>2344</v>
      </c>
      <c r="BP756" t="s">
        <v>74</v>
      </c>
      <c r="BQ756" t="s">
        <v>74</v>
      </c>
      <c r="BR756" t="s">
        <v>104</v>
      </c>
      <c r="BS756" t="s">
        <v>14807</v>
      </c>
      <c r="BT756" t="str">
        <f>HYPERLINK("https%3A%2F%2Fwww.webofscience.com%2Fwos%2Fwoscc%2Ffull-record%2FWOS:000600786700099","View Full Record in Web of Science")</f>
        <v>View Full Record in Web of Science</v>
      </c>
    </row>
    <row r="757" spans="1:72" x14ac:dyDescent="0.15">
      <c r="A757" t="s">
        <v>72</v>
      </c>
      <c r="B757" t="s">
        <v>14808</v>
      </c>
      <c r="C757" t="s">
        <v>74</v>
      </c>
      <c r="D757" t="s">
        <v>74</v>
      </c>
      <c r="E757" t="s">
        <v>74</v>
      </c>
      <c r="F757" t="s">
        <v>14809</v>
      </c>
      <c r="G757" t="s">
        <v>74</v>
      </c>
      <c r="H757" t="s">
        <v>74</v>
      </c>
      <c r="I757" t="s">
        <v>14810</v>
      </c>
      <c r="J757" t="s">
        <v>563</v>
      </c>
      <c r="K757" t="s">
        <v>74</v>
      </c>
      <c r="L757" t="s">
        <v>74</v>
      </c>
      <c r="M757" t="s">
        <v>78</v>
      </c>
      <c r="N757" t="s">
        <v>79</v>
      </c>
      <c r="O757" t="s">
        <v>74</v>
      </c>
      <c r="P757" t="s">
        <v>74</v>
      </c>
      <c r="Q757" t="s">
        <v>74</v>
      </c>
      <c r="R757" t="s">
        <v>74</v>
      </c>
      <c r="S757" t="s">
        <v>74</v>
      </c>
      <c r="T757" t="s">
        <v>14811</v>
      </c>
      <c r="U757" t="s">
        <v>14812</v>
      </c>
      <c r="V757" t="s">
        <v>14813</v>
      </c>
      <c r="W757" t="s">
        <v>14814</v>
      </c>
      <c r="X757" t="s">
        <v>14815</v>
      </c>
      <c r="Y757" t="s">
        <v>14816</v>
      </c>
      <c r="Z757" t="s">
        <v>14817</v>
      </c>
      <c r="AA757" t="s">
        <v>14818</v>
      </c>
      <c r="AB757" t="s">
        <v>14819</v>
      </c>
      <c r="AC757" t="s">
        <v>14820</v>
      </c>
      <c r="AD757" t="s">
        <v>14821</v>
      </c>
      <c r="AE757" t="s">
        <v>14822</v>
      </c>
      <c r="AF757" t="s">
        <v>74</v>
      </c>
      <c r="AG757">
        <v>102</v>
      </c>
      <c r="AH757">
        <v>5</v>
      </c>
      <c r="AI757">
        <v>6</v>
      </c>
      <c r="AJ757">
        <v>2</v>
      </c>
      <c r="AK757">
        <v>53</v>
      </c>
      <c r="AL757" t="s">
        <v>576</v>
      </c>
      <c r="AM757" t="s">
        <v>577</v>
      </c>
      <c r="AN757" t="s">
        <v>578</v>
      </c>
      <c r="AO757" t="s">
        <v>579</v>
      </c>
      <c r="AP757" t="s">
        <v>580</v>
      </c>
      <c r="AQ757" t="s">
        <v>74</v>
      </c>
      <c r="AR757" t="s">
        <v>581</v>
      </c>
      <c r="AS757" t="s">
        <v>582</v>
      </c>
      <c r="AT757" t="s">
        <v>14708</v>
      </c>
      <c r="AU757">
        <v>2021</v>
      </c>
      <c r="AV757">
        <v>755</v>
      </c>
      <c r="AW757" t="s">
        <v>74</v>
      </c>
      <c r="AX757">
        <v>2</v>
      </c>
      <c r="AY757" t="s">
        <v>74</v>
      </c>
      <c r="AZ757" t="s">
        <v>74</v>
      </c>
      <c r="BA757" t="s">
        <v>74</v>
      </c>
      <c r="BB757" t="s">
        <v>74</v>
      </c>
      <c r="BC757" t="s">
        <v>74</v>
      </c>
      <c r="BD757">
        <v>142662</v>
      </c>
      <c r="BE757" t="s">
        <v>14823</v>
      </c>
      <c r="BF757" t="str">
        <f>HYPERLINK("http://dx.doi.org/10.1016/j.scitotenv.2020.142662","http://dx.doi.org/10.1016/j.scitotenv.2020.142662")</f>
        <v>http://dx.doi.org/10.1016/j.scitotenv.2020.142662</v>
      </c>
      <c r="BG757" t="s">
        <v>74</v>
      </c>
      <c r="BH757" t="s">
        <v>74</v>
      </c>
      <c r="BI757">
        <v>12</v>
      </c>
      <c r="BJ757" t="s">
        <v>224</v>
      </c>
      <c r="BK757" t="s">
        <v>101</v>
      </c>
      <c r="BL757" t="s">
        <v>225</v>
      </c>
      <c r="BM757" t="s">
        <v>14806</v>
      </c>
      <c r="BN757">
        <v>33049523</v>
      </c>
      <c r="BO757" t="s">
        <v>74</v>
      </c>
      <c r="BP757" t="s">
        <v>74</v>
      </c>
      <c r="BQ757" t="s">
        <v>74</v>
      </c>
      <c r="BR757" t="s">
        <v>104</v>
      </c>
      <c r="BS757" t="s">
        <v>14824</v>
      </c>
      <c r="BT757" t="str">
        <f>HYPERLINK("https%3A%2F%2Fwww.webofscience.com%2Fwos%2Fwoscc%2Ffull-record%2FWOS:000600786700068","View Full Record in Web of Science")</f>
        <v>View Full Record in Web of Science</v>
      </c>
    </row>
    <row r="758" spans="1:72" x14ac:dyDescent="0.15">
      <c r="A758" t="s">
        <v>72</v>
      </c>
      <c r="B758" t="s">
        <v>14825</v>
      </c>
      <c r="C758" t="s">
        <v>74</v>
      </c>
      <c r="D758" t="s">
        <v>74</v>
      </c>
      <c r="E758" t="s">
        <v>74</v>
      </c>
      <c r="F758" t="s">
        <v>14826</v>
      </c>
      <c r="G758" t="s">
        <v>74</v>
      </c>
      <c r="H758" t="s">
        <v>74</v>
      </c>
      <c r="I758" t="s">
        <v>14827</v>
      </c>
      <c r="J758" t="s">
        <v>11676</v>
      </c>
      <c r="K758" t="s">
        <v>74</v>
      </c>
      <c r="L758" t="s">
        <v>74</v>
      </c>
      <c r="M758" t="s">
        <v>78</v>
      </c>
      <c r="N758" t="s">
        <v>79</v>
      </c>
      <c r="O758" t="s">
        <v>74</v>
      </c>
      <c r="P758" t="s">
        <v>74</v>
      </c>
      <c r="Q758" t="s">
        <v>74</v>
      </c>
      <c r="R758" t="s">
        <v>74</v>
      </c>
      <c r="S758" t="s">
        <v>74</v>
      </c>
      <c r="T758" t="s">
        <v>14828</v>
      </c>
      <c r="U758" t="s">
        <v>74</v>
      </c>
      <c r="V758" t="s">
        <v>14829</v>
      </c>
      <c r="W758" t="s">
        <v>14830</v>
      </c>
      <c r="X758" t="s">
        <v>14831</v>
      </c>
      <c r="Y758" t="s">
        <v>14832</v>
      </c>
      <c r="Z758" t="s">
        <v>14833</v>
      </c>
      <c r="AA758" t="s">
        <v>74</v>
      </c>
      <c r="AB758" t="s">
        <v>14834</v>
      </c>
      <c r="AC758" t="s">
        <v>14835</v>
      </c>
      <c r="AD758" t="s">
        <v>8825</v>
      </c>
      <c r="AE758" t="s">
        <v>14836</v>
      </c>
      <c r="AF758" t="s">
        <v>74</v>
      </c>
      <c r="AG758">
        <v>46</v>
      </c>
      <c r="AH758">
        <v>10</v>
      </c>
      <c r="AI758">
        <v>11</v>
      </c>
      <c r="AJ758">
        <v>1</v>
      </c>
      <c r="AK758">
        <v>10</v>
      </c>
      <c r="AL758" t="s">
        <v>576</v>
      </c>
      <c r="AM758" t="s">
        <v>577</v>
      </c>
      <c r="AN758" t="s">
        <v>578</v>
      </c>
      <c r="AO758" t="s">
        <v>11688</v>
      </c>
      <c r="AP758" t="s">
        <v>11689</v>
      </c>
      <c r="AQ758" t="s">
        <v>74</v>
      </c>
      <c r="AR758" t="s">
        <v>11690</v>
      </c>
      <c r="AS758" t="s">
        <v>11691</v>
      </c>
      <c r="AT758" t="s">
        <v>707</v>
      </c>
      <c r="AU758">
        <v>2021</v>
      </c>
      <c r="AV758">
        <v>125</v>
      </c>
      <c r="AW758" t="s">
        <v>74</v>
      </c>
      <c r="AX758" t="s">
        <v>74</v>
      </c>
      <c r="AY758" t="s">
        <v>74</v>
      </c>
      <c r="AZ758" t="s">
        <v>74</v>
      </c>
      <c r="BA758" t="s">
        <v>74</v>
      </c>
      <c r="BB758" t="s">
        <v>74</v>
      </c>
      <c r="BC758" t="s">
        <v>74</v>
      </c>
      <c r="BD758">
        <v>107467</v>
      </c>
      <c r="BE758" t="s">
        <v>14837</v>
      </c>
      <c r="BF758" t="str">
        <f>HYPERLINK("http://dx.doi.org/10.1016/j.ecolind.2021.107467","http://dx.doi.org/10.1016/j.ecolind.2021.107467")</f>
        <v>http://dx.doi.org/10.1016/j.ecolind.2021.107467</v>
      </c>
      <c r="BG758" t="s">
        <v>74</v>
      </c>
      <c r="BH758" t="s">
        <v>12028</v>
      </c>
      <c r="BI758">
        <v>16</v>
      </c>
      <c r="BJ758" t="s">
        <v>11693</v>
      </c>
      <c r="BK758" t="s">
        <v>101</v>
      </c>
      <c r="BL758" t="s">
        <v>1439</v>
      </c>
      <c r="BM758" t="s">
        <v>14838</v>
      </c>
      <c r="BN758" t="s">
        <v>74</v>
      </c>
      <c r="BO758" t="s">
        <v>317</v>
      </c>
      <c r="BP758" t="s">
        <v>74</v>
      </c>
      <c r="BQ758" t="s">
        <v>74</v>
      </c>
      <c r="BR758" t="s">
        <v>104</v>
      </c>
      <c r="BS758" t="s">
        <v>14839</v>
      </c>
      <c r="BT758" t="str">
        <f>HYPERLINK("https%3A%2F%2Fwww.webofscience.com%2Fwos%2Fwoscc%2Ffull-record%2FWOS:000637199600003","View Full Record in Web of Science")</f>
        <v>View Full Record in Web of Science</v>
      </c>
    </row>
    <row r="759" spans="1:72" x14ac:dyDescent="0.15">
      <c r="A759" t="s">
        <v>72</v>
      </c>
      <c r="B759" t="s">
        <v>14840</v>
      </c>
      <c r="C759" t="s">
        <v>74</v>
      </c>
      <c r="D759" t="s">
        <v>74</v>
      </c>
      <c r="E759" t="s">
        <v>74</v>
      </c>
      <c r="F759" t="s">
        <v>14841</v>
      </c>
      <c r="G759" t="s">
        <v>74</v>
      </c>
      <c r="H759" t="s">
        <v>74</v>
      </c>
      <c r="I759" t="s">
        <v>14842</v>
      </c>
      <c r="J759" t="s">
        <v>3539</v>
      </c>
      <c r="K759" t="s">
        <v>74</v>
      </c>
      <c r="L759" t="s">
        <v>74</v>
      </c>
      <c r="M759" t="s">
        <v>78</v>
      </c>
      <c r="N759" t="s">
        <v>79</v>
      </c>
      <c r="O759" t="s">
        <v>74</v>
      </c>
      <c r="P759" t="s">
        <v>74</v>
      </c>
      <c r="Q759" t="s">
        <v>74</v>
      </c>
      <c r="R759" t="s">
        <v>74</v>
      </c>
      <c r="S759" t="s">
        <v>74</v>
      </c>
      <c r="T759" t="s">
        <v>14843</v>
      </c>
      <c r="U759" t="s">
        <v>14844</v>
      </c>
      <c r="V759" t="s">
        <v>14845</v>
      </c>
      <c r="W759" t="s">
        <v>14846</v>
      </c>
      <c r="X759" t="s">
        <v>14847</v>
      </c>
      <c r="Y759" t="s">
        <v>14848</v>
      </c>
      <c r="Z759" t="s">
        <v>14849</v>
      </c>
      <c r="AA759" t="s">
        <v>14850</v>
      </c>
      <c r="AB759" t="s">
        <v>14851</v>
      </c>
      <c r="AC759" t="s">
        <v>14852</v>
      </c>
      <c r="AD759" t="s">
        <v>14853</v>
      </c>
      <c r="AE759" t="s">
        <v>14854</v>
      </c>
      <c r="AF759" t="s">
        <v>74</v>
      </c>
      <c r="AG759">
        <v>51</v>
      </c>
      <c r="AH759">
        <v>13</v>
      </c>
      <c r="AI759">
        <v>13</v>
      </c>
      <c r="AJ759">
        <v>14</v>
      </c>
      <c r="AK759">
        <v>35</v>
      </c>
      <c r="AL759" t="s">
        <v>576</v>
      </c>
      <c r="AM759" t="s">
        <v>577</v>
      </c>
      <c r="AN759" t="s">
        <v>578</v>
      </c>
      <c r="AO759" t="s">
        <v>3552</v>
      </c>
      <c r="AP759" t="s">
        <v>3553</v>
      </c>
      <c r="AQ759" t="s">
        <v>74</v>
      </c>
      <c r="AR759" t="s">
        <v>3554</v>
      </c>
      <c r="AS759" t="s">
        <v>3555</v>
      </c>
      <c r="AT759" t="s">
        <v>2506</v>
      </c>
      <c r="AU759">
        <v>2021</v>
      </c>
      <c r="AV759">
        <v>560</v>
      </c>
      <c r="AW759" t="s">
        <v>74</v>
      </c>
      <c r="AX759" t="s">
        <v>74</v>
      </c>
      <c r="AY759" t="s">
        <v>74</v>
      </c>
      <c r="AZ759" t="s">
        <v>74</v>
      </c>
      <c r="BA759" t="s">
        <v>74</v>
      </c>
      <c r="BB759" t="s">
        <v>74</v>
      </c>
      <c r="BC759" t="s">
        <v>74</v>
      </c>
      <c r="BD759">
        <v>116796</v>
      </c>
      <c r="BE759" t="s">
        <v>14855</v>
      </c>
      <c r="BF759" t="str">
        <f>HYPERLINK("http://dx.doi.org/10.1016/j.epsl.2021.116796","http://dx.doi.org/10.1016/j.epsl.2021.116796")</f>
        <v>http://dx.doi.org/10.1016/j.epsl.2021.116796</v>
      </c>
      <c r="BG759" t="s">
        <v>74</v>
      </c>
      <c r="BH759" t="s">
        <v>12028</v>
      </c>
      <c r="BI759">
        <v>9</v>
      </c>
      <c r="BJ759" t="s">
        <v>1066</v>
      </c>
      <c r="BK759" t="s">
        <v>101</v>
      </c>
      <c r="BL759" t="s">
        <v>1066</v>
      </c>
      <c r="BM759" t="s">
        <v>14692</v>
      </c>
      <c r="BN759" t="s">
        <v>74</v>
      </c>
      <c r="BO759" t="s">
        <v>74</v>
      </c>
      <c r="BP759" t="s">
        <v>74</v>
      </c>
      <c r="BQ759" t="s">
        <v>74</v>
      </c>
      <c r="BR759" t="s">
        <v>104</v>
      </c>
      <c r="BS759" t="s">
        <v>14856</v>
      </c>
      <c r="BT759" t="str">
        <f>HYPERLINK("https%3A%2F%2Fwww.webofscience.com%2Fwos%2Fwoscc%2Ffull-record%2FWOS:000626527700010","View Full Record in Web of Science")</f>
        <v>View Full Record in Web of Science</v>
      </c>
    </row>
    <row r="760" spans="1:72" x14ac:dyDescent="0.15">
      <c r="A760" t="s">
        <v>72</v>
      </c>
      <c r="B760" t="s">
        <v>14857</v>
      </c>
      <c r="C760" t="s">
        <v>74</v>
      </c>
      <c r="D760" t="s">
        <v>74</v>
      </c>
      <c r="E760" t="s">
        <v>74</v>
      </c>
      <c r="F760" t="s">
        <v>14858</v>
      </c>
      <c r="G760" t="s">
        <v>74</v>
      </c>
      <c r="H760" t="s">
        <v>74</v>
      </c>
      <c r="I760" t="s">
        <v>14859</v>
      </c>
      <c r="J760" t="s">
        <v>14860</v>
      </c>
      <c r="K760" t="s">
        <v>74</v>
      </c>
      <c r="L760" t="s">
        <v>74</v>
      </c>
      <c r="M760" t="s">
        <v>78</v>
      </c>
      <c r="N760" t="s">
        <v>79</v>
      </c>
      <c r="O760" t="s">
        <v>74</v>
      </c>
      <c r="P760" t="s">
        <v>74</v>
      </c>
      <c r="Q760" t="s">
        <v>74</v>
      </c>
      <c r="R760" t="s">
        <v>74</v>
      </c>
      <c r="S760" t="s">
        <v>74</v>
      </c>
      <c r="T760" t="s">
        <v>14861</v>
      </c>
      <c r="U760" t="s">
        <v>14862</v>
      </c>
      <c r="V760" t="s">
        <v>14863</v>
      </c>
      <c r="W760" t="s">
        <v>14864</v>
      </c>
      <c r="X760" t="s">
        <v>14865</v>
      </c>
      <c r="Y760" t="s">
        <v>14866</v>
      </c>
      <c r="Z760" t="s">
        <v>14867</v>
      </c>
      <c r="AA760" t="s">
        <v>14868</v>
      </c>
      <c r="AB760" t="s">
        <v>14869</v>
      </c>
      <c r="AC760" t="s">
        <v>14870</v>
      </c>
      <c r="AD760" t="s">
        <v>14871</v>
      </c>
      <c r="AE760" t="s">
        <v>14872</v>
      </c>
      <c r="AF760" t="s">
        <v>74</v>
      </c>
      <c r="AG760">
        <v>127</v>
      </c>
      <c r="AH760">
        <v>3</v>
      </c>
      <c r="AI760">
        <v>3</v>
      </c>
      <c r="AJ760">
        <v>3</v>
      </c>
      <c r="AK760">
        <v>19</v>
      </c>
      <c r="AL760" t="s">
        <v>890</v>
      </c>
      <c r="AM760" t="s">
        <v>891</v>
      </c>
      <c r="AN760" t="s">
        <v>892</v>
      </c>
      <c r="AO760" t="s">
        <v>14873</v>
      </c>
      <c r="AP760" t="s">
        <v>14874</v>
      </c>
      <c r="AQ760" t="s">
        <v>74</v>
      </c>
      <c r="AR760" t="s">
        <v>14875</v>
      </c>
      <c r="AS760" t="s">
        <v>14876</v>
      </c>
      <c r="AT760" t="s">
        <v>1809</v>
      </c>
      <c r="AU760">
        <v>2021</v>
      </c>
      <c r="AV760">
        <v>62</v>
      </c>
      <c r="AW760" t="s">
        <v>74</v>
      </c>
      <c r="AX760" t="s">
        <v>74</v>
      </c>
      <c r="AY760" t="s">
        <v>74</v>
      </c>
      <c r="AZ760" t="s">
        <v>74</v>
      </c>
      <c r="BA760" t="s">
        <v>74</v>
      </c>
      <c r="BB760" t="s">
        <v>74</v>
      </c>
      <c r="BC760" t="s">
        <v>74</v>
      </c>
      <c r="BD760">
        <v>101152</v>
      </c>
      <c r="BE760" t="s">
        <v>14877</v>
      </c>
      <c r="BF760" t="str">
        <f>HYPERLINK("http://dx.doi.org/10.1016/j.quageo.2021.101152","http://dx.doi.org/10.1016/j.quageo.2021.101152")</f>
        <v>http://dx.doi.org/10.1016/j.quageo.2021.101152</v>
      </c>
      <c r="BG760" t="s">
        <v>74</v>
      </c>
      <c r="BH760" t="s">
        <v>12028</v>
      </c>
      <c r="BI760">
        <v>23</v>
      </c>
      <c r="BJ760" t="s">
        <v>1685</v>
      </c>
      <c r="BK760" t="s">
        <v>101</v>
      </c>
      <c r="BL760" t="s">
        <v>1686</v>
      </c>
      <c r="BM760" t="s">
        <v>14878</v>
      </c>
      <c r="BN760" t="s">
        <v>74</v>
      </c>
      <c r="BO760" t="s">
        <v>496</v>
      </c>
      <c r="BP760" t="s">
        <v>74</v>
      </c>
      <c r="BQ760" t="s">
        <v>74</v>
      </c>
      <c r="BR760" t="s">
        <v>104</v>
      </c>
      <c r="BS760" t="s">
        <v>14879</v>
      </c>
      <c r="BT760" t="str">
        <f>HYPERLINK("https%3A%2F%2Fwww.webofscience.com%2Fwos%2Fwoscc%2Ffull-record%2FWOS:000625032400002","View Full Record in Web of Science")</f>
        <v>View Full Record in Web of Science</v>
      </c>
    </row>
    <row r="761" spans="1:72" x14ac:dyDescent="0.15">
      <c r="A761" t="s">
        <v>72</v>
      </c>
      <c r="B761" t="s">
        <v>14880</v>
      </c>
      <c r="C761" t="s">
        <v>74</v>
      </c>
      <c r="D761" t="s">
        <v>74</v>
      </c>
      <c r="E761" t="s">
        <v>74</v>
      </c>
      <c r="F761" t="s">
        <v>14881</v>
      </c>
      <c r="G761" t="s">
        <v>74</v>
      </c>
      <c r="H761" t="s">
        <v>74</v>
      </c>
      <c r="I761" t="s">
        <v>14882</v>
      </c>
      <c r="J761" t="s">
        <v>1692</v>
      </c>
      <c r="K761" t="s">
        <v>74</v>
      </c>
      <c r="L761" t="s">
        <v>74</v>
      </c>
      <c r="M761" t="s">
        <v>78</v>
      </c>
      <c r="N761" t="s">
        <v>79</v>
      </c>
      <c r="O761" t="s">
        <v>74</v>
      </c>
      <c r="P761" t="s">
        <v>74</v>
      </c>
      <c r="Q761" t="s">
        <v>74</v>
      </c>
      <c r="R761" t="s">
        <v>74</v>
      </c>
      <c r="S761" t="s">
        <v>74</v>
      </c>
      <c r="T761" t="s">
        <v>74</v>
      </c>
      <c r="U761" t="s">
        <v>14883</v>
      </c>
      <c r="V761" t="s">
        <v>14884</v>
      </c>
      <c r="W761" t="s">
        <v>14885</v>
      </c>
      <c r="X761" t="s">
        <v>14886</v>
      </c>
      <c r="Y761" t="s">
        <v>14887</v>
      </c>
      <c r="Z761" t="s">
        <v>14888</v>
      </c>
      <c r="AA761" t="s">
        <v>14889</v>
      </c>
      <c r="AB761" t="s">
        <v>14890</v>
      </c>
      <c r="AC761" t="s">
        <v>14891</v>
      </c>
      <c r="AD761" t="s">
        <v>14892</v>
      </c>
      <c r="AE761" t="s">
        <v>14893</v>
      </c>
      <c r="AF761" t="s">
        <v>74</v>
      </c>
      <c r="AG761">
        <v>72</v>
      </c>
      <c r="AH761">
        <v>64</v>
      </c>
      <c r="AI761">
        <v>69</v>
      </c>
      <c r="AJ761">
        <v>7</v>
      </c>
      <c r="AK761">
        <v>55</v>
      </c>
      <c r="AL761" t="s">
        <v>861</v>
      </c>
      <c r="AM761" t="s">
        <v>862</v>
      </c>
      <c r="AN761" t="s">
        <v>863</v>
      </c>
      <c r="AO761" t="s">
        <v>74</v>
      </c>
      <c r="AP761" t="s">
        <v>1704</v>
      </c>
      <c r="AQ761" t="s">
        <v>74</v>
      </c>
      <c r="AR761" t="s">
        <v>1705</v>
      </c>
      <c r="AS761" t="s">
        <v>1706</v>
      </c>
      <c r="AT761" t="s">
        <v>14894</v>
      </c>
      <c r="AU761">
        <v>2021</v>
      </c>
      <c r="AV761">
        <v>12</v>
      </c>
      <c r="AW761">
        <v>1</v>
      </c>
      <c r="AX761" t="s">
        <v>74</v>
      </c>
      <c r="AY761" t="s">
        <v>74</v>
      </c>
      <c r="AZ761" t="s">
        <v>74</v>
      </c>
      <c r="BA761" t="s">
        <v>74</v>
      </c>
      <c r="BB761" t="s">
        <v>74</v>
      </c>
      <c r="BC761" t="s">
        <v>74</v>
      </c>
      <c r="BD761">
        <v>884</v>
      </c>
      <c r="BE761" t="s">
        <v>14895</v>
      </c>
      <c r="BF761" t="str">
        <f>HYPERLINK("http://dx.doi.org/10.1038/s41467-021-21122-6","http://dx.doi.org/10.1038/s41467-021-21122-6")</f>
        <v>http://dx.doi.org/10.1038/s41467-021-21122-6</v>
      </c>
      <c r="BG761" t="s">
        <v>74</v>
      </c>
      <c r="BH761" t="s">
        <v>74</v>
      </c>
      <c r="BI761">
        <v>9</v>
      </c>
      <c r="BJ761" t="s">
        <v>555</v>
      </c>
      <c r="BK761" t="s">
        <v>101</v>
      </c>
      <c r="BL761" t="s">
        <v>556</v>
      </c>
      <c r="BM761" t="s">
        <v>14896</v>
      </c>
      <c r="BN761">
        <v>33563991</v>
      </c>
      <c r="BO761" t="s">
        <v>6257</v>
      </c>
      <c r="BP761" t="s">
        <v>871</v>
      </c>
      <c r="BQ761" t="s">
        <v>872</v>
      </c>
      <c r="BR761" t="s">
        <v>104</v>
      </c>
      <c r="BS761" t="s">
        <v>14897</v>
      </c>
      <c r="BT761" t="str">
        <f>HYPERLINK("https%3A%2F%2Fwww.webofscience.com%2Fwos%2Fwoscc%2Ffull-record%2FWOS:000620230000009","View Full Record in Web of Science")</f>
        <v>View Full Record in Web of Science</v>
      </c>
    </row>
    <row r="762" spans="1:72" x14ac:dyDescent="0.15">
      <c r="A762" t="s">
        <v>72</v>
      </c>
      <c r="B762" t="s">
        <v>14898</v>
      </c>
      <c r="C762" t="s">
        <v>74</v>
      </c>
      <c r="D762" t="s">
        <v>74</v>
      </c>
      <c r="E762" t="s">
        <v>74</v>
      </c>
      <c r="F762" t="s">
        <v>14899</v>
      </c>
      <c r="G762" t="s">
        <v>74</v>
      </c>
      <c r="H762" t="s">
        <v>74</v>
      </c>
      <c r="I762" t="s">
        <v>14900</v>
      </c>
      <c r="J762" t="s">
        <v>2687</v>
      </c>
      <c r="K762" t="s">
        <v>74</v>
      </c>
      <c r="L762" t="s">
        <v>74</v>
      </c>
      <c r="M762" t="s">
        <v>78</v>
      </c>
      <c r="N762" t="s">
        <v>79</v>
      </c>
      <c r="O762" t="s">
        <v>74</v>
      </c>
      <c r="P762" t="s">
        <v>74</v>
      </c>
      <c r="Q762" t="s">
        <v>74</v>
      </c>
      <c r="R762" t="s">
        <v>74</v>
      </c>
      <c r="S762" t="s">
        <v>74</v>
      </c>
      <c r="T762" t="s">
        <v>14901</v>
      </c>
      <c r="U762" t="s">
        <v>14902</v>
      </c>
      <c r="V762" t="s">
        <v>14903</v>
      </c>
      <c r="W762" t="s">
        <v>14904</v>
      </c>
      <c r="X762" t="s">
        <v>14905</v>
      </c>
      <c r="Y762" t="s">
        <v>14906</v>
      </c>
      <c r="Z762" t="s">
        <v>14907</v>
      </c>
      <c r="AA762" t="s">
        <v>14908</v>
      </c>
      <c r="AB762" t="s">
        <v>14909</v>
      </c>
      <c r="AC762" t="s">
        <v>14910</v>
      </c>
      <c r="AD762" t="s">
        <v>14911</v>
      </c>
      <c r="AE762" t="s">
        <v>14912</v>
      </c>
      <c r="AF762" t="s">
        <v>74</v>
      </c>
      <c r="AG762">
        <v>69</v>
      </c>
      <c r="AH762">
        <v>16</v>
      </c>
      <c r="AI762">
        <v>17</v>
      </c>
      <c r="AJ762">
        <v>2</v>
      </c>
      <c r="AK762">
        <v>23</v>
      </c>
      <c r="AL762" t="s">
        <v>603</v>
      </c>
      <c r="AM762" t="s">
        <v>604</v>
      </c>
      <c r="AN762" t="s">
        <v>605</v>
      </c>
      <c r="AO762" t="s">
        <v>74</v>
      </c>
      <c r="AP762" t="s">
        <v>2699</v>
      </c>
      <c r="AQ762" t="s">
        <v>74</v>
      </c>
      <c r="AR762" t="s">
        <v>2700</v>
      </c>
      <c r="AS762" t="s">
        <v>2701</v>
      </c>
      <c r="AT762" t="s">
        <v>14894</v>
      </c>
      <c r="AU762">
        <v>2021</v>
      </c>
      <c r="AV762">
        <v>7</v>
      </c>
      <c r="AW762" t="s">
        <v>74</v>
      </c>
      <c r="AX762" t="s">
        <v>74</v>
      </c>
      <c r="AY762" t="s">
        <v>74</v>
      </c>
      <c r="AZ762" t="s">
        <v>74</v>
      </c>
      <c r="BA762" t="s">
        <v>74</v>
      </c>
      <c r="BB762" t="s">
        <v>74</v>
      </c>
      <c r="BC762" t="s">
        <v>74</v>
      </c>
      <c r="BD762">
        <v>603761</v>
      </c>
      <c r="BE762" t="s">
        <v>14913</v>
      </c>
      <c r="BF762" t="str">
        <f>HYPERLINK("http://dx.doi.org/10.3389/fmars.2020.603761","http://dx.doi.org/10.3389/fmars.2020.603761")</f>
        <v>http://dx.doi.org/10.3389/fmars.2020.603761</v>
      </c>
      <c r="BG762" t="s">
        <v>74</v>
      </c>
      <c r="BH762" t="s">
        <v>74</v>
      </c>
      <c r="BI762">
        <v>18</v>
      </c>
      <c r="BJ762" t="s">
        <v>1646</v>
      </c>
      <c r="BK762" t="s">
        <v>101</v>
      </c>
      <c r="BL762" t="s">
        <v>710</v>
      </c>
      <c r="BM762" t="s">
        <v>14914</v>
      </c>
      <c r="BN762" t="s">
        <v>74</v>
      </c>
      <c r="BO762" t="s">
        <v>3593</v>
      </c>
      <c r="BP762" t="s">
        <v>74</v>
      </c>
      <c r="BQ762" t="s">
        <v>74</v>
      </c>
      <c r="BR762" t="s">
        <v>104</v>
      </c>
      <c r="BS762" t="s">
        <v>14915</v>
      </c>
      <c r="BT762" t="str">
        <f>HYPERLINK("https%3A%2F%2Fwww.webofscience.com%2Fwos%2Fwoscc%2Ffull-record%2FWOS:000618369100001","View Full Record in Web of Science")</f>
        <v>View Full Record in Web of Science</v>
      </c>
    </row>
    <row r="763" spans="1:72" x14ac:dyDescent="0.15">
      <c r="A763" t="s">
        <v>72</v>
      </c>
      <c r="B763" t="s">
        <v>14916</v>
      </c>
      <c r="C763" t="s">
        <v>74</v>
      </c>
      <c r="D763" t="s">
        <v>74</v>
      </c>
      <c r="E763" t="s">
        <v>74</v>
      </c>
      <c r="F763" t="s">
        <v>14917</v>
      </c>
      <c r="G763" t="s">
        <v>74</v>
      </c>
      <c r="H763" t="s">
        <v>74</v>
      </c>
      <c r="I763" t="s">
        <v>14918</v>
      </c>
      <c r="J763" t="s">
        <v>7320</v>
      </c>
      <c r="K763" t="s">
        <v>74</v>
      </c>
      <c r="L763" t="s">
        <v>74</v>
      </c>
      <c r="M763" t="s">
        <v>78</v>
      </c>
      <c r="N763" t="s">
        <v>79</v>
      </c>
      <c r="O763" t="s">
        <v>74</v>
      </c>
      <c r="P763" t="s">
        <v>74</v>
      </c>
      <c r="Q763" t="s">
        <v>74</v>
      </c>
      <c r="R763" t="s">
        <v>74</v>
      </c>
      <c r="S763" t="s">
        <v>74</v>
      </c>
      <c r="T763" t="s">
        <v>74</v>
      </c>
      <c r="U763" t="s">
        <v>14919</v>
      </c>
      <c r="V763" t="s">
        <v>14920</v>
      </c>
      <c r="W763" t="s">
        <v>14921</v>
      </c>
      <c r="X763" t="s">
        <v>14922</v>
      </c>
      <c r="Y763" t="s">
        <v>14923</v>
      </c>
      <c r="Z763" t="s">
        <v>14924</v>
      </c>
      <c r="AA763" t="s">
        <v>74</v>
      </c>
      <c r="AB763" t="s">
        <v>14925</v>
      </c>
      <c r="AC763" t="s">
        <v>14926</v>
      </c>
      <c r="AD763" t="s">
        <v>14927</v>
      </c>
      <c r="AE763" t="s">
        <v>14928</v>
      </c>
      <c r="AF763" t="s">
        <v>74</v>
      </c>
      <c r="AG763">
        <v>38</v>
      </c>
      <c r="AH763">
        <v>11</v>
      </c>
      <c r="AI763">
        <v>11</v>
      </c>
      <c r="AJ763">
        <v>0</v>
      </c>
      <c r="AK763">
        <v>4</v>
      </c>
      <c r="AL763" t="s">
        <v>861</v>
      </c>
      <c r="AM763" t="s">
        <v>862</v>
      </c>
      <c r="AN763" t="s">
        <v>863</v>
      </c>
      <c r="AO763" t="s">
        <v>74</v>
      </c>
      <c r="AP763" t="s">
        <v>7331</v>
      </c>
      <c r="AQ763" t="s">
        <v>74</v>
      </c>
      <c r="AR763" t="s">
        <v>7332</v>
      </c>
      <c r="AS763" t="s">
        <v>7333</v>
      </c>
      <c r="AT763" t="s">
        <v>14894</v>
      </c>
      <c r="AU763">
        <v>2021</v>
      </c>
      <c r="AV763">
        <v>4</v>
      </c>
      <c r="AW763">
        <v>1</v>
      </c>
      <c r="AX763" t="s">
        <v>74</v>
      </c>
      <c r="AY763" t="s">
        <v>74</v>
      </c>
      <c r="AZ763" t="s">
        <v>74</v>
      </c>
      <c r="BA763" t="s">
        <v>74</v>
      </c>
      <c r="BB763" t="s">
        <v>74</v>
      </c>
      <c r="BC763" t="s">
        <v>74</v>
      </c>
      <c r="BD763">
        <v>176</v>
      </c>
      <c r="BE763" t="s">
        <v>14929</v>
      </c>
      <c r="BF763" t="str">
        <f>HYPERLINK("http://dx.doi.org/10.1038/s42003-021-01701-5","http://dx.doi.org/10.1038/s42003-021-01701-5")</f>
        <v>http://dx.doi.org/10.1038/s42003-021-01701-5</v>
      </c>
      <c r="BG763" t="s">
        <v>74</v>
      </c>
      <c r="BH763" t="s">
        <v>74</v>
      </c>
      <c r="BI763">
        <v>9</v>
      </c>
      <c r="BJ763" t="s">
        <v>7335</v>
      </c>
      <c r="BK763" t="s">
        <v>101</v>
      </c>
      <c r="BL763" t="s">
        <v>7336</v>
      </c>
      <c r="BM763" t="s">
        <v>14930</v>
      </c>
      <c r="BN763">
        <v>33564110</v>
      </c>
      <c r="BO763" t="s">
        <v>558</v>
      </c>
      <c r="BP763" t="s">
        <v>74</v>
      </c>
      <c r="BQ763" t="s">
        <v>74</v>
      </c>
      <c r="BR763" t="s">
        <v>104</v>
      </c>
      <c r="BS763" t="s">
        <v>14931</v>
      </c>
      <c r="BT763" t="str">
        <f>HYPERLINK("https%3A%2F%2Fwww.webofscience.com%2Fwos%2Fwoscc%2Ffull-record%2FWOS:000620177600001","View Full Record in Web of Science")</f>
        <v>View Full Record in Web of Science</v>
      </c>
    </row>
    <row r="764" spans="1:72" x14ac:dyDescent="0.15">
      <c r="A764" t="s">
        <v>72</v>
      </c>
      <c r="B764" t="s">
        <v>14932</v>
      </c>
      <c r="C764" t="s">
        <v>74</v>
      </c>
      <c r="D764" t="s">
        <v>74</v>
      </c>
      <c r="E764" t="s">
        <v>74</v>
      </c>
      <c r="F764" t="s">
        <v>14933</v>
      </c>
      <c r="G764" t="s">
        <v>74</v>
      </c>
      <c r="H764" t="s">
        <v>74</v>
      </c>
      <c r="I764" t="s">
        <v>14934</v>
      </c>
      <c r="J764" t="s">
        <v>7633</v>
      </c>
      <c r="K764" t="s">
        <v>74</v>
      </c>
      <c r="L764" t="s">
        <v>74</v>
      </c>
      <c r="M764" t="s">
        <v>78</v>
      </c>
      <c r="N764" t="s">
        <v>79</v>
      </c>
      <c r="O764" t="s">
        <v>74</v>
      </c>
      <c r="P764" t="s">
        <v>74</v>
      </c>
      <c r="Q764" t="s">
        <v>74</v>
      </c>
      <c r="R764" t="s">
        <v>74</v>
      </c>
      <c r="S764" t="s">
        <v>74</v>
      </c>
      <c r="T764" t="s">
        <v>14935</v>
      </c>
      <c r="U764" t="s">
        <v>14936</v>
      </c>
      <c r="V764" t="s">
        <v>14937</v>
      </c>
      <c r="W764" t="s">
        <v>14938</v>
      </c>
      <c r="X764" t="s">
        <v>14939</v>
      </c>
      <c r="Y764" t="s">
        <v>14940</v>
      </c>
      <c r="Z764" t="s">
        <v>14941</v>
      </c>
      <c r="AA764" t="s">
        <v>14942</v>
      </c>
      <c r="AB764" t="s">
        <v>14943</v>
      </c>
      <c r="AC764" t="s">
        <v>14944</v>
      </c>
      <c r="AD764" t="s">
        <v>14945</v>
      </c>
      <c r="AE764" t="s">
        <v>14946</v>
      </c>
      <c r="AF764" t="s">
        <v>74</v>
      </c>
      <c r="AG764">
        <v>54</v>
      </c>
      <c r="AH764">
        <v>20</v>
      </c>
      <c r="AI764">
        <v>22</v>
      </c>
      <c r="AJ764">
        <v>0</v>
      </c>
      <c r="AK764">
        <v>21</v>
      </c>
      <c r="AL764" t="s">
        <v>7646</v>
      </c>
      <c r="AM764" t="s">
        <v>390</v>
      </c>
      <c r="AN764" t="s">
        <v>7647</v>
      </c>
      <c r="AO764" t="s">
        <v>7648</v>
      </c>
      <c r="AP764" t="s">
        <v>7649</v>
      </c>
      <c r="AQ764" t="s">
        <v>74</v>
      </c>
      <c r="AR764" t="s">
        <v>7650</v>
      </c>
      <c r="AS764" t="s">
        <v>7651</v>
      </c>
      <c r="AT764" t="s">
        <v>14894</v>
      </c>
      <c r="AU764">
        <v>2021</v>
      </c>
      <c r="AV764">
        <v>118</v>
      </c>
      <c r="AW764">
        <v>6</v>
      </c>
      <c r="AX764" t="s">
        <v>74</v>
      </c>
      <c r="AY764" t="s">
        <v>74</v>
      </c>
      <c r="AZ764" t="s">
        <v>74</v>
      </c>
      <c r="BA764" t="s">
        <v>74</v>
      </c>
      <c r="BB764" t="s">
        <v>74</v>
      </c>
      <c r="BC764" t="s">
        <v>74</v>
      </c>
      <c r="BD764" t="s">
        <v>14947</v>
      </c>
      <c r="BE764" t="s">
        <v>14948</v>
      </c>
      <c r="BF764" t="str">
        <f>HYPERLINK("http://dx.doi.org/10.1073/pnas.2007541118","http://dx.doi.org/10.1073/pnas.2007541118")</f>
        <v>http://dx.doi.org/10.1073/pnas.2007541118</v>
      </c>
      <c r="BG764" t="s">
        <v>74</v>
      </c>
      <c r="BH764" t="s">
        <v>74</v>
      </c>
      <c r="BI764">
        <v>9</v>
      </c>
      <c r="BJ764" t="s">
        <v>555</v>
      </c>
      <c r="BK764" t="s">
        <v>101</v>
      </c>
      <c r="BL764" t="s">
        <v>556</v>
      </c>
      <c r="BM764" t="s">
        <v>14949</v>
      </c>
      <c r="BN764">
        <v>33547235</v>
      </c>
      <c r="BO764" t="s">
        <v>927</v>
      </c>
      <c r="BP764" t="s">
        <v>74</v>
      </c>
      <c r="BQ764" t="s">
        <v>74</v>
      </c>
      <c r="BR764" t="s">
        <v>104</v>
      </c>
      <c r="BS764" t="s">
        <v>14950</v>
      </c>
      <c r="BT764" t="str">
        <f>HYPERLINK("https%3A%2F%2Fwww.webofscience.com%2Fwos%2Fwoscc%2Ffull-record%2FWOS:000617355300012","View Full Record in Web of Science")</f>
        <v>View Full Record in Web of Science</v>
      </c>
    </row>
    <row r="765" spans="1:72" x14ac:dyDescent="0.15">
      <c r="A765" t="s">
        <v>72</v>
      </c>
      <c r="B765" t="s">
        <v>14951</v>
      </c>
      <c r="C765" t="s">
        <v>74</v>
      </c>
      <c r="D765" t="s">
        <v>74</v>
      </c>
      <c r="E765" t="s">
        <v>74</v>
      </c>
      <c r="F765" t="s">
        <v>14952</v>
      </c>
      <c r="G765" t="s">
        <v>74</v>
      </c>
      <c r="H765" t="s">
        <v>74</v>
      </c>
      <c r="I765" t="s">
        <v>14953</v>
      </c>
      <c r="J765" t="s">
        <v>2708</v>
      </c>
      <c r="K765" t="s">
        <v>74</v>
      </c>
      <c r="L765" t="s">
        <v>74</v>
      </c>
      <c r="M765" t="s">
        <v>78</v>
      </c>
      <c r="N765" t="s">
        <v>79</v>
      </c>
      <c r="O765" t="s">
        <v>74</v>
      </c>
      <c r="P765" t="s">
        <v>74</v>
      </c>
      <c r="Q765" t="s">
        <v>74</v>
      </c>
      <c r="R765" t="s">
        <v>74</v>
      </c>
      <c r="S765" t="s">
        <v>74</v>
      </c>
      <c r="T765" t="s">
        <v>14954</v>
      </c>
      <c r="U765" t="s">
        <v>74</v>
      </c>
      <c r="V765" t="s">
        <v>14955</v>
      </c>
      <c r="W765" t="s">
        <v>14956</v>
      </c>
      <c r="X765" t="s">
        <v>14957</v>
      </c>
      <c r="Y765" t="s">
        <v>14958</v>
      </c>
      <c r="Z765" t="s">
        <v>14959</v>
      </c>
      <c r="AA765" t="s">
        <v>14960</v>
      </c>
      <c r="AB765" t="s">
        <v>14961</v>
      </c>
      <c r="AC765" t="s">
        <v>14962</v>
      </c>
      <c r="AD765" t="s">
        <v>14963</v>
      </c>
      <c r="AE765" t="s">
        <v>14964</v>
      </c>
      <c r="AF765" t="s">
        <v>74</v>
      </c>
      <c r="AG765">
        <v>77</v>
      </c>
      <c r="AH765">
        <v>1</v>
      </c>
      <c r="AI765">
        <v>1</v>
      </c>
      <c r="AJ765">
        <v>1</v>
      </c>
      <c r="AK765">
        <v>6</v>
      </c>
      <c r="AL765" t="s">
        <v>166</v>
      </c>
      <c r="AM765" t="s">
        <v>167</v>
      </c>
      <c r="AN765" t="s">
        <v>168</v>
      </c>
      <c r="AO765" t="s">
        <v>2720</v>
      </c>
      <c r="AP765" t="s">
        <v>2721</v>
      </c>
      <c r="AQ765" t="s">
        <v>74</v>
      </c>
      <c r="AR765" t="s">
        <v>2722</v>
      </c>
      <c r="AS765" t="s">
        <v>2723</v>
      </c>
      <c r="AT765" t="s">
        <v>2859</v>
      </c>
      <c r="AU765">
        <v>2021</v>
      </c>
      <c r="AV765">
        <v>67</v>
      </c>
      <c r="AW765">
        <v>4</v>
      </c>
      <c r="AX765" t="s">
        <v>74</v>
      </c>
      <c r="AY765" t="s">
        <v>74</v>
      </c>
      <c r="AZ765" t="s">
        <v>74</v>
      </c>
      <c r="BA765" t="s">
        <v>74</v>
      </c>
      <c r="BB765">
        <v>600</v>
      </c>
      <c r="BC765">
        <v>622</v>
      </c>
      <c r="BD765" t="s">
        <v>74</v>
      </c>
      <c r="BE765" t="s">
        <v>14965</v>
      </c>
      <c r="BF765" t="str">
        <f>HYPERLINK("http://dx.doi.org/10.1007/s00267-021-01438-1","http://dx.doi.org/10.1007/s00267-021-01438-1")</f>
        <v>http://dx.doi.org/10.1007/s00267-021-01438-1</v>
      </c>
      <c r="BG765" t="s">
        <v>74</v>
      </c>
      <c r="BH765" t="s">
        <v>12028</v>
      </c>
      <c r="BI765">
        <v>23</v>
      </c>
      <c r="BJ765" t="s">
        <v>224</v>
      </c>
      <c r="BK765" t="s">
        <v>101</v>
      </c>
      <c r="BL765" t="s">
        <v>225</v>
      </c>
      <c r="BM765" t="s">
        <v>14966</v>
      </c>
      <c r="BN765">
        <v>33559688</v>
      </c>
      <c r="BO765" t="s">
        <v>74</v>
      </c>
      <c r="BP765" t="s">
        <v>74</v>
      </c>
      <c r="BQ765" t="s">
        <v>74</v>
      </c>
      <c r="BR765" t="s">
        <v>104</v>
      </c>
      <c r="BS765" t="s">
        <v>14967</v>
      </c>
      <c r="BT765" t="str">
        <f>HYPERLINK("https%3A%2F%2Fwww.webofscience.com%2Fwos%2Fwoscc%2Ffull-record%2FWOS:000616449400001","View Full Record in Web of Science")</f>
        <v>View Full Record in Web of Science</v>
      </c>
    </row>
    <row r="766" spans="1:72" x14ac:dyDescent="0.15">
      <c r="A766" t="s">
        <v>72</v>
      </c>
      <c r="B766" t="s">
        <v>14968</v>
      </c>
      <c r="C766" t="s">
        <v>74</v>
      </c>
      <c r="D766" t="s">
        <v>74</v>
      </c>
      <c r="E766" t="s">
        <v>74</v>
      </c>
      <c r="F766" t="s">
        <v>14969</v>
      </c>
      <c r="G766" t="s">
        <v>74</v>
      </c>
      <c r="H766" t="s">
        <v>74</v>
      </c>
      <c r="I766" t="s">
        <v>14970</v>
      </c>
      <c r="J766" t="s">
        <v>14971</v>
      </c>
      <c r="K766" t="s">
        <v>74</v>
      </c>
      <c r="L766" t="s">
        <v>74</v>
      </c>
      <c r="M766" t="s">
        <v>78</v>
      </c>
      <c r="N766" t="s">
        <v>79</v>
      </c>
      <c r="O766" t="s">
        <v>74</v>
      </c>
      <c r="P766" t="s">
        <v>74</v>
      </c>
      <c r="Q766" t="s">
        <v>74</v>
      </c>
      <c r="R766" t="s">
        <v>74</v>
      </c>
      <c r="S766" t="s">
        <v>74</v>
      </c>
      <c r="T766" t="s">
        <v>14972</v>
      </c>
      <c r="U766" t="s">
        <v>74</v>
      </c>
      <c r="V766" t="s">
        <v>14973</v>
      </c>
      <c r="W766" t="s">
        <v>14974</v>
      </c>
      <c r="X766" t="s">
        <v>14975</v>
      </c>
      <c r="Y766" t="s">
        <v>14976</v>
      </c>
      <c r="Z766" t="s">
        <v>14977</v>
      </c>
      <c r="AA766" t="s">
        <v>14978</v>
      </c>
      <c r="AB766" t="s">
        <v>14979</v>
      </c>
      <c r="AC766" t="s">
        <v>14980</v>
      </c>
      <c r="AD766" t="s">
        <v>14981</v>
      </c>
      <c r="AE766" t="s">
        <v>14982</v>
      </c>
      <c r="AF766" t="s">
        <v>74</v>
      </c>
      <c r="AG766">
        <v>44</v>
      </c>
      <c r="AH766">
        <v>2</v>
      </c>
      <c r="AI766">
        <v>2</v>
      </c>
      <c r="AJ766">
        <v>1</v>
      </c>
      <c r="AK766">
        <v>6</v>
      </c>
      <c r="AL766" t="s">
        <v>795</v>
      </c>
      <c r="AM766" t="s">
        <v>796</v>
      </c>
      <c r="AN766" t="s">
        <v>797</v>
      </c>
      <c r="AO766" t="s">
        <v>14983</v>
      </c>
      <c r="AP766" t="s">
        <v>14984</v>
      </c>
      <c r="AQ766" t="s">
        <v>74</v>
      </c>
      <c r="AR766" t="s">
        <v>14985</v>
      </c>
      <c r="AS766" t="s">
        <v>14986</v>
      </c>
      <c r="AT766" t="s">
        <v>127</v>
      </c>
      <c r="AU766">
        <v>2021</v>
      </c>
      <c r="AV766">
        <v>68</v>
      </c>
      <c r="AW766">
        <v>3</v>
      </c>
      <c r="AX766" t="s">
        <v>74</v>
      </c>
      <c r="AY766" t="s">
        <v>74</v>
      </c>
      <c r="AZ766" t="s">
        <v>74</v>
      </c>
      <c r="BA766" t="s">
        <v>74</v>
      </c>
      <c r="BB766" t="s">
        <v>74</v>
      </c>
      <c r="BC766" t="s">
        <v>74</v>
      </c>
      <c r="BD766" t="s">
        <v>14987</v>
      </c>
      <c r="BE766" t="s">
        <v>14988</v>
      </c>
      <c r="BF766" t="str">
        <f>HYPERLINK("http://dx.doi.org/10.1111/jeu.12840","http://dx.doi.org/10.1111/jeu.12840")</f>
        <v>http://dx.doi.org/10.1111/jeu.12840</v>
      </c>
      <c r="BG766" t="s">
        <v>74</v>
      </c>
      <c r="BH766" t="s">
        <v>12028</v>
      </c>
      <c r="BI766">
        <v>9</v>
      </c>
      <c r="BJ766" t="s">
        <v>396</v>
      </c>
      <c r="BK766" t="s">
        <v>101</v>
      </c>
      <c r="BL766" t="s">
        <v>396</v>
      </c>
      <c r="BM766" t="s">
        <v>14989</v>
      </c>
      <c r="BN766">
        <v>33448091</v>
      </c>
      <c r="BO766" t="s">
        <v>74</v>
      </c>
      <c r="BP766" t="s">
        <v>74</v>
      </c>
      <c r="BQ766" t="s">
        <v>74</v>
      </c>
      <c r="BR766" t="s">
        <v>104</v>
      </c>
      <c r="BS766" t="s">
        <v>14990</v>
      </c>
      <c r="BT766" t="str">
        <f>HYPERLINK("https%3A%2F%2Fwww.webofscience.com%2Fwos%2Fwoscc%2Ffull-record%2FWOS:000616162400001","View Full Record in Web of Science")</f>
        <v>View Full Record in Web of Science</v>
      </c>
    </row>
    <row r="767" spans="1:72" x14ac:dyDescent="0.15">
      <c r="A767" t="s">
        <v>72</v>
      </c>
      <c r="B767" t="s">
        <v>14991</v>
      </c>
      <c r="C767" t="s">
        <v>74</v>
      </c>
      <c r="D767" t="s">
        <v>74</v>
      </c>
      <c r="E767" t="s">
        <v>74</v>
      </c>
      <c r="F767" t="s">
        <v>14992</v>
      </c>
      <c r="G767" t="s">
        <v>74</v>
      </c>
      <c r="H767" t="s">
        <v>74</v>
      </c>
      <c r="I767" t="s">
        <v>14993</v>
      </c>
      <c r="J767" t="s">
        <v>1421</v>
      </c>
      <c r="K767" t="s">
        <v>74</v>
      </c>
      <c r="L767" t="s">
        <v>74</v>
      </c>
      <c r="M767" t="s">
        <v>78</v>
      </c>
      <c r="N767" t="s">
        <v>79</v>
      </c>
      <c r="O767" t="s">
        <v>74</v>
      </c>
      <c r="P767" t="s">
        <v>74</v>
      </c>
      <c r="Q767" t="s">
        <v>74</v>
      </c>
      <c r="R767" t="s">
        <v>74</v>
      </c>
      <c r="S767" t="s">
        <v>74</v>
      </c>
      <c r="T767" t="s">
        <v>14994</v>
      </c>
      <c r="U767" t="s">
        <v>14995</v>
      </c>
      <c r="V767" t="s">
        <v>14996</v>
      </c>
      <c r="W767" t="s">
        <v>14997</v>
      </c>
      <c r="X767" t="s">
        <v>14998</v>
      </c>
      <c r="Y767" t="s">
        <v>14999</v>
      </c>
      <c r="Z767" t="s">
        <v>15000</v>
      </c>
      <c r="AA767" t="s">
        <v>15001</v>
      </c>
      <c r="AB767" t="s">
        <v>15002</v>
      </c>
      <c r="AC767" t="s">
        <v>15003</v>
      </c>
      <c r="AD767" t="s">
        <v>15004</v>
      </c>
      <c r="AE767" t="s">
        <v>15005</v>
      </c>
      <c r="AF767" t="s">
        <v>74</v>
      </c>
      <c r="AG767">
        <v>74</v>
      </c>
      <c r="AH767">
        <v>2</v>
      </c>
      <c r="AI767">
        <v>3</v>
      </c>
      <c r="AJ767">
        <v>0</v>
      </c>
      <c r="AK767">
        <v>8</v>
      </c>
      <c r="AL767" t="s">
        <v>166</v>
      </c>
      <c r="AM767" t="s">
        <v>167</v>
      </c>
      <c r="AN767" t="s">
        <v>168</v>
      </c>
      <c r="AO767" t="s">
        <v>1433</v>
      </c>
      <c r="AP767" t="s">
        <v>1434</v>
      </c>
      <c r="AQ767" t="s">
        <v>74</v>
      </c>
      <c r="AR767" t="s">
        <v>1435</v>
      </c>
      <c r="AS767" t="s">
        <v>1436</v>
      </c>
      <c r="AT767" t="s">
        <v>1809</v>
      </c>
      <c r="AU767">
        <v>2021</v>
      </c>
      <c r="AV767">
        <v>44</v>
      </c>
      <c r="AW767">
        <v>3</v>
      </c>
      <c r="AX767" t="s">
        <v>74</v>
      </c>
      <c r="AY767" t="s">
        <v>74</v>
      </c>
      <c r="AZ767" t="s">
        <v>74</v>
      </c>
      <c r="BA767" t="s">
        <v>74</v>
      </c>
      <c r="BB767">
        <v>457</v>
      </c>
      <c r="BC767">
        <v>472</v>
      </c>
      <c r="BD767" t="s">
        <v>74</v>
      </c>
      <c r="BE767" t="s">
        <v>15006</v>
      </c>
      <c r="BF767" t="str">
        <f>HYPERLINK("http://dx.doi.org/10.1007/s00300-021-02809-4","http://dx.doi.org/10.1007/s00300-021-02809-4")</f>
        <v>http://dx.doi.org/10.1007/s00300-021-02809-4</v>
      </c>
      <c r="BG767" t="s">
        <v>74</v>
      </c>
      <c r="BH767" t="s">
        <v>12028</v>
      </c>
      <c r="BI767">
        <v>16</v>
      </c>
      <c r="BJ767" t="s">
        <v>1438</v>
      </c>
      <c r="BK767" t="s">
        <v>101</v>
      </c>
      <c r="BL767" t="s">
        <v>1439</v>
      </c>
      <c r="BM767" t="s">
        <v>13018</v>
      </c>
      <c r="BN767" t="s">
        <v>74</v>
      </c>
      <c r="BO767" t="s">
        <v>74</v>
      </c>
      <c r="BP767" t="s">
        <v>74</v>
      </c>
      <c r="BQ767" t="s">
        <v>74</v>
      </c>
      <c r="BR767" t="s">
        <v>104</v>
      </c>
      <c r="BS767" t="s">
        <v>15007</v>
      </c>
      <c r="BT767" t="str">
        <f>HYPERLINK("https%3A%2F%2Fwww.webofscience.com%2Fwos%2Fwoscc%2Ffull-record%2FWOS:000616466500001","View Full Record in Web of Science")</f>
        <v>View Full Record in Web of Science</v>
      </c>
    </row>
    <row r="768" spans="1:72" x14ac:dyDescent="0.15">
      <c r="A768" t="s">
        <v>72</v>
      </c>
      <c r="B768" t="s">
        <v>15008</v>
      </c>
      <c r="C768" t="s">
        <v>74</v>
      </c>
      <c r="D768" t="s">
        <v>74</v>
      </c>
      <c r="E768" t="s">
        <v>74</v>
      </c>
      <c r="F768" t="s">
        <v>15009</v>
      </c>
      <c r="G768" t="s">
        <v>74</v>
      </c>
      <c r="H768" t="s">
        <v>74</v>
      </c>
      <c r="I768" t="s">
        <v>15010</v>
      </c>
      <c r="J768" t="s">
        <v>15011</v>
      </c>
      <c r="K768" t="s">
        <v>74</v>
      </c>
      <c r="L768" t="s">
        <v>74</v>
      </c>
      <c r="M768" t="s">
        <v>78</v>
      </c>
      <c r="N768" t="s">
        <v>79</v>
      </c>
      <c r="O768" t="s">
        <v>74</v>
      </c>
      <c r="P768" t="s">
        <v>74</v>
      </c>
      <c r="Q768" t="s">
        <v>74</v>
      </c>
      <c r="R768" t="s">
        <v>74</v>
      </c>
      <c r="S768" t="s">
        <v>74</v>
      </c>
      <c r="T768" t="s">
        <v>15012</v>
      </c>
      <c r="U768" t="s">
        <v>15013</v>
      </c>
      <c r="V768" t="s">
        <v>15014</v>
      </c>
      <c r="W768" t="s">
        <v>15015</v>
      </c>
      <c r="X768" t="s">
        <v>15016</v>
      </c>
      <c r="Y768" t="s">
        <v>15017</v>
      </c>
      <c r="Z768" t="s">
        <v>15018</v>
      </c>
      <c r="AA768" t="s">
        <v>15019</v>
      </c>
      <c r="AB768" t="s">
        <v>15020</v>
      </c>
      <c r="AC768" t="s">
        <v>15021</v>
      </c>
      <c r="AD768" t="s">
        <v>15022</v>
      </c>
      <c r="AE768" t="s">
        <v>15023</v>
      </c>
      <c r="AF768" t="s">
        <v>74</v>
      </c>
      <c r="AG768">
        <v>70</v>
      </c>
      <c r="AH768">
        <v>36</v>
      </c>
      <c r="AI768">
        <v>38</v>
      </c>
      <c r="AJ768">
        <v>1</v>
      </c>
      <c r="AK768">
        <v>15</v>
      </c>
      <c r="AL768" t="s">
        <v>795</v>
      </c>
      <c r="AM768" t="s">
        <v>796</v>
      </c>
      <c r="AN768" t="s">
        <v>797</v>
      </c>
      <c r="AO768" t="s">
        <v>15024</v>
      </c>
      <c r="AP768" t="s">
        <v>15025</v>
      </c>
      <c r="AQ768" t="s">
        <v>74</v>
      </c>
      <c r="AR768" t="s">
        <v>15026</v>
      </c>
      <c r="AS768" t="s">
        <v>15027</v>
      </c>
      <c r="AT768" t="s">
        <v>2859</v>
      </c>
      <c r="AU768">
        <v>2021</v>
      </c>
      <c r="AV768">
        <v>35</v>
      </c>
      <c r="AW768">
        <v>4</v>
      </c>
      <c r="AX768" t="s">
        <v>74</v>
      </c>
      <c r="AY768" t="s">
        <v>74</v>
      </c>
      <c r="AZ768" t="s">
        <v>74</v>
      </c>
      <c r="BA768" t="s">
        <v>74</v>
      </c>
      <c r="BB768">
        <v>894</v>
      </c>
      <c r="BC768">
        <v>908</v>
      </c>
      <c r="BD768" t="s">
        <v>74</v>
      </c>
      <c r="BE768" t="s">
        <v>15028</v>
      </c>
      <c r="BF768" t="str">
        <f>HYPERLINK("http://dx.doi.org/10.1111/1365-2435.13763","http://dx.doi.org/10.1111/1365-2435.13763")</f>
        <v>http://dx.doi.org/10.1111/1365-2435.13763</v>
      </c>
      <c r="BG768" t="s">
        <v>74</v>
      </c>
      <c r="BH768" t="s">
        <v>12028</v>
      </c>
      <c r="BI768">
        <v>15</v>
      </c>
      <c r="BJ768" t="s">
        <v>4663</v>
      </c>
      <c r="BK768" t="s">
        <v>101</v>
      </c>
      <c r="BL768" t="s">
        <v>225</v>
      </c>
      <c r="BM768" t="s">
        <v>15029</v>
      </c>
      <c r="BN768" t="s">
        <v>74</v>
      </c>
      <c r="BO768" t="s">
        <v>15030</v>
      </c>
      <c r="BP768" t="s">
        <v>74</v>
      </c>
      <c r="BQ768" t="s">
        <v>74</v>
      </c>
      <c r="BR768" t="s">
        <v>104</v>
      </c>
      <c r="BS768" t="s">
        <v>15031</v>
      </c>
      <c r="BT768" t="str">
        <f>HYPERLINK("https%3A%2F%2Fwww.webofscience.com%2Fwos%2Fwoscc%2Ffull-record%2FWOS:000616410600001","View Full Record in Web of Science")</f>
        <v>View Full Record in Web of Science</v>
      </c>
    </row>
    <row r="769" spans="1:72" x14ac:dyDescent="0.15">
      <c r="A769" t="s">
        <v>72</v>
      </c>
      <c r="B769" t="s">
        <v>15032</v>
      </c>
      <c r="C769" t="s">
        <v>74</v>
      </c>
      <c r="D769" t="s">
        <v>74</v>
      </c>
      <c r="E769" t="s">
        <v>74</v>
      </c>
      <c r="F769" t="s">
        <v>15033</v>
      </c>
      <c r="G769" t="s">
        <v>74</v>
      </c>
      <c r="H769" t="s">
        <v>74</v>
      </c>
      <c r="I769" t="s">
        <v>15034</v>
      </c>
      <c r="J769" t="s">
        <v>563</v>
      </c>
      <c r="K769" t="s">
        <v>74</v>
      </c>
      <c r="L769" t="s">
        <v>74</v>
      </c>
      <c r="M769" t="s">
        <v>78</v>
      </c>
      <c r="N769" t="s">
        <v>79</v>
      </c>
      <c r="O769" t="s">
        <v>74</v>
      </c>
      <c r="P769" t="s">
        <v>74</v>
      </c>
      <c r="Q769" t="s">
        <v>74</v>
      </c>
      <c r="R769" t="s">
        <v>74</v>
      </c>
      <c r="S769" t="s">
        <v>74</v>
      </c>
      <c r="T769" t="s">
        <v>15035</v>
      </c>
      <c r="U769" t="s">
        <v>15036</v>
      </c>
      <c r="V769" t="s">
        <v>15037</v>
      </c>
      <c r="W769" t="s">
        <v>15038</v>
      </c>
      <c r="X769" t="s">
        <v>15039</v>
      </c>
      <c r="Y769" t="s">
        <v>15040</v>
      </c>
      <c r="Z769" t="s">
        <v>15041</v>
      </c>
      <c r="AA769" t="s">
        <v>15042</v>
      </c>
      <c r="AB769" t="s">
        <v>15043</v>
      </c>
      <c r="AC769" t="s">
        <v>15044</v>
      </c>
      <c r="AD769" t="s">
        <v>15045</v>
      </c>
      <c r="AE769" t="s">
        <v>15046</v>
      </c>
      <c r="AF769" t="s">
        <v>74</v>
      </c>
      <c r="AG769">
        <v>92</v>
      </c>
      <c r="AH769">
        <v>5</v>
      </c>
      <c r="AI769">
        <v>6</v>
      </c>
      <c r="AJ769">
        <v>5</v>
      </c>
      <c r="AK769">
        <v>35</v>
      </c>
      <c r="AL769" t="s">
        <v>576</v>
      </c>
      <c r="AM769" t="s">
        <v>577</v>
      </c>
      <c r="AN769" t="s">
        <v>578</v>
      </c>
      <c r="AO769" t="s">
        <v>579</v>
      </c>
      <c r="AP769" t="s">
        <v>580</v>
      </c>
      <c r="AQ769" t="s">
        <v>74</v>
      </c>
      <c r="AR769" t="s">
        <v>581</v>
      </c>
      <c r="AS769" t="s">
        <v>582</v>
      </c>
      <c r="AT769" t="s">
        <v>1683</v>
      </c>
      <c r="AU769">
        <v>2021</v>
      </c>
      <c r="AV769">
        <v>771</v>
      </c>
      <c r="AW769" t="s">
        <v>74</v>
      </c>
      <c r="AX769" t="s">
        <v>74</v>
      </c>
      <c r="AY769" t="s">
        <v>74</v>
      </c>
      <c r="AZ769" t="s">
        <v>74</v>
      </c>
      <c r="BA769" t="s">
        <v>74</v>
      </c>
      <c r="BB769" t="s">
        <v>74</v>
      </c>
      <c r="BC769" t="s">
        <v>74</v>
      </c>
      <c r="BD769">
        <v>145336</v>
      </c>
      <c r="BE769" t="s">
        <v>15047</v>
      </c>
      <c r="BF769" t="str">
        <f>HYPERLINK("http://dx.doi.org/10.1016/j.scitotenv.2021.145336","http://dx.doi.org/10.1016/j.scitotenv.2021.145336")</f>
        <v>http://dx.doi.org/10.1016/j.scitotenv.2021.145336</v>
      </c>
      <c r="BG769" t="s">
        <v>74</v>
      </c>
      <c r="BH769" t="s">
        <v>12028</v>
      </c>
      <c r="BI769">
        <v>11</v>
      </c>
      <c r="BJ769" t="s">
        <v>224</v>
      </c>
      <c r="BK769" t="s">
        <v>101</v>
      </c>
      <c r="BL769" t="s">
        <v>225</v>
      </c>
      <c r="BM769" t="s">
        <v>15048</v>
      </c>
      <c r="BN769">
        <v>33736184</v>
      </c>
      <c r="BO769" t="s">
        <v>74</v>
      </c>
      <c r="BP769" t="s">
        <v>74</v>
      </c>
      <c r="BQ769" t="s">
        <v>74</v>
      </c>
      <c r="BR769" t="s">
        <v>104</v>
      </c>
      <c r="BS769" t="s">
        <v>15049</v>
      </c>
      <c r="BT769" t="str">
        <f>HYPERLINK("https%3A%2F%2Fwww.webofscience.com%2Fwos%2Fwoscc%2Ffull-record%2FWOS:000627895900093","View Full Record in Web of Science")</f>
        <v>View Full Record in Web of Science</v>
      </c>
    </row>
    <row r="770" spans="1:72" x14ac:dyDescent="0.15">
      <c r="A770" t="s">
        <v>72</v>
      </c>
      <c r="B770" t="s">
        <v>15050</v>
      </c>
      <c r="C770" t="s">
        <v>74</v>
      </c>
      <c r="D770" t="s">
        <v>74</v>
      </c>
      <c r="E770" t="s">
        <v>74</v>
      </c>
      <c r="F770" t="s">
        <v>15051</v>
      </c>
      <c r="G770" t="s">
        <v>74</v>
      </c>
      <c r="H770" t="s">
        <v>74</v>
      </c>
      <c r="I770" t="s">
        <v>15052</v>
      </c>
      <c r="J770" t="s">
        <v>1257</v>
      </c>
      <c r="K770" t="s">
        <v>74</v>
      </c>
      <c r="L770" t="s">
        <v>74</v>
      </c>
      <c r="M770" t="s">
        <v>78</v>
      </c>
      <c r="N770" t="s">
        <v>79</v>
      </c>
      <c r="O770" t="s">
        <v>74</v>
      </c>
      <c r="P770" t="s">
        <v>74</v>
      </c>
      <c r="Q770" t="s">
        <v>74</v>
      </c>
      <c r="R770" t="s">
        <v>74</v>
      </c>
      <c r="S770" t="s">
        <v>74</v>
      </c>
      <c r="T770" t="s">
        <v>74</v>
      </c>
      <c r="U770" t="s">
        <v>15053</v>
      </c>
      <c r="V770" t="s">
        <v>15054</v>
      </c>
      <c r="W770" t="s">
        <v>15055</v>
      </c>
      <c r="X770" t="s">
        <v>15056</v>
      </c>
      <c r="Y770" t="s">
        <v>15057</v>
      </c>
      <c r="Z770" t="s">
        <v>15058</v>
      </c>
      <c r="AA770" t="s">
        <v>15059</v>
      </c>
      <c r="AB770" t="s">
        <v>15060</v>
      </c>
      <c r="AC770" t="s">
        <v>15061</v>
      </c>
      <c r="AD770" t="s">
        <v>15062</v>
      </c>
      <c r="AE770" t="s">
        <v>15063</v>
      </c>
      <c r="AF770" t="s">
        <v>74</v>
      </c>
      <c r="AG770">
        <v>99</v>
      </c>
      <c r="AH770">
        <v>3</v>
      </c>
      <c r="AI770">
        <v>3</v>
      </c>
      <c r="AJ770">
        <v>4</v>
      </c>
      <c r="AK770">
        <v>19</v>
      </c>
      <c r="AL770" t="s">
        <v>1269</v>
      </c>
      <c r="AM770" t="s">
        <v>1270</v>
      </c>
      <c r="AN770" t="s">
        <v>1271</v>
      </c>
      <c r="AO770" t="s">
        <v>1272</v>
      </c>
      <c r="AP770" t="s">
        <v>1273</v>
      </c>
      <c r="AQ770" t="s">
        <v>74</v>
      </c>
      <c r="AR770" t="s">
        <v>1257</v>
      </c>
      <c r="AS770" t="s">
        <v>1274</v>
      </c>
      <c r="AT770" t="s">
        <v>15064</v>
      </c>
      <c r="AU770">
        <v>2021</v>
      </c>
      <c r="AV770">
        <v>18</v>
      </c>
      <c r="AW770">
        <v>3</v>
      </c>
      <c r="AX770" t="s">
        <v>74</v>
      </c>
      <c r="AY770" t="s">
        <v>74</v>
      </c>
      <c r="AZ770" t="s">
        <v>74</v>
      </c>
      <c r="BA770" t="s">
        <v>74</v>
      </c>
      <c r="BB770">
        <v>897</v>
      </c>
      <c r="BC770">
        <v>915</v>
      </c>
      <c r="BD770" t="s">
        <v>74</v>
      </c>
      <c r="BE770" t="s">
        <v>15065</v>
      </c>
      <c r="BF770" t="str">
        <f>HYPERLINK("http://dx.doi.org/10.5194/bg-18-897-2021","http://dx.doi.org/10.5194/bg-18-897-2021")</f>
        <v>http://dx.doi.org/10.5194/bg-18-897-2021</v>
      </c>
      <c r="BG770" t="s">
        <v>74</v>
      </c>
      <c r="BH770" t="s">
        <v>74</v>
      </c>
      <c r="BI770">
        <v>19</v>
      </c>
      <c r="BJ770" t="s">
        <v>1277</v>
      </c>
      <c r="BK770" t="s">
        <v>101</v>
      </c>
      <c r="BL770" t="s">
        <v>1278</v>
      </c>
      <c r="BM770" t="s">
        <v>15066</v>
      </c>
      <c r="BN770" t="s">
        <v>74</v>
      </c>
      <c r="BO770" t="s">
        <v>7355</v>
      </c>
      <c r="BP770" t="s">
        <v>74</v>
      </c>
      <c r="BQ770" t="s">
        <v>74</v>
      </c>
      <c r="BR770" t="s">
        <v>104</v>
      </c>
      <c r="BS770" t="s">
        <v>15067</v>
      </c>
      <c r="BT770" t="str">
        <f>HYPERLINK("https%3A%2F%2Fwww.webofscience.com%2Fwos%2Fwoscc%2Ffull-record%2FWOS:000618623000001","View Full Record in Web of Science")</f>
        <v>View Full Record in Web of Science</v>
      </c>
    </row>
    <row r="771" spans="1:72" x14ac:dyDescent="0.15">
      <c r="A771" t="s">
        <v>72</v>
      </c>
      <c r="B771" t="s">
        <v>15068</v>
      </c>
      <c r="C771" t="s">
        <v>74</v>
      </c>
      <c r="D771" t="s">
        <v>74</v>
      </c>
      <c r="E771" t="s">
        <v>74</v>
      </c>
      <c r="F771" t="s">
        <v>15069</v>
      </c>
      <c r="G771" t="s">
        <v>74</v>
      </c>
      <c r="H771" t="s">
        <v>74</v>
      </c>
      <c r="I771" t="s">
        <v>15070</v>
      </c>
      <c r="J771" t="s">
        <v>1761</v>
      </c>
      <c r="K771" t="s">
        <v>74</v>
      </c>
      <c r="L771" t="s">
        <v>74</v>
      </c>
      <c r="M771" t="s">
        <v>78</v>
      </c>
      <c r="N771" t="s">
        <v>79</v>
      </c>
      <c r="O771" t="s">
        <v>74</v>
      </c>
      <c r="P771" t="s">
        <v>74</v>
      </c>
      <c r="Q771" t="s">
        <v>74</v>
      </c>
      <c r="R771" t="s">
        <v>74</v>
      </c>
      <c r="S771" t="s">
        <v>74</v>
      </c>
      <c r="T771" t="s">
        <v>74</v>
      </c>
      <c r="U771" t="s">
        <v>15071</v>
      </c>
      <c r="V771" t="s">
        <v>15072</v>
      </c>
      <c r="W771" t="s">
        <v>15073</v>
      </c>
      <c r="X771" t="s">
        <v>15074</v>
      </c>
      <c r="Y771" t="s">
        <v>15075</v>
      </c>
      <c r="Z771" t="s">
        <v>15076</v>
      </c>
      <c r="AA771" t="s">
        <v>15077</v>
      </c>
      <c r="AB771" t="s">
        <v>15078</v>
      </c>
      <c r="AC771" t="s">
        <v>15079</v>
      </c>
      <c r="AD771" t="s">
        <v>15080</v>
      </c>
      <c r="AE771" t="s">
        <v>15081</v>
      </c>
      <c r="AF771" t="s">
        <v>74</v>
      </c>
      <c r="AG771">
        <v>95</v>
      </c>
      <c r="AH771">
        <v>20</v>
      </c>
      <c r="AI771">
        <v>20</v>
      </c>
      <c r="AJ771">
        <v>2</v>
      </c>
      <c r="AK771">
        <v>11</v>
      </c>
      <c r="AL771" t="s">
        <v>1269</v>
      </c>
      <c r="AM771" t="s">
        <v>1270</v>
      </c>
      <c r="AN771" t="s">
        <v>1271</v>
      </c>
      <c r="AO771" t="s">
        <v>1773</v>
      </c>
      <c r="AP771" t="s">
        <v>1774</v>
      </c>
      <c r="AQ771" t="s">
        <v>74</v>
      </c>
      <c r="AR771" t="s">
        <v>1761</v>
      </c>
      <c r="AS771" t="s">
        <v>1775</v>
      </c>
      <c r="AT771" t="s">
        <v>15064</v>
      </c>
      <c r="AU771">
        <v>2021</v>
      </c>
      <c r="AV771">
        <v>15</v>
      </c>
      <c r="AW771">
        <v>2</v>
      </c>
      <c r="AX771" t="s">
        <v>74</v>
      </c>
      <c r="AY771" t="s">
        <v>74</v>
      </c>
      <c r="AZ771" t="s">
        <v>74</v>
      </c>
      <c r="BA771" t="s">
        <v>74</v>
      </c>
      <c r="BB771">
        <v>571</v>
      </c>
      <c r="BC771">
        <v>593</v>
      </c>
      <c r="BD771" t="s">
        <v>74</v>
      </c>
      <c r="BE771" t="s">
        <v>15082</v>
      </c>
      <c r="BF771" t="str">
        <f>HYPERLINK("http://dx.doi.org/10.5194/tc-15-571-2021","http://dx.doi.org/10.5194/tc-15-571-2021")</f>
        <v>http://dx.doi.org/10.5194/tc-15-571-2021</v>
      </c>
      <c r="BG771" t="s">
        <v>74</v>
      </c>
      <c r="BH771" t="s">
        <v>74</v>
      </c>
      <c r="BI771">
        <v>23</v>
      </c>
      <c r="BJ771" t="s">
        <v>1685</v>
      </c>
      <c r="BK771" t="s">
        <v>101</v>
      </c>
      <c r="BL771" t="s">
        <v>1686</v>
      </c>
      <c r="BM771" t="s">
        <v>15083</v>
      </c>
      <c r="BN771" t="s">
        <v>74</v>
      </c>
      <c r="BO771" t="s">
        <v>1779</v>
      </c>
      <c r="BP771" t="s">
        <v>74</v>
      </c>
      <c r="BQ771" t="s">
        <v>74</v>
      </c>
      <c r="BR771" t="s">
        <v>104</v>
      </c>
      <c r="BS771" t="s">
        <v>15084</v>
      </c>
      <c r="BT771" t="str">
        <f>HYPERLINK("https%3A%2F%2Fwww.webofscience.com%2Fwos%2Fwoscc%2Ffull-record%2FWOS:000618624400002","View Full Record in Web of Science")</f>
        <v>View Full Record in Web of Science</v>
      </c>
    </row>
    <row r="772" spans="1:72" x14ac:dyDescent="0.15">
      <c r="A772" t="s">
        <v>72</v>
      </c>
      <c r="B772" t="s">
        <v>15085</v>
      </c>
      <c r="C772" t="s">
        <v>74</v>
      </c>
      <c r="D772" t="s">
        <v>74</v>
      </c>
      <c r="E772" t="s">
        <v>74</v>
      </c>
      <c r="F772" t="s">
        <v>15086</v>
      </c>
      <c r="G772" t="s">
        <v>74</v>
      </c>
      <c r="H772" t="s">
        <v>74</v>
      </c>
      <c r="I772" t="s">
        <v>15087</v>
      </c>
      <c r="J772" t="s">
        <v>15088</v>
      </c>
      <c r="K772" t="s">
        <v>74</v>
      </c>
      <c r="L772" t="s">
        <v>74</v>
      </c>
      <c r="M772" t="s">
        <v>78</v>
      </c>
      <c r="N772" t="s">
        <v>79</v>
      </c>
      <c r="O772" t="s">
        <v>74</v>
      </c>
      <c r="P772" t="s">
        <v>74</v>
      </c>
      <c r="Q772" t="s">
        <v>74</v>
      </c>
      <c r="R772" t="s">
        <v>74</v>
      </c>
      <c r="S772" t="s">
        <v>74</v>
      </c>
      <c r="T772" t="s">
        <v>15089</v>
      </c>
      <c r="U772" t="s">
        <v>74</v>
      </c>
      <c r="V772" t="s">
        <v>15090</v>
      </c>
      <c r="W772" t="s">
        <v>15091</v>
      </c>
      <c r="X772" t="s">
        <v>15092</v>
      </c>
      <c r="Y772" t="s">
        <v>15093</v>
      </c>
      <c r="Z772" t="s">
        <v>15094</v>
      </c>
      <c r="AA772" t="s">
        <v>15095</v>
      </c>
      <c r="AB772" t="s">
        <v>15096</v>
      </c>
      <c r="AC772" t="s">
        <v>15097</v>
      </c>
      <c r="AD772" t="s">
        <v>15098</v>
      </c>
      <c r="AE772" t="s">
        <v>15099</v>
      </c>
      <c r="AF772" t="s">
        <v>74</v>
      </c>
      <c r="AG772">
        <v>67</v>
      </c>
      <c r="AH772">
        <v>21</v>
      </c>
      <c r="AI772">
        <v>21</v>
      </c>
      <c r="AJ772">
        <v>2</v>
      </c>
      <c r="AK772">
        <v>27</v>
      </c>
      <c r="AL772" t="s">
        <v>166</v>
      </c>
      <c r="AM772" t="s">
        <v>167</v>
      </c>
      <c r="AN772" t="s">
        <v>168</v>
      </c>
      <c r="AO772" t="s">
        <v>15100</v>
      </c>
      <c r="AP772" t="s">
        <v>15101</v>
      </c>
      <c r="AQ772" t="s">
        <v>74</v>
      </c>
      <c r="AR772" t="s">
        <v>15102</v>
      </c>
      <c r="AS772" t="s">
        <v>15103</v>
      </c>
      <c r="AT772" t="s">
        <v>707</v>
      </c>
      <c r="AU772">
        <v>2021</v>
      </c>
      <c r="AV772">
        <v>56</v>
      </c>
      <c r="AW772" t="s">
        <v>15104</v>
      </c>
      <c r="AX772" t="s">
        <v>74</v>
      </c>
      <c r="AY772" t="s">
        <v>74</v>
      </c>
      <c r="AZ772" t="s">
        <v>74</v>
      </c>
      <c r="BA772" t="s">
        <v>74</v>
      </c>
      <c r="BB772">
        <v>3853</v>
      </c>
      <c r="BC772">
        <v>3874</v>
      </c>
      <c r="BD772" t="s">
        <v>74</v>
      </c>
      <c r="BE772" t="s">
        <v>15105</v>
      </c>
      <c r="BF772" t="str">
        <f>HYPERLINK("http://dx.doi.org/10.1007/s00382-021-05667-2","http://dx.doi.org/10.1007/s00382-021-05667-2")</f>
        <v>http://dx.doi.org/10.1007/s00382-021-05667-2</v>
      </c>
      <c r="BG772" t="s">
        <v>74</v>
      </c>
      <c r="BH772" t="s">
        <v>12028</v>
      </c>
      <c r="BI772">
        <v>22</v>
      </c>
      <c r="BJ772" t="s">
        <v>129</v>
      </c>
      <c r="BK772" t="s">
        <v>101</v>
      </c>
      <c r="BL772" t="s">
        <v>129</v>
      </c>
      <c r="BM772" t="s">
        <v>15106</v>
      </c>
      <c r="BN772" t="s">
        <v>74</v>
      </c>
      <c r="BO772" t="s">
        <v>74</v>
      </c>
      <c r="BP772" t="s">
        <v>74</v>
      </c>
      <c r="BQ772" t="s">
        <v>74</v>
      </c>
      <c r="BR772" t="s">
        <v>104</v>
      </c>
      <c r="BS772" t="s">
        <v>15107</v>
      </c>
      <c r="BT772" t="str">
        <f>HYPERLINK("https%3A%2F%2Fwww.webofscience.com%2Fwos%2Fwoscc%2Ffull-record%2FWOS:000616059400004","View Full Record in Web of Science")</f>
        <v>View Full Record in Web of Science</v>
      </c>
    </row>
    <row r="773" spans="1:72" x14ac:dyDescent="0.15">
      <c r="A773" t="s">
        <v>72</v>
      </c>
      <c r="B773" t="s">
        <v>15108</v>
      </c>
      <c r="C773" t="s">
        <v>74</v>
      </c>
      <c r="D773" t="s">
        <v>74</v>
      </c>
      <c r="E773" t="s">
        <v>74</v>
      </c>
      <c r="F773" t="s">
        <v>15109</v>
      </c>
      <c r="G773" t="s">
        <v>74</v>
      </c>
      <c r="H773" t="s">
        <v>74</v>
      </c>
      <c r="I773" t="s">
        <v>15110</v>
      </c>
      <c r="J773" t="s">
        <v>15111</v>
      </c>
      <c r="K773" t="s">
        <v>74</v>
      </c>
      <c r="L773" t="s">
        <v>74</v>
      </c>
      <c r="M773" t="s">
        <v>78</v>
      </c>
      <c r="N773" t="s">
        <v>79</v>
      </c>
      <c r="O773" t="s">
        <v>74</v>
      </c>
      <c r="P773" t="s">
        <v>74</v>
      </c>
      <c r="Q773" t="s">
        <v>74</v>
      </c>
      <c r="R773" t="s">
        <v>74</v>
      </c>
      <c r="S773" t="s">
        <v>74</v>
      </c>
      <c r="T773" t="s">
        <v>15112</v>
      </c>
      <c r="U773" t="s">
        <v>15113</v>
      </c>
      <c r="V773" t="s">
        <v>15114</v>
      </c>
      <c r="W773" t="s">
        <v>15115</v>
      </c>
      <c r="X773" t="s">
        <v>15116</v>
      </c>
      <c r="Y773" t="s">
        <v>15117</v>
      </c>
      <c r="Z773" t="s">
        <v>15118</v>
      </c>
      <c r="AA773" t="s">
        <v>15119</v>
      </c>
      <c r="AB773" t="s">
        <v>15120</v>
      </c>
      <c r="AC773" t="s">
        <v>15121</v>
      </c>
      <c r="AD773" t="s">
        <v>15122</v>
      </c>
      <c r="AE773" t="s">
        <v>15123</v>
      </c>
      <c r="AF773" t="s">
        <v>74</v>
      </c>
      <c r="AG773">
        <v>67</v>
      </c>
      <c r="AH773">
        <v>29</v>
      </c>
      <c r="AI773">
        <v>30</v>
      </c>
      <c r="AJ773">
        <v>4</v>
      </c>
      <c r="AK773">
        <v>37</v>
      </c>
      <c r="AL773" t="s">
        <v>795</v>
      </c>
      <c r="AM773" t="s">
        <v>796</v>
      </c>
      <c r="AN773" t="s">
        <v>797</v>
      </c>
      <c r="AO773" t="s">
        <v>15124</v>
      </c>
      <c r="AP773" t="s">
        <v>15125</v>
      </c>
      <c r="AQ773" t="s">
        <v>74</v>
      </c>
      <c r="AR773" t="s">
        <v>15126</v>
      </c>
      <c r="AS773" t="s">
        <v>15127</v>
      </c>
      <c r="AT773" t="s">
        <v>707</v>
      </c>
      <c r="AU773">
        <v>2021</v>
      </c>
      <c r="AV773">
        <v>13</v>
      </c>
      <c r="AW773">
        <v>3</v>
      </c>
      <c r="AX773" t="s">
        <v>74</v>
      </c>
      <c r="AY773" t="s">
        <v>74</v>
      </c>
      <c r="AZ773" t="s">
        <v>74</v>
      </c>
      <c r="BA773" t="s">
        <v>74</v>
      </c>
      <c r="BB773">
        <v>1583</v>
      </c>
      <c r="BC773">
        <v>1593</v>
      </c>
      <c r="BD773" t="s">
        <v>74</v>
      </c>
      <c r="BE773" t="s">
        <v>15128</v>
      </c>
      <c r="BF773" t="str">
        <f>HYPERLINK("http://dx.doi.org/10.1111/raq.12535","http://dx.doi.org/10.1111/raq.12535")</f>
        <v>http://dx.doi.org/10.1111/raq.12535</v>
      </c>
      <c r="BG773" t="s">
        <v>74</v>
      </c>
      <c r="BH773" t="s">
        <v>12028</v>
      </c>
      <c r="BI773">
        <v>11</v>
      </c>
      <c r="BJ773" t="s">
        <v>6498</v>
      </c>
      <c r="BK773" t="s">
        <v>101</v>
      </c>
      <c r="BL773" t="s">
        <v>6498</v>
      </c>
      <c r="BM773" t="s">
        <v>15129</v>
      </c>
      <c r="BN773" t="s">
        <v>74</v>
      </c>
      <c r="BO773" t="s">
        <v>15130</v>
      </c>
      <c r="BP773" t="s">
        <v>74</v>
      </c>
      <c r="BQ773" t="s">
        <v>74</v>
      </c>
      <c r="BR773" t="s">
        <v>104</v>
      </c>
      <c r="BS773" t="s">
        <v>15131</v>
      </c>
      <c r="BT773" t="str">
        <f>HYPERLINK("https%3A%2F%2Fwww.webofscience.com%2Fwos%2Fwoscc%2Ffull-record%2FWOS:000616050100001","View Full Record in Web of Science")</f>
        <v>View Full Record in Web of Science</v>
      </c>
    </row>
    <row r="774" spans="1:72" x14ac:dyDescent="0.15">
      <c r="A774" t="s">
        <v>72</v>
      </c>
      <c r="B774" t="s">
        <v>15132</v>
      </c>
      <c r="C774" t="s">
        <v>74</v>
      </c>
      <c r="D774" t="s">
        <v>74</v>
      </c>
      <c r="E774" t="s">
        <v>74</v>
      </c>
      <c r="F774" t="s">
        <v>15133</v>
      </c>
      <c r="G774" t="s">
        <v>74</v>
      </c>
      <c r="H774" t="s">
        <v>74</v>
      </c>
      <c r="I774" t="s">
        <v>15134</v>
      </c>
      <c r="J774" t="s">
        <v>3943</v>
      </c>
      <c r="K774" t="s">
        <v>74</v>
      </c>
      <c r="L774" t="s">
        <v>74</v>
      </c>
      <c r="M774" t="s">
        <v>78</v>
      </c>
      <c r="N774" t="s">
        <v>79</v>
      </c>
      <c r="O774" t="s">
        <v>74</v>
      </c>
      <c r="P774" t="s">
        <v>74</v>
      </c>
      <c r="Q774" t="s">
        <v>74</v>
      </c>
      <c r="R774" t="s">
        <v>74</v>
      </c>
      <c r="S774" t="s">
        <v>74</v>
      </c>
      <c r="T774" t="s">
        <v>15135</v>
      </c>
      <c r="U774" t="s">
        <v>74</v>
      </c>
      <c r="V774" t="s">
        <v>15136</v>
      </c>
      <c r="W774" t="s">
        <v>15137</v>
      </c>
      <c r="X774" t="s">
        <v>15138</v>
      </c>
      <c r="Y774" t="s">
        <v>15139</v>
      </c>
      <c r="Z774" t="s">
        <v>15140</v>
      </c>
      <c r="AA774" t="s">
        <v>15141</v>
      </c>
      <c r="AB774" t="s">
        <v>15142</v>
      </c>
      <c r="AC774" t="s">
        <v>15143</v>
      </c>
      <c r="AD774" t="s">
        <v>5684</v>
      </c>
      <c r="AE774" t="s">
        <v>15144</v>
      </c>
      <c r="AF774" t="s">
        <v>74</v>
      </c>
      <c r="AG774">
        <v>51</v>
      </c>
      <c r="AH774">
        <v>5</v>
      </c>
      <c r="AI774">
        <v>5</v>
      </c>
      <c r="AJ774">
        <v>0</v>
      </c>
      <c r="AK774">
        <v>14</v>
      </c>
      <c r="AL774" t="s">
        <v>166</v>
      </c>
      <c r="AM774" t="s">
        <v>167</v>
      </c>
      <c r="AN774" t="s">
        <v>168</v>
      </c>
      <c r="AO774" t="s">
        <v>3956</v>
      </c>
      <c r="AP774" t="s">
        <v>3957</v>
      </c>
      <c r="AQ774" t="s">
        <v>74</v>
      </c>
      <c r="AR774" t="s">
        <v>3958</v>
      </c>
      <c r="AS774" t="s">
        <v>3959</v>
      </c>
      <c r="AT774" t="s">
        <v>845</v>
      </c>
      <c r="AU774">
        <v>2021</v>
      </c>
      <c r="AV774">
        <v>82</v>
      </c>
      <c r="AW774">
        <v>3</v>
      </c>
      <c r="AX774" t="s">
        <v>74</v>
      </c>
      <c r="AY774" t="s">
        <v>74</v>
      </c>
      <c r="AZ774" t="s">
        <v>74</v>
      </c>
      <c r="BA774" t="s">
        <v>74</v>
      </c>
      <c r="BB774">
        <v>818</v>
      </c>
      <c r="BC774">
        <v>829</v>
      </c>
      <c r="BD774" t="s">
        <v>74</v>
      </c>
      <c r="BE774" t="s">
        <v>15145</v>
      </c>
      <c r="BF774" t="str">
        <f>HYPERLINK("http://dx.doi.org/10.1007/s00248-021-01701-2","http://dx.doi.org/10.1007/s00248-021-01701-2")</f>
        <v>http://dx.doi.org/10.1007/s00248-021-01701-2</v>
      </c>
      <c r="BG774" t="s">
        <v>74</v>
      </c>
      <c r="BH774" t="s">
        <v>12028</v>
      </c>
      <c r="BI774">
        <v>12</v>
      </c>
      <c r="BJ774" t="s">
        <v>3962</v>
      </c>
      <c r="BK774" t="s">
        <v>101</v>
      </c>
      <c r="BL774" t="s">
        <v>3963</v>
      </c>
      <c r="BM774" t="s">
        <v>15146</v>
      </c>
      <c r="BN774">
        <v>33555368</v>
      </c>
      <c r="BO774" t="s">
        <v>2726</v>
      </c>
      <c r="BP774" t="s">
        <v>74</v>
      </c>
      <c r="BQ774" t="s">
        <v>74</v>
      </c>
      <c r="BR774" t="s">
        <v>104</v>
      </c>
      <c r="BS774" t="s">
        <v>15147</v>
      </c>
      <c r="BT774" t="str">
        <f>HYPERLINK("https%3A%2F%2Fwww.webofscience.com%2Fwos%2Fwoscc%2Ffull-record%2FWOS:000616020200002","View Full Record in Web of Science")</f>
        <v>View Full Record in Web of Science</v>
      </c>
    </row>
    <row r="775" spans="1:72" x14ac:dyDescent="0.15">
      <c r="A775" t="s">
        <v>72</v>
      </c>
      <c r="B775" t="s">
        <v>15148</v>
      </c>
      <c r="C775" t="s">
        <v>74</v>
      </c>
      <c r="D775" t="s">
        <v>74</v>
      </c>
      <c r="E775" t="s">
        <v>74</v>
      </c>
      <c r="F775" t="s">
        <v>15149</v>
      </c>
      <c r="G775" t="s">
        <v>74</v>
      </c>
      <c r="H775" t="s">
        <v>74</v>
      </c>
      <c r="I775" t="s">
        <v>15150</v>
      </c>
      <c r="J775" t="s">
        <v>1421</v>
      </c>
      <c r="K775" t="s">
        <v>74</v>
      </c>
      <c r="L775" t="s">
        <v>74</v>
      </c>
      <c r="M775" t="s">
        <v>78</v>
      </c>
      <c r="N775" t="s">
        <v>79</v>
      </c>
      <c r="O775" t="s">
        <v>74</v>
      </c>
      <c r="P775" t="s">
        <v>74</v>
      </c>
      <c r="Q775" t="s">
        <v>74</v>
      </c>
      <c r="R775" t="s">
        <v>74</v>
      </c>
      <c r="S775" t="s">
        <v>74</v>
      </c>
      <c r="T775" t="s">
        <v>15151</v>
      </c>
      <c r="U775" t="s">
        <v>15152</v>
      </c>
      <c r="V775" t="s">
        <v>15153</v>
      </c>
      <c r="W775" t="s">
        <v>15154</v>
      </c>
      <c r="X775" t="s">
        <v>15155</v>
      </c>
      <c r="Y775" t="s">
        <v>15156</v>
      </c>
      <c r="Z775" t="s">
        <v>15157</v>
      </c>
      <c r="AA775" t="s">
        <v>15158</v>
      </c>
      <c r="AB775" t="s">
        <v>15159</v>
      </c>
      <c r="AC775" t="s">
        <v>15160</v>
      </c>
      <c r="AD775" t="s">
        <v>15161</v>
      </c>
      <c r="AE775" t="s">
        <v>15162</v>
      </c>
      <c r="AF775" t="s">
        <v>74</v>
      </c>
      <c r="AG775">
        <v>33</v>
      </c>
      <c r="AH775">
        <v>1</v>
      </c>
      <c r="AI775">
        <v>1</v>
      </c>
      <c r="AJ775">
        <v>1</v>
      </c>
      <c r="AK775">
        <v>4</v>
      </c>
      <c r="AL775" t="s">
        <v>166</v>
      </c>
      <c r="AM775" t="s">
        <v>167</v>
      </c>
      <c r="AN775" t="s">
        <v>168</v>
      </c>
      <c r="AO775" t="s">
        <v>1433</v>
      </c>
      <c r="AP775" t="s">
        <v>1434</v>
      </c>
      <c r="AQ775" t="s">
        <v>74</v>
      </c>
      <c r="AR775" t="s">
        <v>1435</v>
      </c>
      <c r="AS775" t="s">
        <v>1436</v>
      </c>
      <c r="AT775" t="s">
        <v>1091</v>
      </c>
      <c r="AU775">
        <v>2021</v>
      </c>
      <c r="AV775">
        <v>44</v>
      </c>
      <c r="AW775">
        <v>2</v>
      </c>
      <c r="AX775" t="s">
        <v>74</v>
      </c>
      <c r="AY775" t="s">
        <v>74</v>
      </c>
      <c r="AZ775" t="s">
        <v>74</v>
      </c>
      <c r="BA775" t="s">
        <v>74</v>
      </c>
      <c r="BB775">
        <v>421</v>
      </c>
      <c r="BC775">
        <v>431</v>
      </c>
      <c r="BD775" t="s">
        <v>74</v>
      </c>
      <c r="BE775" t="s">
        <v>15163</v>
      </c>
      <c r="BF775" t="str">
        <f>HYPERLINK("http://dx.doi.org/10.1007/s00300-021-02803-w","http://dx.doi.org/10.1007/s00300-021-02803-w")</f>
        <v>http://dx.doi.org/10.1007/s00300-021-02803-w</v>
      </c>
      <c r="BG775" t="s">
        <v>74</v>
      </c>
      <c r="BH775" t="s">
        <v>12028</v>
      </c>
      <c r="BI775">
        <v>11</v>
      </c>
      <c r="BJ775" t="s">
        <v>1438</v>
      </c>
      <c r="BK775" t="s">
        <v>101</v>
      </c>
      <c r="BL775" t="s">
        <v>1439</v>
      </c>
      <c r="BM775" t="s">
        <v>15164</v>
      </c>
      <c r="BN775" t="s">
        <v>74</v>
      </c>
      <c r="BO775" t="s">
        <v>398</v>
      </c>
      <c r="BP775" t="s">
        <v>74</v>
      </c>
      <c r="BQ775" t="s">
        <v>74</v>
      </c>
      <c r="BR775" t="s">
        <v>104</v>
      </c>
      <c r="BS775" t="s">
        <v>15165</v>
      </c>
      <c r="BT775" t="str">
        <f>HYPERLINK("https%3A%2F%2Fwww.webofscience.com%2Fwos%2Fwoscc%2Ffull-record%2FWOS:000615877800001","View Full Record in Web of Science")</f>
        <v>View Full Record in Web of Science</v>
      </c>
    </row>
    <row r="776" spans="1:72" x14ac:dyDescent="0.15">
      <c r="A776" t="s">
        <v>72</v>
      </c>
      <c r="B776" t="s">
        <v>15166</v>
      </c>
      <c r="C776" t="s">
        <v>74</v>
      </c>
      <c r="D776" t="s">
        <v>74</v>
      </c>
      <c r="E776" t="s">
        <v>74</v>
      </c>
      <c r="F776" t="s">
        <v>15167</v>
      </c>
      <c r="G776" t="s">
        <v>74</v>
      </c>
      <c r="H776" t="s">
        <v>74</v>
      </c>
      <c r="I776" t="s">
        <v>15168</v>
      </c>
      <c r="J776" t="s">
        <v>1666</v>
      </c>
      <c r="K776" t="s">
        <v>74</v>
      </c>
      <c r="L776" t="s">
        <v>74</v>
      </c>
      <c r="M776" t="s">
        <v>78</v>
      </c>
      <c r="N776" t="s">
        <v>79</v>
      </c>
      <c r="O776" t="s">
        <v>74</v>
      </c>
      <c r="P776" t="s">
        <v>74</v>
      </c>
      <c r="Q776" t="s">
        <v>74</v>
      </c>
      <c r="R776" t="s">
        <v>74</v>
      </c>
      <c r="S776" t="s">
        <v>74</v>
      </c>
      <c r="T776" t="s">
        <v>15169</v>
      </c>
      <c r="U776" t="s">
        <v>74</v>
      </c>
      <c r="V776" t="s">
        <v>15170</v>
      </c>
      <c r="W776" t="s">
        <v>15171</v>
      </c>
      <c r="X776" t="s">
        <v>15172</v>
      </c>
      <c r="Y776" t="s">
        <v>15173</v>
      </c>
      <c r="Z776" t="s">
        <v>15174</v>
      </c>
      <c r="AA776" t="s">
        <v>15175</v>
      </c>
      <c r="AB776" t="s">
        <v>15176</v>
      </c>
      <c r="AC776" t="s">
        <v>15177</v>
      </c>
      <c r="AD776" t="s">
        <v>15178</v>
      </c>
      <c r="AE776" t="s">
        <v>15179</v>
      </c>
      <c r="AF776" t="s">
        <v>74</v>
      </c>
      <c r="AG776">
        <v>61</v>
      </c>
      <c r="AH776">
        <v>10</v>
      </c>
      <c r="AI776">
        <v>12</v>
      </c>
      <c r="AJ776">
        <v>2</v>
      </c>
      <c r="AK776">
        <v>14</v>
      </c>
      <c r="AL776" t="s">
        <v>1058</v>
      </c>
      <c r="AM776" t="s">
        <v>891</v>
      </c>
      <c r="AN776" t="s">
        <v>1059</v>
      </c>
      <c r="AO776" t="s">
        <v>1679</v>
      </c>
      <c r="AP776" t="s">
        <v>1680</v>
      </c>
      <c r="AQ776" t="s">
        <v>74</v>
      </c>
      <c r="AR776" t="s">
        <v>1681</v>
      </c>
      <c r="AS776" t="s">
        <v>1682</v>
      </c>
      <c r="AT776" t="s">
        <v>11445</v>
      </c>
      <c r="AU776">
        <v>2021</v>
      </c>
      <c r="AV776">
        <v>255</v>
      </c>
      <c r="AW776" t="s">
        <v>74</v>
      </c>
      <c r="AX776" t="s">
        <v>74</v>
      </c>
      <c r="AY776" t="s">
        <v>74</v>
      </c>
      <c r="AZ776" t="s">
        <v>74</v>
      </c>
      <c r="BA776" t="s">
        <v>74</v>
      </c>
      <c r="BB776" t="s">
        <v>74</v>
      </c>
      <c r="BC776" t="s">
        <v>74</v>
      </c>
      <c r="BD776">
        <v>106821</v>
      </c>
      <c r="BE776" t="s">
        <v>15180</v>
      </c>
      <c r="BF776" t="str">
        <f>HYPERLINK("http://dx.doi.org/10.1016/j.quascirev.2021.106821","http://dx.doi.org/10.1016/j.quascirev.2021.106821")</f>
        <v>http://dx.doi.org/10.1016/j.quascirev.2021.106821</v>
      </c>
      <c r="BG776" t="s">
        <v>74</v>
      </c>
      <c r="BH776" t="s">
        <v>12028</v>
      </c>
      <c r="BI776">
        <v>11</v>
      </c>
      <c r="BJ776" t="s">
        <v>1685</v>
      </c>
      <c r="BK776" t="s">
        <v>101</v>
      </c>
      <c r="BL776" t="s">
        <v>1686</v>
      </c>
      <c r="BM776" t="s">
        <v>15181</v>
      </c>
      <c r="BN776" t="s">
        <v>74</v>
      </c>
      <c r="BO776" t="s">
        <v>74</v>
      </c>
      <c r="BP776" t="s">
        <v>74</v>
      </c>
      <c r="BQ776" t="s">
        <v>74</v>
      </c>
      <c r="BR776" t="s">
        <v>104</v>
      </c>
      <c r="BS776" t="s">
        <v>15182</v>
      </c>
      <c r="BT776" t="str">
        <f>HYPERLINK("https%3A%2F%2Fwww.webofscience.com%2Fwos%2Fwoscc%2Ffull-record%2FWOS:000620778300011","View Full Record in Web of Science")</f>
        <v>View Full Record in Web of Science</v>
      </c>
    </row>
    <row r="777" spans="1:72" x14ac:dyDescent="0.15">
      <c r="A777" t="s">
        <v>72</v>
      </c>
      <c r="B777" t="s">
        <v>15183</v>
      </c>
      <c r="C777" t="s">
        <v>74</v>
      </c>
      <c r="D777" t="s">
        <v>74</v>
      </c>
      <c r="E777" t="s">
        <v>74</v>
      </c>
      <c r="F777" t="s">
        <v>15184</v>
      </c>
      <c r="G777" t="s">
        <v>74</v>
      </c>
      <c r="H777" t="s">
        <v>74</v>
      </c>
      <c r="I777" t="s">
        <v>15185</v>
      </c>
      <c r="J777" t="s">
        <v>563</v>
      </c>
      <c r="K777" t="s">
        <v>74</v>
      </c>
      <c r="L777" t="s">
        <v>74</v>
      </c>
      <c r="M777" t="s">
        <v>78</v>
      </c>
      <c r="N777" t="s">
        <v>79</v>
      </c>
      <c r="O777" t="s">
        <v>74</v>
      </c>
      <c r="P777" t="s">
        <v>74</v>
      </c>
      <c r="Q777" t="s">
        <v>74</v>
      </c>
      <c r="R777" t="s">
        <v>74</v>
      </c>
      <c r="S777" t="s">
        <v>74</v>
      </c>
      <c r="T777" t="s">
        <v>15186</v>
      </c>
      <c r="U777" t="s">
        <v>15187</v>
      </c>
      <c r="V777" t="s">
        <v>15188</v>
      </c>
      <c r="W777" t="s">
        <v>15189</v>
      </c>
      <c r="X777" t="s">
        <v>15190</v>
      </c>
      <c r="Y777" t="s">
        <v>15191</v>
      </c>
      <c r="Z777" t="s">
        <v>6986</v>
      </c>
      <c r="AA777" t="s">
        <v>15192</v>
      </c>
      <c r="AB777" t="s">
        <v>15193</v>
      </c>
      <c r="AC777" t="s">
        <v>15194</v>
      </c>
      <c r="AD777" t="s">
        <v>511</v>
      </c>
      <c r="AE777" t="s">
        <v>15195</v>
      </c>
      <c r="AF777" t="s">
        <v>74</v>
      </c>
      <c r="AG777">
        <v>73</v>
      </c>
      <c r="AH777">
        <v>7</v>
      </c>
      <c r="AI777">
        <v>7</v>
      </c>
      <c r="AJ777">
        <v>14</v>
      </c>
      <c r="AK777">
        <v>105</v>
      </c>
      <c r="AL777" t="s">
        <v>576</v>
      </c>
      <c r="AM777" t="s">
        <v>577</v>
      </c>
      <c r="AN777" t="s">
        <v>578</v>
      </c>
      <c r="AO777" t="s">
        <v>579</v>
      </c>
      <c r="AP777" t="s">
        <v>580</v>
      </c>
      <c r="AQ777" t="s">
        <v>74</v>
      </c>
      <c r="AR777" t="s">
        <v>581</v>
      </c>
      <c r="AS777" t="s">
        <v>582</v>
      </c>
      <c r="AT777" t="s">
        <v>2506</v>
      </c>
      <c r="AU777">
        <v>2021</v>
      </c>
      <c r="AV777">
        <v>765</v>
      </c>
      <c r="AW777" t="s">
        <v>74</v>
      </c>
      <c r="AX777" t="s">
        <v>74</v>
      </c>
      <c r="AY777" t="s">
        <v>74</v>
      </c>
      <c r="AZ777" t="s">
        <v>74</v>
      </c>
      <c r="BA777" t="s">
        <v>74</v>
      </c>
      <c r="BB777" t="s">
        <v>74</v>
      </c>
      <c r="BC777" t="s">
        <v>74</v>
      </c>
      <c r="BD777">
        <v>142700</v>
      </c>
      <c r="BE777" t="s">
        <v>15196</v>
      </c>
      <c r="BF777" t="str">
        <f>HYPERLINK("http://dx.doi.org/10.1016/j.scitotenv.2020.142700","http://dx.doi.org/10.1016/j.scitotenv.2020.142700")</f>
        <v>http://dx.doi.org/10.1016/j.scitotenv.2020.142700</v>
      </c>
      <c r="BG777" t="s">
        <v>74</v>
      </c>
      <c r="BH777" t="s">
        <v>12028</v>
      </c>
      <c r="BI777">
        <v>13</v>
      </c>
      <c r="BJ777" t="s">
        <v>224</v>
      </c>
      <c r="BK777" t="s">
        <v>101</v>
      </c>
      <c r="BL777" t="s">
        <v>225</v>
      </c>
      <c r="BM777" t="s">
        <v>15197</v>
      </c>
      <c r="BN777">
        <v>33069481</v>
      </c>
      <c r="BO777" t="s">
        <v>74</v>
      </c>
      <c r="BP777" t="s">
        <v>74</v>
      </c>
      <c r="BQ777" t="s">
        <v>74</v>
      </c>
      <c r="BR777" t="s">
        <v>104</v>
      </c>
      <c r="BS777" t="s">
        <v>15198</v>
      </c>
      <c r="BT777" t="str">
        <f>HYPERLINK("https%3A%2F%2Fwww.webofscience.com%2Fwos%2Fwoscc%2Ffull-record%2FWOS:000616232300007","View Full Record in Web of Science")</f>
        <v>View Full Record in Web of Science</v>
      </c>
    </row>
    <row r="778" spans="1:72" x14ac:dyDescent="0.15">
      <c r="A778" t="s">
        <v>72</v>
      </c>
      <c r="B778" t="s">
        <v>15199</v>
      </c>
      <c r="C778" t="s">
        <v>74</v>
      </c>
      <c r="D778" t="s">
        <v>74</v>
      </c>
      <c r="E778" t="s">
        <v>74</v>
      </c>
      <c r="F778" t="s">
        <v>15200</v>
      </c>
      <c r="G778" t="s">
        <v>74</v>
      </c>
      <c r="H778" t="s">
        <v>74</v>
      </c>
      <c r="I778" t="s">
        <v>15201</v>
      </c>
      <c r="J778" t="s">
        <v>563</v>
      </c>
      <c r="K778" t="s">
        <v>74</v>
      </c>
      <c r="L778" t="s">
        <v>74</v>
      </c>
      <c r="M778" t="s">
        <v>78</v>
      </c>
      <c r="N778" t="s">
        <v>79</v>
      </c>
      <c r="O778" t="s">
        <v>74</v>
      </c>
      <c r="P778" t="s">
        <v>74</v>
      </c>
      <c r="Q778" t="s">
        <v>74</v>
      </c>
      <c r="R778" t="s">
        <v>74</v>
      </c>
      <c r="S778" t="s">
        <v>74</v>
      </c>
      <c r="T778" t="s">
        <v>15202</v>
      </c>
      <c r="U778" t="s">
        <v>15203</v>
      </c>
      <c r="V778" t="s">
        <v>15204</v>
      </c>
      <c r="W778" t="s">
        <v>15205</v>
      </c>
      <c r="X778" t="s">
        <v>15206</v>
      </c>
      <c r="Y778" t="s">
        <v>15207</v>
      </c>
      <c r="Z778" t="s">
        <v>15208</v>
      </c>
      <c r="AA778" t="s">
        <v>15209</v>
      </c>
      <c r="AB778" t="s">
        <v>15210</v>
      </c>
      <c r="AC778" t="s">
        <v>15211</v>
      </c>
      <c r="AD778" t="s">
        <v>15212</v>
      </c>
      <c r="AE778" t="s">
        <v>15213</v>
      </c>
      <c r="AF778" t="s">
        <v>74</v>
      </c>
      <c r="AG778">
        <v>100</v>
      </c>
      <c r="AH778">
        <v>8</v>
      </c>
      <c r="AI778">
        <v>9</v>
      </c>
      <c r="AJ778">
        <v>1</v>
      </c>
      <c r="AK778">
        <v>62</v>
      </c>
      <c r="AL778" t="s">
        <v>576</v>
      </c>
      <c r="AM778" t="s">
        <v>577</v>
      </c>
      <c r="AN778" t="s">
        <v>578</v>
      </c>
      <c r="AO778" t="s">
        <v>579</v>
      </c>
      <c r="AP778" t="s">
        <v>580</v>
      </c>
      <c r="AQ778" t="s">
        <v>74</v>
      </c>
      <c r="AR778" t="s">
        <v>581</v>
      </c>
      <c r="AS778" t="s">
        <v>582</v>
      </c>
      <c r="AT778" t="s">
        <v>2506</v>
      </c>
      <c r="AU778">
        <v>2021</v>
      </c>
      <c r="AV778">
        <v>765</v>
      </c>
      <c r="AW778" t="s">
        <v>74</v>
      </c>
      <c r="AX778" t="s">
        <v>74</v>
      </c>
      <c r="AY778" t="s">
        <v>74</v>
      </c>
      <c r="AZ778" t="s">
        <v>74</v>
      </c>
      <c r="BA778" t="s">
        <v>74</v>
      </c>
      <c r="BB778" t="s">
        <v>74</v>
      </c>
      <c r="BC778" t="s">
        <v>74</v>
      </c>
      <c r="BD778">
        <v>142669</v>
      </c>
      <c r="BE778" t="s">
        <v>15214</v>
      </c>
      <c r="BF778" t="str">
        <f>HYPERLINK("http://dx.doi.org/10.1016/j.scitotenv.2020.142669","http://dx.doi.org/10.1016/j.scitotenv.2020.142669")</f>
        <v>http://dx.doi.org/10.1016/j.scitotenv.2020.142669</v>
      </c>
      <c r="BG778" t="s">
        <v>74</v>
      </c>
      <c r="BH778" t="s">
        <v>12028</v>
      </c>
      <c r="BI778">
        <v>12</v>
      </c>
      <c r="BJ778" t="s">
        <v>224</v>
      </c>
      <c r="BK778" t="s">
        <v>101</v>
      </c>
      <c r="BL778" t="s">
        <v>225</v>
      </c>
      <c r="BM778" t="s">
        <v>15197</v>
      </c>
      <c r="BN778">
        <v>33268256</v>
      </c>
      <c r="BO778" t="s">
        <v>663</v>
      </c>
      <c r="BP778" t="s">
        <v>74</v>
      </c>
      <c r="BQ778" t="s">
        <v>74</v>
      </c>
      <c r="BR778" t="s">
        <v>104</v>
      </c>
      <c r="BS778" t="s">
        <v>15215</v>
      </c>
      <c r="BT778" t="str">
        <f>HYPERLINK("https%3A%2F%2Fwww.webofscience.com%2Fwos%2Fwoscc%2Ffull-record%2FWOS:000616232300055","View Full Record in Web of Science")</f>
        <v>View Full Record in Web of Science</v>
      </c>
    </row>
    <row r="779" spans="1:72" x14ac:dyDescent="0.15">
      <c r="A779" t="s">
        <v>72</v>
      </c>
      <c r="B779" t="s">
        <v>15216</v>
      </c>
      <c r="C779" t="s">
        <v>74</v>
      </c>
      <c r="D779" t="s">
        <v>74</v>
      </c>
      <c r="E779" t="s">
        <v>74</v>
      </c>
      <c r="F779" t="s">
        <v>15217</v>
      </c>
      <c r="G779" t="s">
        <v>74</v>
      </c>
      <c r="H779" t="s">
        <v>74</v>
      </c>
      <c r="I779" t="s">
        <v>15218</v>
      </c>
      <c r="J779" t="s">
        <v>15219</v>
      </c>
      <c r="K779" t="s">
        <v>74</v>
      </c>
      <c r="L779" t="s">
        <v>74</v>
      </c>
      <c r="M779" t="s">
        <v>78</v>
      </c>
      <c r="N779" t="s">
        <v>3616</v>
      </c>
      <c r="O779" t="s">
        <v>74</v>
      </c>
      <c r="P779" t="s">
        <v>74</v>
      </c>
      <c r="Q779" t="s">
        <v>74</v>
      </c>
      <c r="R779" t="s">
        <v>74</v>
      </c>
      <c r="S779" t="s">
        <v>74</v>
      </c>
      <c r="T779" t="s">
        <v>74</v>
      </c>
      <c r="U779" t="s">
        <v>74</v>
      </c>
      <c r="V779" t="s">
        <v>15220</v>
      </c>
      <c r="W779" t="s">
        <v>15221</v>
      </c>
      <c r="X779" t="s">
        <v>2917</v>
      </c>
      <c r="Y779" t="s">
        <v>15222</v>
      </c>
      <c r="Z779" t="s">
        <v>15223</v>
      </c>
      <c r="AA779" t="s">
        <v>15224</v>
      </c>
      <c r="AB779" t="s">
        <v>15225</v>
      </c>
      <c r="AC779" t="s">
        <v>74</v>
      </c>
      <c r="AD779" t="s">
        <v>74</v>
      </c>
      <c r="AE779" t="s">
        <v>74</v>
      </c>
      <c r="AF779" t="s">
        <v>74</v>
      </c>
      <c r="AG779">
        <v>1</v>
      </c>
      <c r="AH779">
        <v>0</v>
      </c>
      <c r="AI779">
        <v>0</v>
      </c>
      <c r="AJ779">
        <v>0</v>
      </c>
      <c r="AK779">
        <v>2</v>
      </c>
      <c r="AL779" t="s">
        <v>166</v>
      </c>
      <c r="AM779" t="s">
        <v>167</v>
      </c>
      <c r="AN779" t="s">
        <v>168</v>
      </c>
      <c r="AO779" t="s">
        <v>15226</v>
      </c>
      <c r="AP779" t="s">
        <v>15227</v>
      </c>
      <c r="AQ779" t="s">
        <v>74</v>
      </c>
      <c r="AR779" t="s">
        <v>15228</v>
      </c>
      <c r="AS779" t="s">
        <v>15229</v>
      </c>
      <c r="AT779" t="s">
        <v>2859</v>
      </c>
      <c r="AU779">
        <v>2021</v>
      </c>
      <c r="AV779">
        <v>106</v>
      </c>
      <c r="AW779">
        <v>4</v>
      </c>
      <c r="AX779" t="s">
        <v>74</v>
      </c>
      <c r="AY779" t="s">
        <v>74</v>
      </c>
      <c r="AZ779" t="s">
        <v>74</v>
      </c>
      <c r="BA779" t="s">
        <v>74</v>
      </c>
      <c r="BB779">
        <v>558</v>
      </c>
      <c r="BC779">
        <v>558</v>
      </c>
      <c r="BD779" t="s">
        <v>74</v>
      </c>
      <c r="BE779" t="s">
        <v>15230</v>
      </c>
      <c r="BF779" t="str">
        <f>HYPERLINK("http://dx.doi.org/10.1007/s00128-021-03128-4","http://dx.doi.org/10.1007/s00128-021-03128-4")</f>
        <v>http://dx.doi.org/10.1007/s00128-021-03128-4</v>
      </c>
      <c r="BG779" t="s">
        <v>74</v>
      </c>
      <c r="BH779" t="s">
        <v>12028</v>
      </c>
      <c r="BI779">
        <v>1</v>
      </c>
      <c r="BJ779" t="s">
        <v>14747</v>
      </c>
      <c r="BK779" t="s">
        <v>101</v>
      </c>
      <c r="BL779" t="s">
        <v>14748</v>
      </c>
      <c r="BM779" t="s">
        <v>15231</v>
      </c>
      <c r="BN779" t="s">
        <v>74</v>
      </c>
      <c r="BO779" t="s">
        <v>148</v>
      </c>
      <c r="BP779" t="s">
        <v>74</v>
      </c>
      <c r="BQ779" t="s">
        <v>74</v>
      </c>
      <c r="BR779" t="s">
        <v>104</v>
      </c>
      <c r="BS779" t="s">
        <v>15232</v>
      </c>
      <c r="BT779" t="str">
        <f>HYPERLINK("https%3A%2F%2Fwww.webofscience.com%2Fwos%2Fwoscc%2Ffull-record%2FWOS:000615549200003","View Full Record in Web of Science")</f>
        <v>View Full Record in Web of Science</v>
      </c>
    </row>
    <row r="780" spans="1:72" x14ac:dyDescent="0.15">
      <c r="A780" t="s">
        <v>72</v>
      </c>
      <c r="B780" t="s">
        <v>15233</v>
      </c>
      <c r="C780" t="s">
        <v>74</v>
      </c>
      <c r="D780" t="s">
        <v>74</v>
      </c>
      <c r="E780" t="s">
        <v>74</v>
      </c>
      <c r="F780" t="s">
        <v>15234</v>
      </c>
      <c r="G780" t="s">
        <v>74</v>
      </c>
      <c r="H780" t="s">
        <v>74</v>
      </c>
      <c r="I780" t="s">
        <v>15235</v>
      </c>
      <c r="J780" t="s">
        <v>15236</v>
      </c>
      <c r="K780" t="s">
        <v>74</v>
      </c>
      <c r="L780" t="s">
        <v>74</v>
      </c>
      <c r="M780" t="s">
        <v>78</v>
      </c>
      <c r="N780" t="s">
        <v>79</v>
      </c>
      <c r="O780" t="s">
        <v>74</v>
      </c>
      <c r="P780" t="s">
        <v>74</v>
      </c>
      <c r="Q780" t="s">
        <v>74</v>
      </c>
      <c r="R780" t="s">
        <v>74</v>
      </c>
      <c r="S780" t="s">
        <v>74</v>
      </c>
      <c r="T780" t="s">
        <v>74</v>
      </c>
      <c r="U780" t="s">
        <v>74</v>
      </c>
      <c r="V780" t="s">
        <v>15237</v>
      </c>
      <c r="W780" t="s">
        <v>15238</v>
      </c>
      <c r="X780" t="s">
        <v>15239</v>
      </c>
      <c r="Y780" t="s">
        <v>15240</v>
      </c>
      <c r="Z780" t="s">
        <v>15241</v>
      </c>
      <c r="AA780" t="s">
        <v>15242</v>
      </c>
      <c r="AB780" t="s">
        <v>15243</v>
      </c>
      <c r="AC780" t="s">
        <v>15244</v>
      </c>
      <c r="AD780" t="s">
        <v>15245</v>
      </c>
      <c r="AE780" t="s">
        <v>15246</v>
      </c>
      <c r="AF780" t="s">
        <v>74</v>
      </c>
      <c r="AG780">
        <v>65</v>
      </c>
      <c r="AH780">
        <v>9</v>
      </c>
      <c r="AI780">
        <v>9</v>
      </c>
      <c r="AJ780">
        <v>0</v>
      </c>
      <c r="AK780">
        <v>8</v>
      </c>
      <c r="AL780" t="s">
        <v>2922</v>
      </c>
      <c r="AM780" t="s">
        <v>2923</v>
      </c>
      <c r="AN780" t="s">
        <v>2924</v>
      </c>
      <c r="AO780" t="s">
        <v>15247</v>
      </c>
      <c r="AP780" t="s">
        <v>15248</v>
      </c>
      <c r="AQ780" t="s">
        <v>74</v>
      </c>
      <c r="AR780" t="s">
        <v>15249</v>
      </c>
      <c r="AS780" t="s">
        <v>15250</v>
      </c>
      <c r="AT780" t="s">
        <v>15251</v>
      </c>
      <c r="AU780">
        <v>2022</v>
      </c>
      <c r="AV780">
        <v>15</v>
      </c>
      <c r="AW780">
        <v>3</v>
      </c>
      <c r="AX780" t="s">
        <v>74</v>
      </c>
      <c r="AY780" t="s">
        <v>74</v>
      </c>
      <c r="AZ780" t="s">
        <v>74</v>
      </c>
      <c r="BA780" t="s">
        <v>74</v>
      </c>
      <c r="BB780">
        <v>187</v>
      </c>
      <c r="BC780">
        <v>203</v>
      </c>
      <c r="BD780" t="s">
        <v>74</v>
      </c>
      <c r="BE780" t="s">
        <v>15252</v>
      </c>
      <c r="BF780" t="str">
        <f>HYPERLINK("http://dx.doi.org/10.1080/1755876X.2021.1883293","http://dx.doi.org/10.1080/1755876X.2021.1883293")</f>
        <v>http://dx.doi.org/10.1080/1755876X.2021.1883293</v>
      </c>
      <c r="BG780" t="s">
        <v>74</v>
      </c>
      <c r="BH780" t="s">
        <v>12028</v>
      </c>
      <c r="BI780">
        <v>17</v>
      </c>
      <c r="BJ780" t="s">
        <v>3271</v>
      </c>
      <c r="BK780" t="s">
        <v>101</v>
      </c>
      <c r="BL780" t="s">
        <v>3271</v>
      </c>
      <c r="BM780" t="s">
        <v>15253</v>
      </c>
      <c r="BN780" t="s">
        <v>74</v>
      </c>
      <c r="BO780" t="s">
        <v>74</v>
      </c>
      <c r="BP780" t="s">
        <v>74</v>
      </c>
      <c r="BQ780" t="s">
        <v>74</v>
      </c>
      <c r="BR780" t="s">
        <v>104</v>
      </c>
      <c r="BS780" t="s">
        <v>15254</v>
      </c>
      <c r="BT780" t="str">
        <f>HYPERLINK("https%3A%2F%2Fwww.webofscience.com%2Fwos%2Fwoscc%2Ffull-record%2FWOS:000616193200001","View Full Record in Web of Science")</f>
        <v>View Full Record in Web of Science</v>
      </c>
    </row>
    <row r="781" spans="1:72" x14ac:dyDescent="0.15">
      <c r="A781" t="s">
        <v>72</v>
      </c>
      <c r="B781" t="s">
        <v>15255</v>
      </c>
      <c r="C781" t="s">
        <v>74</v>
      </c>
      <c r="D781" t="s">
        <v>74</v>
      </c>
      <c r="E781" t="s">
        <v>74</v>
      </c>
      <c r="F781" t="s">
        <v>15256</v>
      </c>
      <c r="G781" t="s">
        <v>74</v>
      </c>
      <c r="H781" t="s">
        <v>74</v>
      </c>
      <c r="I781" t="s">
        <v>15257</v>
      </c>
      <c r="J781" t="s">
        <v>15258</v>
      </c>
      <c r="K781" t="s">
        <v>74</v>
      </c>
      <c r="L781" t="s">
        <v>74</v>
      </c>
      <c r="M781" t="s">
        <v>78</v>
      </c>
      <c r="N781" t="s">
        <v>79</v>
      </c>
      <c r="O781" t="s">
        <v>74</v>
      </c>
      <c r="P781" t="s">
        <v>74</v>
      </c>
      <c r="Q781" t="s">
        <v>74</v>
      </c>
      <c r="R781" t="s">
        <v>74</v>
      </c>
      <c r="S781" t="s">
        <v>74</v>
      </c>
      <c r="T781" t="s">
        <v>15259</v>
      </c>
      <c r="U781" t="s">
        <v>74</v>
      </c>
      <c r="V781" t="s">
        <v>15260</v>
      </c>
      <c r="W781" t="s">
        <v>15261</v>
      </c>
      <c r="X781" t="s">
        <v>15262</v>
      </c>
      <c r="Y781" t="s">
        <v>15263</v>
      </c>
      <c r="Z781" t="s">
        <v>15264</v>
      </c>
      <c r="AA781" t="s">
        <v>74</v>
      </c>
      <c r="AB781" t="s">
        <v>15265</v>
      </c>
      <c r="AC781" t="s">
        <v>15266</v>
      </c>
      <c r="AD781" t="s">
        <v>15267</v>
      </c>
      <c r="AE781" t="s">
        <v>15268</v>
      </c>
      <c r="AF781" t="s">
        <v>74</v>
      </c>
      <c r="AG781">
        <v>25</v>
      </c>
      <c r="AH781">
        <v>0</v>
      </c>
      <c r="AI781">
        <v>0</v>
      </c>
      <c r="AJ781">
        <v>0</v>
      </c>
      <c r="AK781">
        <v>7</v>
      </c>
      <c r="AL781" t="s">
        <v>166</v>
      </c>
      <c r="AM781" t="s">
        <v>167</v>
      </c>
      <c r="AN781" t="s">
        <v>168</v>
      </c>
      <c r="AO781" t="s">
        <v>15269</v>
      </c>
      <c r="AP781" t="s">
        <v>15270</v>
      </c>
      <c r="AQ781" t="s">
        <v>74</v>
      </c>
      <c r="AR781" t="s">
        <v>15271</v>
      </c>
      <c r="AS781" t="s">
        <v>15272</v>
      </c>
      <c r="AT781" t="s">
        <v>707</v>
      </c>
      <c r="AU781">
        <v>2021</v>
      </c>
      <c r="AV781">
        <v>13</v>
      </c>
      <c r="AW781">
        <v>2</v>
      </c>
      <c r="AX781" t="s">
        <v>74</v>
      </c>
      <c r="AY781" t="s">
        <v>74</v>
      </c>
      <c r="AZ781" t="s">
        <v>74</v>
      </c>
      <c r="BA781" t="s">
        <v>74</v>
      </c>
      <c r="BB781">
        <v>203</v>
      </c>
      <c r="BC781">
        <v>217</v>
      </c>
      <c r="BD781" t="s">
        <v>74</v>
      </c>
      <c r="BE781" t="s">
        <v>15273</v>
      </c>
      <c r="BF781" t="str">
        <f>HYPERLINK("http://dx.doi.org/10.1007/s12560-021-09462-4","http://dx.doi.org/10.1007/s12560-021-09462-4")</f>
        <v>http://dx.doi.org/10.1007/s12560-021-09462-4</v>
      </c>
      <c r="BG781" t="s">
        <v>74</v>
      </c>
      <c r="BH781" t="s">
        <v>12028</v>
      </c>
      <c r="BI781">
        <v>15</v>
      </c>
      <c r="BJ781" t="s">
        <v>15274</v>
      </c>
      <c r="BK781" t="s">
        <v>101</v>
      </c>
      <c r="BL781" t="s">
        <v>15275</v>
      </c>
      <c r="BM781" t="s">
        <v>15276</v>
      </c>
      <c r="BN781">
        <v>33548027</v>
      </c>
      <c r="BO781" t="s">
        <v>496</v>
      </c>
      <c r="BP781" t="s">
        <v>74</v>
      </c>
      <c r="BQ781" t="s">
        <v>74</v>
      </c>
      <c r="BR781" t="s">
        <v>104</v>
      </c>
      <c r="BS781" t="s">
        <v>15277</v>
      </c>
      <c r="BT781" t="str">
        <f>HYPERLINK("https%3A%2F%2Fwww.webofscience.com%2Fwos%2Fwoscc%2Ffull-record%2FWOS:000615544300001","View Full Record in Web of Science")</f>
        <v>View Full Record in Web of Science</v>
      </c>
    </row>
    <row r="782" spans="1:72" x14ac:dyDescent="0.15">
      <c r="A782" t="s">
        <v>72</v>
      </c>
      <c r="B782" t="s">
        <v>15278</v>
      </c>
      <c r="C782" t="s">
        <v>74</v>
      </c>
      <c r="D782" t="s">
        <v>74</v>
      </c>
      <c r="E782" t="s">
        <v>74</v>
      </c>
      <c r="F782" t="s">
        <v>15279</v>
      </c>
      <c r="G782" t="s">
        <v>74</v>
      </c>
      <c r="H782" t="s">
        <v>74</v>
      </c>
      <c r="I782" t="s">
        <v>15280</v>
      </c>
      <c r="J782" t="s">
        <v>15281</v>
      </c>
      <c r="K782" t="s">
        <v>74</v>
      </c>
      <c r="L782" t="s">
        <v>74</v>
      </c>
      <c r="M782" t="s">
        <v>78</v>
      </c>
      <c r="N782" t="s">
        <v>79</v>
      </c>
      <c r="O782" t="s">
        <v>74</v>
      </c>
      <c r="P782" t="s">
        <v>74</v>
      </c>
      <c r="Q782" t="s">
        <v>74</v>
      </c>
      <c r="R782" t="s">
        <v>74</v>
      </c>
      <c r="S782" t="s">
        <v>74</v>
      </c>
      <c r="T782" t="s">
        <v>15282</v>
      </c>
      <c r="U782" t="s">
        <v>74</v>
      </c>
      <c r="V782" t="s">
        <v>15283</v>
      </c>
      <c r="W782" t="s">
        <v>15284</v>
      </c>
      <c r="X782" t="s">
        <v>15285</v>
      </c>
      <c r="Y782" t="s">
        <v>15286</v>
      </c>
      <c r="Z782" t="s">
        <v>15287</v>
      </c>
      <c r="AA782" t="s">
        <v>15288</v>
      </c>
      <c r="AB782" t="s">
        <v>15289</v>
      </c>
      <c r="AC782" t="s">
        <v>15290</v>
      </c>
      <c r="AD782" t="s">
        <v>15291</v>
      </c>
      <c r="AE782" t="s">
        <v>15292</v>
      </c>
      <c r="AF782" t="s">
        <v>74</v>
      </c>
      <c r="AG782">
        <v>68</v>
      </c>
      <c r="AH782">
        <v>3</v>
      </c>
      <c r="AI782">
        <v>3</v>
      </c>
      <c r="AJ782">
        <v>1</v>
      </c>
      <c r="AK782">
        <v>27</v>
      </c>
      <c r="AL782" t="s">
        <v>15293</v>
      </c>
      <c r="AM782" t="s">
        <v>15294</v>
      </c>
      <c r="AN782" t="s">
        <v>15295</v>
      </c>
      <c r="AO782" t="s">
        <v>15296</v>
      </c>
      <c r="AP782" t="s">
        <v>15297</v>
      </c>
      <c r="AQ782" t="s">
        <v>74</v>
      </c>
      <c r="AR782" t="s">
        <v>15298</v>
      </c>
      <c r="AS782" t="s">
        <v>15299</v>
      </c>
      <c r="AT782" t="s">
        <v>1809</v>
      </c>
      <c r="AU782">
        <v>2021</v>
      </c>
      <c r="AV782">
        <v>160</v>
      </c>
      <c r="AW782" t="s">
        <v>74</v>
      </c>
      <c r="AX782" t="s">
        <v>74</v>
      </c>
      <c r="AY782" t="s">
        <v>74</v>
      </c>
      <c r="AZ782" t="s">
        <v>74</v>
      </c>
      <c r="BA782" t="s">
        <v>74</v>
      </c>
      <c r="BB782">
        <v>365</v>
      </c>
      <c r="BC782">
        <v>376</v>
      </c>
      <c r="BD782" t="s">
        <v>74</v>
      </c>
      <c r="BE782" t="s">
        <v>15300</v>
      </c>
      <c r="BF782" t="str">
        <f>HYPERLINK("http://dx.doi.org/10.1016/j.plaphy.2021.01.038","http://dx.doi.org/10.1016/j.plaphy.2021.01.038")</f>
        <v>http://dx.doi.org/10.1016/j.plaphy.2021.01.038</v>
      </c>
      <c r="BG782" t="s">
        <v>74</v>
      </c>
      <c r="BH782" t="s">
        <v>12028</v>
      </c>
      <c r="BI782">
        <v>12</v>
      </c>
      <c r="BJ782" t="s">
        <v>2508</v>
      </c>
      <c r="BK782" t="s">
        <v>101</v>
      </c>
      <c r="BL782" t="s">
        <v>2508</v>
      </c>
      <c r="BM782" t="s">
        <v>15301</v>
      </c>
      <c r="BN782">
        <v>33550177</v>
      </c>
      <c r="BO782" t="s">
        <v>74</v>
      </c>
      <c r="BP782" t="s">
        <v>74</v>
      </c>
      <c r="BQ782" t="s">
        <v>74</v>
      </c>
      <c r="BR782" t="s">
        <v>104</v>
      </c>
      <c r="BS782" t="s">
        <v>15302</v>
      </c>
      <c r="BT782" t="str">
        <f>HYPERLINK("https%3A%2F%2Fwww.webofscience.com%2Fwos%2Fwoscc%2Ffull-record%2FWOS:000637952900033","View Full Record in Web of Science")</f>
        <v>View Full Record in Web of Science</v>
      </c>
    </row>
    <row r="783" spans="1:72" x14ac:dyDescent="0.15">
      <c r="A783" t="s">
        <v>72</v>
      </c>
      <c r="B783" t="s">
        <v>15303</v>
      </c>
      <c r="C783" t="s">
        <v>74</v>
      </c>
      <c r="D783" t="s">
        <v>74</v>
      </c>
      <c r="E783" t="s">
        <v>74</v>
      </c>
      <c r="F783" t="s">
        <v>15304</v>
      </c>
      <c r="G783" t="s">
        <v>74</v>
      </c>
      <c r="H783" t="s">
        <v>74</v>
      </c>
      <c r="I783" t="s">
        <v>15305</v>
      </c>
      <c r="J783" t="s">
        <v>10027</v>
      </c>
      <c r="K783" t="s">
        <v>74</v>
      </c>
      <c r="L783" t="s">
        <v>74</v>
      </c>
      <c r="M783" t="s">
        <v>78</v>
      </c>
      <c r="N783" t="s">
        <v>79</v>
      </c>
      <c r="O783" t="s">
        <v>74</v>
      </c>
      <c r="P783" t="s">
        <v>74</v>
      </c>
      <c r="Q783" t="s">
        <v>74</v>
      </c>
      <c r="R783" t="s">
        <v>74</v>
      </c>
      <c r="S783" t="s">
        <v>74</v>
      </c>
      <c r="T783" t="s">
        <v>15306</v>
      </c>
      <c r="U783" t="s">
        <v>15307</v>
      </c>
      <c r="V783" t="s">
        <v>15308</v>
      </c>
      <c r="W783" t="s">
        <v>15309</v>
      </c>
      <c r="X783" t="s">
        <v>15310</v>
      </c>
      <c r="Y783" t="s">
        <v>15311</v>
      </c>
      <c r="Z783" t="s">
        <v>15312</v>
      </c>
      <c r="AA783" t="s">
        <v>74</v>
      </c>
      <c r="AB783" t="s">
        <v>74</v>
      </c>
      <c r="AC783" t="s">
        <v>15313</v>
      </c>
      <c r="AD783" t="s">
        <v>15314</v>
      </c>
      <c r="AE783" t="s">
        <v>15315</v>
      </c>
      <c r="AF783" t="s">
        <v>74</v>
      </c>
      <c r="AG783">
        <v>43</v>
      </c>
      <c r="AH783">
        <v>12</v>
      </c>
      <c r="AI783">
        <v>13</v>
      </c>
      <c r="AJ783">
        <v>1</v>
      </c>
      <c r="AK783">
        <v>5</v>
      </c>
      <c r="AL783" t="s">
        <v>576</v>
      </c>
      <c r="AM783" t="s">
        <v>577</v>
      </c>
      <c r="AN783" t="s">
        <v>578</v>
      </c>
      <c r="AO783" t="s">
        <v>74</v>
      </c>
      <c r="AP783" t="s">
        <v>10039</v>
      </c>
      <c r="AQ783" t="s">
        <v>74</v>
      </c>
      <c r="AR783" t="s">
        <v>10040</v>
      </c>
      <c r="AS783" t="s">
        <v>10041</v>
      </c>
      <c r="AT783" t="s">
        <v>1809</v>
      </c>
      <c r="AU783">
        <v>2021</v>
      </c>
      <c r="AV783">
        <v>32</v>
      </c>
      <c r="AW783" t="s">
        <v>74</v>
      </c>
      <c r="AX783" t="s">
        <v>74</v>
      </c>
      <c r="AY783" t="s">
        <v>74</v>
      </c>
      <c r="AZ783" t="s">
        <v>74</v>
      </c>
      <c r="BA783" t="s">
        <v>74</v>
      </c>
      <c r="BB783" t="s">
        <v>74</v>
      </c>
      <c r="BC783" t="s">
        <v>74</v>
      </c>
      <c r="BD783">
        <v>101925</v>
      </c>
      <c r="BE783" t="s">
        <v>15316</v>
      </c>
      <c r="BF783" t="str">
        <f>HYPERLINK("http://dx.doi.org/10.1016/j.bcab.2021.101925","http://dx.doi.org/10.1016/j.bcab.2021.101925")</f>
        <v>http://dx.doi.org/10.1016/j.bcab.2021.101925</v>
      </c>
      <c r="BG783" t="s">
        <v>74</v>
      </c>
      <c r="BH783" t="s">
        <v>12028</v>
      </c>
      <c r="BI783">
        <v>8</v>
      </c>
      <c r="BJ783" t="s">
        <v>10043</v>
      </c>
      <c r="BK783" t="s">
        <v>342</v>
      </c>
      <c r="BL783" t="s">
        <v>10043</v>
      </c>
      <c r="BM783" t="s">
        <v>15317</v>
      </c>
      <c r="BN783" t="s">
        <v>74</v>
      </c>
      <c r="BO783" t="s">
        <v>74</v>
      </c>
      <c r="BP783" t="s">
        <v>74</v>
      </c>
      <c r="BQ783" t="s">
        <v>74</v>
      </c>
      <c r="BR783" t="s">
        <v>104</v>
      </c>
      <c r="BS783" t="s">
        <v>15318</v>
      </c>
      <c r="BT783" t="str">
        <f>HYPERLINK("https%3A%2F%2Fwww.webofscience.com%2Fwos%2Fwoscc%2Ffull-record%2FWOS:000636269400003","View Full Record in Web of Science")</f>
        <v>View Full Record in Web of Science</v>
      </c>
    </row>
    <row r="784" spans="1:72" x14ac:dyDescent="0.15">
      <c r="A784" t="s">
        <v>72</v>
      </c>
      <c r="B784" t="s">
        <v>15319</v>
      </c>
      <c r="C784" t="s">
        <v>74</v>
      </c>
      <c r="D784" t="s">
        <v>74</v>
      </c>
      <c r="E784" t="s">
        <v>74</v>
      </c>
      <c r="F784" t="s">
        <v>15320</v>
      </c>
      <c r="G784" t="s">
        <v>74</v>
      </c>
      <c r="H784" t="s">
        <v>74</v>
      </c>
      <c r="I784" t="s">
        <v>15321</v>
      </c>
      <c r="J784" t="s">
        <v>2021</v>
      </c>
      <c r="K784" t="s">
        <v>74</v>
      </c>
      <c r="L784" t="s">
        <v>74</v>
      </c>
      <c r="M784" t="s">
        <v>78</v>
      </c>
      <c r="N784" t="s">
        <v>79</v>
      </c>
      <c r="O784" t="s">
        <v>74</v>
      </c>
      <c r="P784" t="s">
        <v>74</v>
      </c>
      <c r="Q784" t="s">
        <v>74</v>
      </c>
      <c r="R784" t="s">
        <v>74</v>
      </c>
      <c r="S784" t="s">
        <v>74</v>
      </c>
      <c r="T784" t="s">
        <v>74</v>
      </c>
      <c r="U784" t="s">
        <v>74</v>
      </c>
      <c r="V784" t="s">
        <v>15322</v>
      </c>
      <c r="W784" t="s">
        <v>15323</v>
      </c>
      <c r="X784" t="s">
        <v>15324</v>
      </c>
      <c r="Y784" t="s">
        <v>15325</v>
      </c>
      <c r="Z784" t="s">
        <v>15326</v>
      </c>
      <c r="AA784" t="s">
        <v>15327</v>
      </c>
      <c r="AB784" t="s">
        <v>15328</v>
      </c>
      <c r="AC784" t="s">
        <v>15329</v>
      </c>
      <c r="AD784" t="s">
        <v>15330</v>
      </c>
      <c r="AE784" t="s">
        <v>15331</v>
      </c>
      <c r="AF784" t="s">
        <v>74</v>
      </c>
      <c r="AG784">
        <v>39</v>
      </c>
      <c r="AH784">
        <v>30</v>
      </c>
      <c r="AI784">
        <v>32</v>
      </c>
      <c r="AJ784">
        <v>7</v>
      </c>
      <c r="AK784">
        <v>37</v>
      </c>
      <c r="AL784" t="s">
        <v>861</v>
      </c>
      <c r="AM784" t="s">
        <v>862</v>
      </c>
      <c r="AN784" t="s">
        <v>863</v>
      </c>
      <c r="AO784" t="s">
        <v>2033</v>
      </c>
      <c r="AP784" t="s">
        <v>74</v>
      </c>
      <c r="AQ784" t="s">
        <v>74</v>
      </c>
      <c r="AR784" t="s">
        <v>2034</v>
      </c>
      <c r="AS784" t="s">
        <v>2035</v>
      </c>
      <c r="AT784" t="s">
        <v>15332</v>
      </c>
      <c r="AU784">
        <v>2021</v>
      </c>
      <c r="AV784">
        <v>11</v>
      </c>
      <c r="AW784">
        <v>1</v>
      </c>
      <c r="AX784" t="s">
        <v>74</v>
      </c>
      <c r="AY784" t="s">
        <v>74</v>
      </c>
      <c r="AZ784" t="s">
        <v>74</v>
      </c>
      <c r="BA784" t="s">
        <v>74</v>
      </c>
      <c r="BB784" t="s">
        <v>74</v>
      </c>
      <c r="BC784" t="s">
        <v>74</v>
      </c>
      <c r="BD784">
        <v>3220</v>
      </c>
      <c r="BE784" t="s">
        <v>15333</v>
      </c>
      <c r="BF784" t="str">
        <f>HYPERLINK("http://dx.doi.org/10.1038/s41598-021-82578-6","http://dx.doi.org/10.1038/s41598-021-82578-6")</f>
        <v>http://dx.doi.org/10.1038/s41598-021-82578-6</v>
      </c>
      <c r="BG784" t="s">
        <v>74</v>
      </c>
      <c r="BH784" t="s">
        <v>74</v>
      </c>
      <c r="BI784">
        <v>14</v>
      </c>
      <c r="BJ784" t="s">
        <v>555</v>
      </c>
      <c r="BK784" t="s">
        <v>101</v>
      </c>
      <c r="BL784" t="s">
        <v>556</v>
      </c>
      <c r="BM784" t="s">
        <v>15334</v>
      </c>
      <c r="BN784">
        <v>33547359</v>
      </c>
      <c r="BO784" t="s">
        <v>15335</v>
      </c>
      <c r="BP784" t="s">
        <v>74</v>
      </c>
      <c r="BQ784" t="s">
        <v>74</v>
      </c>
      <c r="BR784" t="s">
        <v>104</v>
      </c>
      <c r="BS784" t="s">
        <v>15336</v>
      </c>
      <c r="BT784" t="str">
        <f>HYPERLINK("https%3A%2F%2Fwww.webofscience.com%2Fwos%2Fwoscc%2Ffull-record%2FWOS:000617534100002","View Full Record in Web of Science")</f>
        <v>View Full Record in Web of Science</v>
      </c>
    </row>
    <row r="785" spans="1:72" x14ac:dyDescent="0.15">
      <c r="A785" t="s">
        <v>72</v>
      </c>
      <c r="B785" t="s">
        <v>15337</v>
      </c>
      <c r="C785" t="s">
        <v>74</v>
      </c>
      <c r="D785" t="s">
        <v>74</v>
      </c>
      <c r="E785" t="s">
        <v>74</v>
      </c>
      <c r="F785" t="s">
        <v>15338</v>
      </c>
      <c r="G785" t="s">
        <v>74</v>
      </c>
      <c r="H785" t="s">
        <v>74</v>
      </c>
      <c r="I785" t="s">
        <v>15339</v>
      </c>
      <c r="J785" t="s">
        <v>15340</v>
      </c>
      <c r="K785" t="s">
        <v>74</v>
      </c>
      <c r="L785" t="s">
        <v>74</v>
      </c>
      <c r="M785" t="s">
        <v>78</v>
      </c>
      <c r="N785" t="s">
        <v>79</v>
      </c>
      <c r="O785" t="s">
        <v>74</v>
      </c>
      <c r="P785" t="s">
        <v>74</v>
      </c>
      <c r="Q785" t="s">
        <v>74</v>
      </c>
      <c r="R785" t="s">
        <v>74</v>
      </c>
      <c r="S785" t="s">
        <v>74</v>
      </c>
      <c r="T785" t="s">
        <v>15341</v>
      </c>
      <c r="U785" t="s">
        <v>74</v>
      </c>
      <c r="V785" t="s">
        <v>15342</v>
      </c>
      <c r="W785" t="s">
        <v>15343</v>
      </c>
      <c r="X785" t="s">
        <v>15344</v>
      </c>
      <c r="Y785" t="s">
        <v>15345</v>
      </c>
      <c r="Z785" t="s">
        <v>15346</v>
      </c>
      <c r="AA785" t="s">
        <v>74</v>
      </c>
      <c r="AB785" t="s">
        <v>74</v>
      </c>
      <c r="AC785" t="s">
        <v>10020</v>
      </c>
      <c r="AD785" t="s">
        <v>10020</v>
      </c>
      <c r="AE785" t="s">
        <v>15347</v>
      </c>
      <c r="AF785" t="s">
        <v>74</v>
      </c>
      <c r="AG785">
        <v>13</v>
      </c>
      <c r="AH785">
        <v>0</v>
      </c>
      <c r="AI785">
        <v>0</v>
      </c>
      <c r="AJ785">
        <v>1</v>
      </c>
      <c r="AK785">
        <v>2</v>
      </c>
      <c r="AL785" t="s">
        <v>15348</v>
      </c>
      <c r="AM785" t="s">
        <v>15349</v>
      </c>
      <c r="AN785" t="s">
        <v>15350</v>
      </c>
      <c r="AO785" t="s">
        <v>15351</v>
      </c>
      <c r="AP785" t="s">
        <v>74</v>
      </c>
      <c r="AQ785" t="s">
        <v>74</v>
      </c>
      <c r="AR785" t="s">
        <v>15352</v>
      </c>
      <c r="AS785" t="s">
        <v>15353</v>
      </c>
      <c r="AT785" t="s">
        <v>15354</v>
      </c>
      <c r="AU785">
        <v>2021</v>
      </c>
      <c r="AV785">
        <v>19</v>
      </c>
      <c r="AW785">
        <v>6</v>
      </c>
      <c r="AX785" t="s">
        <v>74</v>
      </c>
      <c r="AY785" t="s">
        <v>74</v>
      </c>
      <c r="AZ785" t="s">
        <v>74</v>
      </c>
      <c r="BA785" t="s">
        <v>74</v>
      </c>
      <c r="BB785">
        <v>1648</v>
      </c>
      <c r="BC785">
        <v>1659</v>
      </c>
      <c r="BD785" t="s">
        <v>74</v>
      </c>
      <c r="BE785" t="s">
        <v>15355</v>
      </c>
      <c r="BF785" t="str">
        <f>HYPERLINK("http://dx.doi.org/10.1108/JEDT-02-2020-0057","http://dx.doi.org/10.1108/JEDT-02-2020-0057")</f>
        <v>http://dx.doi.org/10.1108/JEDT-02-2020-0057</v>
      </c>
      <c r="BG785" t="s">
        <v>74</v>
      </c>
      <c r="BH785" t="s">
        <v>12028</v>
      </c>
      <c r="BI785">
        <v>12</v>
      </c>
      <c r="BJ785" t="s">
        <v>15356</v>
      </c>
      <c r="BK785" t="s">
        <v>342</v>
      </c>
      <c r="BL785" t="s">
        <v>15357</v>
      </c>
      <c r="BM785" t="s">
        <v>15358</v>
      </c>
      <c r="BN785" t="s">
        <v>74</v>
      </c>
      <c r="BO785" t="s">
        <v>74</v>
      </c>
      <c r="BP785" t="s">
        <v>74</v>
      </c>
      <c r="BQ785" t="s">
        <v>74</v>
      </c>
      <c r="BR785" t="s">
        <v>104</v>
      </c>
      <c r="BS785" t="s">
        <v>15359</v>
      </c>
      <c r="BT785" t="str">
        <f>HYPERLINK("https%3A%2F%2Fwww.webofscience.com%2Fwos%2Fwoscc%2Ffull-record%2FWOS:000616658800001","View Full Record in Web of Science")</f>
        <v>View Full Record in Web of Science</v>
      </c>
    </row>
    <row r="786" spans="1:72" x14ac:dyDescent="0.15">
      <c r="A786" t="s">
        <v>72</v>
      </c>
      <c r="B786" t="s">
        <v>15360</v>
      </c>
      <c r="C786" t="s">
        <v>74</v>
      </c>
      <c r="D786" t="s">
        <v>74</v>
      </c>
      <c r="E786" t="s">
        <v>74</v>
      </c>
      <c r="F786" t="s">
        <v>15361</v>
      </c>
      <c r="G786" t="s">
        <v>74</v>
      </c>
      <c r="H786" t="s">
        <v>74</v>
      </c>
      <c r="I786" t="s">
        <v>15362</v>
      </c>
      <c r="J786" t="s">
        <v>2868</v>
      </c>
      <c r="K786" t="s">
        <v>74</v>
      </c>
      <c r="L786" t="s">
        <v>74</v>
      </c>
      <c r="M786" t="s">
        <v>78</v>
      </c>
      <c r="N786" t="s">
        <v>79</v>
      </c>
      <c r="O786" t="s">
        <v>74</v>
      </c>
      <c r="P786" t="s">
        <v>74</v>
      </c>
      <c r="Q786" t="s">
        <v>74</v>
      </c>
      <c r="R786" t="s">
        <v>74</v>
      </c>
      <c r="S786" t="s">
        <v>74</v>
      </c>
      <c r="T786" t="s">
        <v>15363</v>
      </c>
      <c r="U786" t="s">
        <v>15364</v>
      </c>
      <c r="V786" t="s">
        <v>15365</v>
      </c>
      <c r="W786" t="s">
        <v>15366</v>
      </c>
      <c r="X786" t="s">
        <v>4535</v>
      </c>
      <c r="Y786" t="s">
        <v>15367</v>
      </c>
      <c r="Z786" t="s">
        <v>15368</v>
      </c>
      <c r="AA786" t="s">
        <v>15369</v>
      </c>
      <c r="AB786" t="s">
        <v>15370</v>
      </c>
      <c r="AC786" t="s">
        <v>15371</v>
      </c>
      <c r="AD786" t="s">
        <v>15372</v>
      </c>
      <c r="AE786" t="s">
        <v>15373</v>
      </c>
      <c r="AF786" t="s">
        <v>74</v>
      </c>
      <c r="AG786">
        <v>87</v>
      </c>
      <c r="AH786">
        <v>4</v>
      </c>
      <c r="AI786">
        <v>5</v>
      </c>
      <c r="AJ786">
        <v>0</v>
      </c>
      <c r="AK786">
        <v>21</v>
      </c>
      <c r="AL786" t="s">
        <v>603</v>
      </c>
      <c r="AM786" t="s">
        <v>604</v>
      </c>
      <c r="AN786" t="s">
        <v>605</v>
      </c>
      <c r="AO786" t="s">
        <v>74</v>
      </c>
      <c r="AP786" t="s">
        <v>2881</v>
      </c>
      <c r="AQ786" t="s">
        <v>74</v>
      </c>
      <c r="AR786" t="s">
        <v>2882</v>
      </c>
      <c r="AS786" t="s">
        <v>2883</v>
      </c>
      <c r="AT786" t="s">
        <v>15332</v>
      </c>
      <c r="AU786">
        <v>2021</v>
      </c>
      <c r="AV786">
        <v>12</v>
      </c>
      <c r="AW786" t="s">
        <v>74</v>
      </c>
      <c r="AX786" t="s">
        <v>74</v>
      </c>
      <c r="AY786" t="s">
        <v>74</v>
      </c>
      <c r="AZ786" t="s">
        <v>74</v>
      </c>
      <c r="BA786" t="s">
        <v>74</v>
      </c>
      <c r="BB786" t="s">
        <v>74</v>
      </c>
      <c r="BC786" t="s">
        <v>74</v>
      </c>
      <c r="BD786">
        <v>623171</v>
      </c>
      <c r="BE786" t="s">
        <v>15374</v>
      </c>
      <c r="BF786" t="str">
        <f>HYPERLINK("http://dx.doi.org/10.3389/fmicb.2021.623171","http://dx.doi.org/10.3389/fmicb.2021.623171")</f>
        <v>http://dx.doi.org/10.3389/fmicb.2021.623171</v>
      </c>
      <c r="BG786" t="s">
        <v>74</v>
      </c>
      <c r="BH786" t="s">
        <v>74</v>
      </c>
      <c r="BI786">
        <v>17</v>
      </c>
      <c r="BJ786" t="s">
        <v>396</v>
      </c>
      <c r="BK786" t="s">
        <v>101</v>
      </c>
      <c r="BL786" t="s">
        <v>396</v>
      </c>
      <c r="BM786" t="s">
        <v>15375</v>
      </c>
      <c r="BN786">
        <v>33633709</v>
      </c>
      <c r="BO786" t="s">
        <v>298</v>
      </c>
      <c r="BP786" t="s">
        <v>74</v>
      </c>
      <c r="BQ786" t="s">
        <v>74</v>
      </c>
      <c r="BR786" t="s">
        <v>104</v>
      </c>
      <c r="BS786" t="s">
        <v>15376</v>
      </c>
      <c r="BT786" t="str">
        <f>HYPERLINK("https%3A%2F%2Fwww.webofscience.com%2Fwos%2Fwoscc%2Ffull-record%2FWOS:000619481800001","View Full Record in Web of Science")</f>
        <v>View Full Record in Web of Science</v>
      </c>
    </row>
    <row r="787" spans="1:72" x14ac:dyDescent="0.15">
      <c r="A787" t="s">
        <v>72</v>
      </c>
      <c r="B787" t="s">
        <v>15377</v>
      </c>
      <c r="C787" t="s">
        <v>74</v>
      </c>
      <c r="D787" t="s">
        <v>74</v>
      </c>
      <c r="E787" t="s">
        <v>74</v>
      </c>
      <c r="F787" t="s">
        <v>15378</v>
      </c>
      <c r="G787" t="s">
        <v>74</v>
      </c>
      <c r="H787" t="s">
        <v>74</v>
      </c>
      <c r="I787" t="s">
        <v>15379</v>
      </c>
      <c r="J787" t="s">
        <v>1666</v>
      </c>
      <c r="K787" t="s">
        <v>74</v>
      </c>
      <c r="L787" t="s">
        <v>74</v>
      </c>
      <c r="M787" t="s">
        <v>78</v>
      </c>
      <c r="N787" t="s">
        <v>1074</v>
      </c>
      <c r="O787" t="s">
        <v>74</v>
      </c>
      <c r="P787" t="s">
        <v>74</v>
      </c>
      <c r="Q787" t="s">
        <v>74</v>
      </c>
      <c r="R787" t="s">
        <v>74</v>
      </c>
      <c r="S787" t="s">
        <v>74</v>
      </c>
      <c r="T787" t="s">
        <v>15380</v>
      </c>
      <c r="U787" t="s">
        <v>74</v>
      </c>
      <c r="V787" t="s">
        <v>15381</v>
      </c>
      <c r="W787" t="s">
        <v>15382</v>
      </c>
      <c r="X787" t="s">
        <v>15383</v>
      </c>
      <c r="Y787" t="s">
        <v>15384</v>
      </c>
      <c r="Z787" t="s">
        <v>15385</v>
      </c>
      <c r="AA787" t="s">
        <v>15386</v>
      </c>
      <c r="AB787" t="s">
        <v>15387</v>
      </c>
      <c r="AC787" t="s">
        <v>15388</v>
      </c>
      <c r="AD787" t="s">
        <v>15389</v>
      </c>
      <c r="AE787" t="s">
        <v>15390</v>
      </c>
      <c r="AF787" t="s">
        <v>74</v>
      </c>
      <c r="AG787">
        <v>214</v>
      </c>
      <c r="AH787">
        <v>47</v>
      </c>
      <c r="AI787">
        <v>51</v>
      </c>
      <c r="AJ787">
        <v>8</v>
      </c>
      <c r="AK787">
        <v>49</v>
      </c>
      <c r="AL787" t="s">
        <v>1058</v>
      </c>
      <c r="AM787" t="s">
        <v>891</v>
      </c>
      <c r="AN787" t="s">
        <v>1059</v>
      </c>
      <c r="AO787" t="s">
        <v>1679</v>
      </c>
      <c r="AP787" t="s">
        <v>1680</v>
      </c>
      <c r="AQ787" t="s">
        <v>74</v>
      </c>
      <c r="AR787" t="s">
        <v>1681</v>
      </c>
      <c r="AS787" t="s">
        <v>1682</v>
      </c>
      <c r="AT787" t="s">
        <v>14050</v>
      </c>
      <c r="AU787">
        <v>2021</v>
      </c>
      <c r="AV787">
        <v>254</v>
      </c>
      <c r="AW787" t="s">
        <v>74</v>
      </c>
      <c r="AX787" t="s">
        <v>74</v>
      </c>
      <c r="AY787" t="s">
        <v>74</v>
      </c>
      <c r="AZ787" t="s">
        <v>74</v>
      </c>
      <c r="BA787" t="s">
        <v>74</v>
      </c>
      <c r="BB787" t="s">
        <v>74</v>
      </c>
      <c r="BC787" t="s">
        <v>74</v>
      </c>
      <c r="BD787">
        <v>106732</v>
      </c>
      <c r="BE787" t="s">
        <v>15391</v>
      </c>
      <c r="BF787" t="str">
        <f>HYPERLINK("http://dx.doi.org/10.1016/j.quascirev.2020.106732","http://dx.doi.org/10.1016/j.quascirev.2020.106732")</f>
        <v>http://dx.doi.org/10.1016/j.quascirev.2020.106732</v>
      </c>
      <c r="BG787" t="s">
        <v>74</v>
      </c>
      <c r="BH787" t="s">
        <v>12028</v>
      </c>
      <c r="BI787">
        <v>22</v>
      </c>
      <c r="BJ787" t="s">
        <v>1685</v>
      </c>
      <c r="BK787" t="s">
        <v>101</v>
      </c>
      <c r="BL787" t="s">
        <v>1686</v>
      </c>
      <c r="BM787" t="s">
        <v>15392</v>
      </c>
      <c r="BN787" t="s">
        <v>74</v>
      </c>
      <c r="BO787" t="s">
        <v>1187</v>
      </c>
      <c r="BP787" t="s">
        <v>74</v>
      </c>
      <c r="BQ787" t="s">
        <v>74</v>
      </c>
      <c r="BR787" t="s">
        <v>104</v>
      </c>
      <c r="BS787" t="s">
        <v>15393</v>
      </c>
      <c r="BT787" t="str">
        <f>HYPERLINK("https%3A%2F%2Fwww.webofscience.com%2Fwos%2Fwoscc%2Ffull-record%2FWOS:000616643800001","View Full Record in Web of Science")</f>
        <v>View Full Record in Web of Science</v>
      </c>
    </row>
    <row r="788" spans="1:72" x14ac:dyDescent="0.15">
      <c r="A788" t="s">
        <v>72</v>
      </c>
      <c r="B788" t="s">
        <v>15394</v>
      </c>
      <c r="C788" t="s">
        <v>74</v>
      </c>
      <c r="D788" t="s">
        <v>74</v>
      </c>
      <c r="E788" t="s">
        <v>74</v>
      </c>
      <c r="F788" t="s">
        <v>15395</v>
      </c>
      <c r="G788" t="s">
        <v>74</v>
      </c>
      <c r="H788" t="s">
        <v>74</v>
      </c>
      <c r="I788" t="s">
        <v>15396</v>
      </c>
      <c r="J788" t="s">
        <v>12186</v>
      </c>
      <c r="K788" t="s">
        <v>74</v>
      </c>
      <c r="L788" t="s">
        <v>74</v>
      </c>
      <c r="M788" t="s">
        <v>78</v>
      </c>
      <c r="N788" t="s">
        <v>79</v>
      </c>
      <c r="O788" t="s">
        <v>74</v>
      </c>
      <c r="P788" t="s">
        <v>74</v>
      </c>
      <c r="Q788" t="s">
        <v>74</v>
      </c>
      <c r="R788" t="s">
        <v>74</v>
      </c>
      <c r="S788" t="s">
        <v>74</v>
      </c>
      <c r="T788" t="s">
        <v>15397</v>
      </c>
      <c r="U788" t="s">
        <v>15398</v>
      </c>
      <c r="V788" t="s">
        <v>15399</v>
      </c>
      <c r="W788" t="s">
        <v>15400</v>
      </c>
      <c r="X788" t="s">
        <v>15401</v>
      </c>
      <c r="Y788" t="s">
        <v>15402</v>
      </c>
      <c r="Z788" t="s">
        <v>6682</v>
      </c>
      <c r="AA788" t="s">
        <v>15403</v>
      </c>
      <c r="AB788" t="s">
        <v>15404</v>
      </c>
      <c r="AC788" t="s">
        <v>15405</v>
      </c>
      <c r="AD788" t="s">
        <v>15406</v>
      </c>
      <c r="AE788" t="s">
        <v>15407</v>
      </c>
      <c r="AF788" t="s">
        <v>74</v>
      </c>
      <c r="AG788">
        <v>61</v>
      </c>
      <c r="AH788">
        <v>7</v>
      </c>
      <c r="AI788">
        <v>7</v>
      </c>
      <c r="AJ788">
        <v>1</v>
      </c>
      <c r="AK788">
        <v>18</v>
      </c>
      <c r="AL788" t="s">
        <v>12198</v>
      </c>
      <c r="AM788" t="s">
        <v>1909</v>
      </c>
      <c r="AN788" t="s">
        <v>12199</v>
      </c>
      <c r="AO788" t="s">
        <v>12200</v>
      </c>
      <c r="AP788" t="s">
        <v>12201</v>
      </c>
      <c r="AQ788" t="s">
        <v>74</v>
      </c>
      <c r="AR788" t="s">
        <v>12202</v>
      </c>
      <c r="AS788" t="s">
        <v>12203</v>
      </c>
      <c r="AT788" t="s">
        <v>15332</v>
      </c>
      <c r="AU788">
        <v>2021</v>
      </c>
      <c r="AV788">
        <v>249</v>
      </c>
      <c r="AW788" t="s">
        <v>74</v>
      </c>
      <c r="AX788" t="s">
        <v>74</v>
      </c>
      <c r="AY788" t="s">
        <v>74</v>
      </c>
      <c r="AZ788" t="s">
        <v>74</v>
      </c>
      <c r="BA788" t="s">
        <v>74</v>
      </c>
      <c r="BB788" t="s">
        <v>74</v>
      </c>
      <c r="BC788" t="s">
        <v>74</v>
      </c>
      <c r="BD788">
        <v>107074</v>
      </c>
      <c r="BE788" t="s">
        <v>15408</v>
      </c>
      <c r="BF788" t="str">
        <f>HYPERLINK("http://dx.doi.org/10.1016/j.ecss.2020.107074","http://dx.doi.org/10.1016/j.ecss.2020.107074")</f>
        <v>http://dx.doi.org/10.1016/j.ecss.2020.107074</v>
      </c>
      <c r="BG788" t="s">
        <v>74</v>
      </c>
      <c r="BH788" t="s">
        <v>74</v>
      </c>
      <c r="BI788">
        <v>13</v>
      </c>
      <c r="BJ788" t="s">
        <v>1391</v>
      </c>
      <c r="BK788" t="s">
        <v>101</v>
      </c>
      <c r="BL788" t="s">
        <v>1391</v>
      </c>
      <c r="BM788" t="s">
        <v>15409</v>
      </c>
      <c r="BN788" t="s">
        <v>74</v>
      </c>
      <c r="BO788" t="s">
        <v>496</v>
      </c>
      <c r="BP788" t="s">
        <v>74</v>
      </c>
      <c r="BQ788" t="s">
        <v>74</v>
      </c>
      <c r="BR788" t="s">
        <v>104</v>
      </c>
      <c r="BS788" t="s">
        <v>15410</v>
      </c>
      <c r="BT788" t="str">
        <f>HYPERLINK("https%3A%2F%2Fwww.webofscience.com%2Fwos%2Fwoscc%2Ffull-record%2FWOS:000609307900003","View Full Record in Web of Science")</f>
        <v>View Full Record in Web of Science</v>
      </c>
    </row>
    <row r="789" spans="1:72" x14ac:dyDescent="0.15">
      <c r="A789" t="s">
        <v>72</v>
      </c>
      <c r="B789" t="s">
        <v>15411</v>
      </c>
      <c r="C789" t="s">
        <v>74</v>
      </c>
      <c r="D789" t="s">
        <v>74</v>
      </c>
      <c r="E789" t="s">
        <v>74</v>
      </c>
      <c r="F789" t="s">
        <v>15412</v>
      </c>
      <c r="G789" t="s">
        <v>74</v>
      </c>
      <c r="H789" t="s">
        <v>74</v>
      </c>
      <c r="I789" t="s">
        <v>15413</v>
      </c>
      <c r="J789" t="s">
        <v>15414</v>
      </c>
      <c r="K789" t="s">
        <v>74</v>
      </c>
      <c r="L789" t="s">
        <v>74</v>
      </c>
      <c r="M789" t="s">
        <v>78</v>
      </c>
      <c r="N789" t="s">
        <v>79</v>
      </c>
      <c r="O789" t="s">
        <v>74</v>
      </c>
      <c r="P789" t="s">
        <v>74</v>
      </c>
      <c r="Q789" t="s">
        <v>74</v>
      </c>
      <c r="R789" t="s">
        <v>74</v>
      </c>
      <c r="S789" t="s">
        <v>74</v>
      </c>
      <c r="T789" t="s">
        <v>15415</v>
      </c>
      <c r="U789" t="s">
        <v>74</v>
      </c>
      <c r="V789" t="s">
        <v>15416</v>
      </c>
      <c r="W789" t="s">
        <v>15417</v>
      </c>
      <c r="X789" t="s">
        <v>15418</v>
      </c>
      <c r="Y789" t="s">
        <v>15419</v>
      </c>
      <c r="Z789" t="s">
        <v>15420</v>
      </c>
      <c r="AA789" t="s">
        <v>15421</v>
      </c>
      <c r="AB789" t="s">
        <v>15422</v>
      </c>
      <c r="AC789" t="s">
        <v>15423</v>
      </c>
      <c r="AD789" t="s">
        <v>15424</v>
      </c>
      <c r="AE789" t="s">
        <v>15425</v>
      </c>
      <c r="AF789" t="s">
        <v>74</v>
      </c>
      <c r="AG789">
        <v>33</v>
      </c>
      <c r="AH789">
        <v>4</v>
      </c>
      <c r="AI789">
        <v>4</v>
      </c>
      <c r="AJ789">
        <v>0</v>
      </c>
      <c r="AK789">
        <v>5</v>
      </c>
      <c r="AL789" t="s">
        <v>2922</v>
      </c>
      <c r="AM789" t="s">
        <v>2923</v>
      </c>
      <c r="AN789" t="s">
        <v>2924</v>
      </c>
      <c r="AO789" t="s">
        <v>15426</v>
      </c>
      <c r="AP789" t="s">
        <v>15427</v>
      </c>
      <c r="AQ789" t="s">
        <v>74</v>
      </c>
      <c r="AR789" t="s">
        <v>15428</v>
      </c>
      <c r="AS789" t="s">
        <v>15429</v>
      </c>
      <c r="AT789" t="s">
        <v>15430</v>
      </c>
      <c r="AU789">
        <v>2022</v>
      </c>
      <c r="AV789">
        <v>37</v>
      </c>
      <c r="AW789">
        <v>15</v>
      </c>
      <c r="AX789" t="s">
        <v>74</v>
      </c>
      <c r="AY789" t="s">
        <v>74</v>
      </c>
      <c r="AZ789" t="s">
        <v>74</v>
      </c>
      <c r="BA789" t="s">
        <v>74</v>
      </c>
      <c r="BB789">
        <v>4454</v>
      </c>
      <c r="BC789">
        <v>4464</v>
      </c>
      <c r="BD789" t="s">
        <v>74</v>
      </c>
      <c r="BE789" t="s">
        <v>15431</v>
      </c>
      <c r="BF789" t="str">
        <f>HYPERLINK("http://dx.doi.org/10.1080/10106049.2021.1886342","http://dx.doi.org/10.1080/10106049.2021.1886342")</f>
        <v>http://dx.doi.org/10.1080/10106049.2021.1886342</v>
      </c>
      <c r="BG789" t="s">
        <v>74</v>
      </c>
      <c r="BH789" t="s">
        <v>12028</v>
      </c>
      <c r="BI789">
        <v>11</v>
      </c>
      <c r="BJ789" t="s">
        <v>442</v>
      </c>
      <c r="BK789" t="s">
        <v>101</v>
      </c>
      <c r="BL789" t="s">
        <v>443</v>
      </c>
      <c r="BM789" t="s">
        <v>15432</v>
      </c>
      <c r="BN789" t="s">
        <v>74</v>
      </c>
      <c r="BO789" t="s">
        <v>74</v>
      </c>
      <c r="BP789" t="s">
        <v>74</v>
      </c>
      <c r="BQ789" t="s">
        <v>74</v>
      </c>
      <c r="BR789" t="s">
        <v>104</v>
      </c>
      <c r="BS789" t="s">
        <v>15433</v>
      </c>
      <c r="BT789" t="str">
        <f>HYPERLINK("https%3A%2F%2Fwww.webofscience.com%2Fwos%2Fwoscc%2Ffull-record%2FWOS:000619673200001","View Full Record in Web of Science")</f>
        <v>View Full Record in Web of Science</v>
      </c>
    </row>
    <row r="790" spans="1:72" x14ac:dyDescent="0.15">
      <c r="A790" t="s">
        <v>72</v>
      </c>
      <c r="B790" t="s">
        <v>15434</v>
      </c>
      <c r="C790" t="s">
        <v>74</v>
      </c>
      <c r="D790" t="s">
        <v>74</v>
      </c>
      <c r="E790" t="s">
        <v>74</v>
      </c>
      <c r="F790" t="s">
        <v>15435</v>
      </c>
      <c r="G790" t="s">
        <v>74</v>
      </c>
      <c r="H790" t="s">
        <v>74</v>
      </c>
      <c r="I790" t="s">
        <v>15436</v>
      </c>
      <c r="J790" t="s">
        <v>8677</v>
      </c>
      <c r="K790" t="s">
        <v>74</v>
      </c>
      <c r="L790" t="s">
        <v>74</v>
      </c>
      <c r="M790" t="s">
        <v>78</v>
      </c>
      <c r="N790" t="s">
        <v>79</v>
      </c>
      <c r="O790" t="s">
        <v>74</v>
      </c>
      <c r="P790" t="s">
        <v>74</v>
      </c>
      <c r="Q790" t="s">
        <v>74</v>
      </c>
      <c r="R790" t="s">
        <v>74</v>
      </c>
      <c r="S790" t="s">
        <v>74</v>
      </c>
      <c r="T790" t="s">
        <v>15437</v>
      </c>
      <c r="U790" t="s">
        <v>15438</v>
      </c>
      <c r="V790" t="s">
        <v>15439</v>
      </c>
      <c r="W790" t="s">
        <v>15440</v>
      </c>
      <c r="X790" t="s">
        <v>15441</v>
      </c>
      <c r="Y790" t="s">
        <v>15442</v>
      </c>
      <c r="Z790" t="s">
        <v>15443</v>
      </c>
      <c r="AA790" t="s">
        <v>15444</v>
      </c>
      <c r="AB790" t="s">
        <v>15445</v>
      </c>
      <c r="AC790" t="s">
        <v>15446</v>
      </c>
      <c r="AD790" t="s">
        <v>15447</v>
      </c>
      <c r="AE790" t="s">
        <v>15448</v>
      </c>
      <c r="AF790" t="s">
        <v>74</v>
      </c>
      <c r="AG790">
        <v>69</v>
      </c>
      <c r="AH790">
        <v>41</v>
      </c>
      <c r="AI790">
        <v>42</v>
      </c>
      <c r="AJ790">
        <v>2</v>
      </c>
      <c r="AK790">
        <v>99</v>
      </c>
      <c r="AL790" t="s">
        <v>576</v>
      </c>
      <c r="AM790" t="s">
        <v>577</v>
      </c>
      <c r="AN790" t="s">
        <v>578</v>
      </c>
      <c r="AO790" t="s">
        <v>8690</v>
      </c>
      <c r="AP790" t="s">
        <v>8691</v>
      </c>
      <c r="AQ790" t="s">
        <v>74</v>
      </c>
      <c r="AR790" t="s">
        <v>8692</v>
      </c>
      <c r="AS790" t="s">
        <v>8693</v>
      </c>
      <c r="AT790" t="s">
        <v>15332</v>
      </c>
      <c r="AU790">
        <v>2021</v>
      </c>
      <c r="AV790">
        <v>403</v>
      </c>
      <c r="AW790" t="s">
        <v>74</v>
      </c>
      <c r="AX790" t="s">
        <v>74</v>
      </c>
      <c r="AY790" t="s">
        <v>74</v>
      </c>
      <c r="AZ790" t="s">
        <v>74</v>
      </c>
      <c r="BA790" t="s">
        <v>74</v>
      </c>
      <c r="BB790" t="s">
        <v>74</v>
      </c>
      <c r="BC790" t="s">
        <v>74</v>
      </c>
      <c r="BD790">
        <v>123796</v>
      </c>
      <c r="BE790" t="s">
        <v>15449</v>
      </c>
      <c r="BF790" t="str">
        <f>HYPERLINK("http://dx.doi.org/10.1016/j.jhazmat.2020.123796","http://dx.doi.org/10.1016/j.jhazmat.2020.123796")</f>
        <v>http://dx.doi.org/10.1016/j.jhazmat.2020.123796</v>
      </c>
      <c r="BG790" t="s">
        <v>74</v>
      </c>
      <c r="BH790" t="s">
        <v>74</v>
      </c>
      <c r="BI790">
        <v>10</v>
      </c>
      <c r="BJ790" t="s">
        <v>2483</v>
      </c>
      <c r="BK790" t="s">
        <v>101</v>
      </c>
      <c r="BL790" t="s">
        <v>2484</v>
      </c>
      <c r="BM790" t="s">
        <v>15450</v>
      </c>
      <c r="BN790">
        <v>33264901</v>
      </c>
      <c r="BO790" t="s">
        <v>398</v>
      </c>
      <c r="BP790" t="s">
        <v>74</v>
      </c>
      <c r="BQ790" t="s">
        <v>74</v>
      </c>
      <c r="BR790" t="s">
        <v>104</v>
      </c>
      <c r="BS790" t="s">
        <v>15451</v>
      </c>
      <c r="BT790" t="str">
        <f>HYPERLINK("https%3A%2F%2Fwww.webofscience.com%2Fwos%2Fwoscc%2Ffull-record%2FWOS:000595266700002","View Full Record in Web of Science")</f>
        <v>View Full Record in Web of Science</v>
      </c>
    </row>
    <row r="791" spans="1:72" x14ac:dyDescent="0.15">
      <c r="A791" t="s">
        <v>72</v>
      </c>
      <c r="B791" t="s">
        <v>15452</v>
      </c>
      <c r="C791" t="s">
        <v>74</v>
      </c>
      <c r="D791" t="s">
        <v>74</v>
      </c>
      <c r="E791" t="s">
        <v>74</v>
      </c>
      <c r="F791" t="s">
        <v>15453</v>
      </c>
      <c r="G791" t="s">
        <v>74</v>
      </c>
      <c r="H791" t="s">
        <v>74</v>
      </c>
      <c r="I791" t="s">
        <v>15454</v>
      </c>
      <c r="J791" t="s">
        <v>8677</v>
      </c>
      <c r="K791" t="s">
        <v>74</v>
      </c>
      <c r="L791" t="s">
        <v>74</v>
      </c>
      <c r="M791" t="s">
        <v>78</v>
      </c>
      <c r="N791" t="s">
        <v>79</v>
      </c>
      <c r="O791" t="s">
        <v>74</v>
      </c>
      <c r="P791" t="s">
        <v>74</v>
      </c>
      <c r="Q791" t="s">
        <v>74</v>
      </c>
      <c r="R791" t="s">
        <v>74</v>
      </c>
      <c r="S791" t="s">
        <v>74</v>
      </c>
      <c r="T791" t="s">
        <v>15455</v>
      </c>
      <c r="U791" t="s">
        <v>74</v>
      </c>
      <c r="V791" t="s">
        <v>15456</v>
      </c>
      <c r="W791" t="s">
        <v>15457</v>
      </c>
      <c r="X791" t="s">
        <v>5506</v>
      </c>
      <c r="Y791" t="s">
        <v>15458</v>
      </c>
      <c r="Z791" t="s">
        <v>1635</v>
      </c>
      <c r="AA791" t="s">
        <v>1636</v>
      </c>
      <c r="AB791" t="s">
        <v>1637</v>
      </c>
      <c r="AC791" t="s">
        <v>15459</v>
      </c>
      <c r="AD791" t="s">
        <v>15459</v>
      </c>
      <c r="AE791" t="s">
        <v>15460</v>
      </c>
      <c r="AF791" t="s">
        <v>74</v>
      </c>
      <c r="AG791">
        <v>66</v>
      </c>
      <c r="AH791">
        <v>0</v>
      </c>
      <c r="AI791">
        <v>0</v>
      </c>
      <c r="AJ791">
        <v>3</v>
      </c>
      <c r="AK791">
        <v>26</v>
      </c>
      <c r="AL791" t="s">
        <v>576</v>
      </c>
      <c r="AM791" t="s">
        <v>577</v>
      </c>
      <c r="AN791" t="s">
        <v>578</v>
      </c>
      <c r="AO791" t="s">
        <v>8690</v>
      </c>
      <c r="AP791" t="s">
        <v>8691</v>
      </c>
      <c r="AQ791" t="s">
        <v>74</v>
      </c>
      <c r="AR791" t="s">
        <v>8692</v>
      </c>
      <c r="AS791" t="s">
        <v>8693</v>
      </c>
      <c r="AT791" t="s">
        <v>15332</v>
      </c>
      <c r="AU791">
        <v>2021</v>
      </c>
      <c r="AV791">
        <v>403</v>
      </c>
      <c r="AW791" t="s">
        <v>74</v>
      </c>
      <c r="AX791" t="s">
        <v>74</v>
      </c>
      <c r="AY791" t="s">
        <v>74</v>
      </c>
      <c r="AZ791" t="s">
        <v>74</v>
      </c>
      <c r="BA791" t="s">
        <v>74</v>
      </c>
      <c r="BB791" t="s">
        <v>74</v>
      </c>
      <c r="BC791" t="s">
        <v>74</v>
      </c>
      <c r="BD791">
        <v>123629</v>
      </c>
      <c r="BE791" t="s">
        <v>15461</v>
      </c>
      <c r="BF791" t="str">
        <f>HYPERLINK("http://dx.doi.org/10.1016/j.jhazmat.2020.123629","http://dx.doi.org/10.1016/j.jhazmat.2020.123629")</f>
        <v>http://dx.doi.org/10.1016/j.jhazmat.2020.123629</v>
      </c>
      <c r="BG791" t="s">
        <v>74</v>
      </c>
      <c r="BH791" t="s">
        <v>74</v>
      </c>
      <c r="BI791">
        <v>10</v>
      </c>
      <c r="BJ791" t="s">
        <v>2483</v>
      </c>
      <c r="BK791" t="s">
        <v>101</v>
      </c>
      <c r="BL791" t="s">
        <v>2484</v>
      </c>
      <c r="BM791" t="s">
        <v>15462</v>
      </c>
      <c r="BN791">
        <v>32846264</v>
      </c>
      <c r="BO791" t="s">
        <v>398</v>
      </c>
      <c r="BP791" t="s">
        <v>74</v>
      </c>
      <c r="BQ791" t="s">
        <v>74</v>
      </c>
      <c r="BR791" t="s">
        <v>104</v>
      </c>
      <c r="BS791" t="s">
        <v>15463</v>
      </c>
      <c r="BT791" t="str">
        <f>HYPERLINK("https%3A%2F%2Fwww.webofscience.com%2Fwos%2Fwoscc%2Ffull-record%2FWOS:000595861100002","View Full Record in Web of Science")</f>
        <v>View Full Record in Web of Science</v>
      </c>
    </row>
    <row r="792" spans="1:72" x14ac:dyDescent="0.15">
      <c r="A792" t="s">
        <v>72</v>
      </c>
      <c r="B792" t="s">
        <v>15464</v>
      </c>
      <c r="C792" t="s">
        <v>74</v>
      </c>
      <c r="D792" t="s">
        <v>74</v>
      </c>
      <c r="E792" t="s">
        <v>74</v>
      </c>
      <c r="F792" t="s">
        <v>15465</v>
      </c>
      <c r="G792" t="s">
        <v>74</v>
      </c>
      <c r="H792" t="s">
        <v>74</v>
      </c>
      <c r="I792" t="s">
        <v>15466</v>
      </c>
      <c r="J792" t="s">
        <v>15467</v>
      </c>
      <c r="K792" t="s">
        <v>74</v>
      </c>
      <c r="L792" t="s">
        <v>74</v>
      </c>
      <c r="M792" t="s">
        <v>78</v>
      </c>
      <c r="N792" t="s">
        <v>79</v>
      </c>
      <c r="O792" t="s">
        <v>74</v>
      </c>
      <c r="P792" t="s">
        <v>74</v>
      </c>
      <c r="Q792" t="s">
        <v>74</v>
      </c>
      <c r="R792" t="s">
        <v>74</v>
      </c>
      <c r="S792" t="s">
        <v>74</v>
      </c>
      <c r="T792" t="s">
        <v>15468</v>
      </c>
      <c r="U792" t="s">
        <v>15469</v>
      </c>
      <c r="V792" t="s">
        <v>15470</v>
      </c>
      <c r="W792" t="s">
        <v>15471</v>
      </c>
      <c r="X792" t="s">
        <v>15472</v>
      </c>
      <c r="Y792" t="s">
        <v>15473</v>
      </c>
      <c r="Z792" t="s">
        <v>15474</v>
      </c>
      <c r="AA792" t="s">
        <v>15475</v>
      </c>
      <c r="AB792" t="s">
        <v>15476</v>
      </c>
      <c r="AC792" t="s">
        <v>15477</v>
      </c>
      <c r="AD792" t="s">
        <v>15478</v>
      </c>
      <c r="AE792" t="s">
        <v>74</v>
      </c>
      <c r="AF792" t="s">
        <v>74</v>
      </c>
      <c r="AG792">
        <v>15</v>
      </c>
      <c r="AH792">
        <v>4</v>
      </c>
      <c r="AI792">
        <v>4</v>
      </c>
      <c r="AJ792">
        <v>2</v>
      </c>
      <c r="AK792">
        <v>14</v>
      </c>
      <c r="AL792" t="s">
        <v>15479</v>
      </c>
      <c r="AM792" t="s">
        <v>1909</v>
      </c>
      <c r="AN792" t="s">
        <v>15480</v>
      </c>
      <c r="AO792" t="s">
        <v>15481</v>
      </c>
      <c r="AP792" t="s">
        <v>15482</v>
      </c>
      <c r="AQ792" t="s">
        <v>74</v>
      </c>
      <c r="AR792" t="s">
        <v>15467</v>
      </c>
      <c r="AS792" t="s">
        <v>15483</v>
      </c>
      <c r="AT792" t="s">
        <v>2859</v>
      </c>
      <c r="AU792">
        <v>2023</v>
      </c>
      <c r="AV792">
        <v>169</v>
      </c>
      <c r="AW792">
        <v>2</v>
      </c>
      <c r="AX792" t="s">
        <v>74</v>
      </c>
      <c r="AY792" t="s">
        <v>74</v>
      </c>
      <c r="AZ792" t="s">
        <v>74</v>
      </c>
      <c r="BA792" t="s">
        <v>74</v>
      </c>
      <c r="BB792">
        <v>170</v>
      </c>
      <c r="BC792">
        <v>175</v>
      </c>
      <c r="BD792" t="s">
        <v>74</v>
      </c>
      <c r="BE792" t="s">
        <v>15484</v>
      </c>
      <c r="BF792" t="str">
        <f>HYPERLINK("http://dx.doi.org/10.1136/bmjmilitary-2020-001629","http://dx.doi.org/10.1136/bmjmilitary-2020-001629")</f>
        <v>http://dx.doi.org/10.1136/bmjmilitary-2020-001629</v>
      </c>
      <c r="BG792" t="s">
        <v>74</v>
      </c>
      <c r="BH792" t="s">
        <v>12028</v>
      </c>
      <c r="BI792">
        <v>6</v>
      </c>
      <c r="BJ792" t="s">
        <v>15485</v>
      </c>
      <c r="BK792" t="s">
        <v>101</v>
      </c>
      <c r="BL792" t="s">
        <v>15486</v>
      </c>
      <c r="BM792" t="s">
        <v>15487</v>
      </c>
      <c r="BN792">
        <v>33542142</v>
      </c>
      <c r="BO792" t="s">
        <v>398</v>
      </c>
      <c r="BP792" t="s">
        <v>74</v>
      </c>
      <c r="BQ792" t="s">
        <v>74</v>
      </c>
      <c r="BR792" t="s">
        <v>104</v>
      </c>
      <c r="BS792" t="s">
        <v>15488</v>
      </c>
      <c r="BT792" t="str">
        <f>HYPERLINK("https%3A%2F%2Fwww.webofscience.com%2Fwos%2Fwoscc%2Ffull-record%2FWOS:000726814000001","View Full Record in Web of Science")</f>
        <v>View Full Record in Web of Science</v>
      </c>
    </row>
    <row r="793" spans="1:72" x14ac:dyDescent="0.15">
      <c r="A793" t="s">
        <v>72</v>
      </c>
      <c r="B793" t="s">
        <v>15489</v>
      </c>
      <c r="C793" t="s">
        <v>74</v>
      </c>
      <c r="D793" t="s">
        <v>74</v>
      </c>
      <c r="E793" t="s">
        <v>74</v>
      </c>
      <c r="F793" t="s">
        <v>15490</v>
      </c>
      <c r="G793" t="s">
        <v>74</v>
      </c>
      <c r="H793" t="s">
        <v>74</v>
      </c>
      <c r="I793" t="s">
        <v>15491</v>
      </c>
      <c r="J793" t="s">
        <v>563</v>
      </c>
      <c r="K793" t="s">
        <v>74</v>
      </c>
      <c r="L793" t="s">
        <v>74</v>
      </c>
      <c r="M793" t="s">
        <v>78</v>
      </c>
      <c r="N793" t="s">
        <v>79</v>
      </c>
      <c r="O793" t="s">
        <v>74</v>
      </c>
      <c r="P793" t="s">
        <v>74</v>
      </c>
      <c r="Q793" t="s">
        <v>74</v>
      </c>
      <c r="R793" t="s">
        <v>74</v>
      </c>
      <c r="S793" t="s">
        <v>74</v>
      </c>
      <c r="T793" t="s">
        <v>15492</v>
      </c>
      <c r="U793" t="s">
        <v>15493</v>
      </c>
      <c r="V793" t="s">
        <v>15494</v>
      </c>
      <c r="W793" t="s">
        <v>15495</v>
      </c>
      <c r="X793" t="s">
        <v>15496</v>
      </c>
      <c r="Y793" t="s">
        <v>15497</v>
      </c>
      <c r="Z793" t="s">
        <v>15498</v>
      </c>
      <c r="AA793" t="s">
        <v>15499</v>
      </c>
      <c r="AB793" t="s">
        <v>15500</v>
      </c>
      <c r="AC793" t="s">
        <v>15501</v>
      </c>
      <c r="AD793" t="s">
        <v>3107</v>
      </c>
      <c r="AE793" t="s">
        <v>15502</v>
      </c>
      <c r="AF793" t="s">
        <v>74</v>
      </c>
      <c r="AG793">
        <v>49</v>
      </c>
      <c r="AH793">
        <v>8</v>
      </c>
      <c r="AI793">
        <v>8</v>
      </c>
      <c r="AJ793">
        <v>0</v>
      </c>
      <c r="AK793">
        <v>9</v>
      </c>
      <c r="AL793" t="s">
        <v>576</v>
      </c>
      <c r="AM793" t="s">
        <v>577</v>
      </c>
      <c r="AN793" t="s">
        <v>578</v>
      </c>
      <c r="AO793" t="s">
        <v>579</v>
      </c>
      <c r="AP793" t="s">
        <v>580</v>
      </c>
      <c r="AQ793" t="s">
        <v>74</v>
      </c>
      <c r="AR793" t="s">
        <v>581</v>
      </c>
      <c r="AS793" t="s">
        <v>582</v>
      </c>
      <c r="AT793" t="s">
        <v>1683</v>
      </c>
      <c r="AU793">
        <v>2021</v>
      </c>
      <c r="AV793">
        <v>771</v>
      </c>
      <c r="AW793" t="s">
        <v>74</v>
      </c>
      <c r="AX793" t="s">
        <v>74</v>
      </c>
      <c r="AY793" t="s">
        <v>74</v>
      </c>
      <c r="AZ793" t="s">
        <v>74</v>
      </c>
      <c r="BA793" t="s">
        <v>74</v>
      </c>
      <c r="BB793" t="s">
        <v>74</v>
      </c>
      <c r="BC793" t="s">
        <v>74</v>
      </c>
      <c r="BD793">
        <v>144780</v>
      </c>
      <c r="BE793" t="s">
        <v>15503</v>
      </c>
      <c r="BF793" t="str">
        <f>HYPERLINK("http://dx.doi.org/10.1016/j.scitotenv.2020.144780","http://dx.doi.org/10.1016/j.scitotenv.2020.144780")</f>
        <v>http://dx.doi.org/10.1016/j.scitotenv.2020.144780</v>
      </c>
      <c r="BG793" t="s">
        <v>74</v>
      </c>
      <c r="BH793" t="s">
        <v>12028</v>
      </c>
      <c r="BI793">
        <v>12</v>
      </c>
      <c r="BJ793" t="s">
        <v>224</v>
      </c>
      <c r="BK793" t="s">
        <v>101</v>
      </c>
      <c r="BL793" t="s">
        <v>225</v>
      </c>
      <c r="BM793" t="s">
        <v>15048</v>
      </c>
      <c r="BN793">
        <v>33548705</v>
      </c>
      <c r="BO793" t="s">
        <v>74</v>
      </c>
      <c r="BP793" t="s">
        <v>74</v>
      </c>
      <c r="BQ793" t="s">
        <v>74</v>
      </c>
      <c r="BR793" t="s">
        <v>104</v>
      </c>
      <c r="BS793" t="s">
        <v>15504</v>
      </c>
      <c r="BT793" t="str">
        <f>HYPERLINK("https%3A%2F%2Fwww.webofscience.com%2Fwos%2Fwoscc%2Ffull-record%2FWOS:000627895900024","View Full Record in Web of Science")</f>
        <v>View Full Record in Web of Science</v>
      </c>
    </row>
    <row r="794" spans="1:72" x14ac:dyDescent="0.15">
      <c r="A794" t="s">
        <v>72</v>
      </c>
      <c r="B794" t="s">
        <v>15505</v>
      </c>
      <c r="C794" t="s">
        <v>74</v>
      </c>
      <c r="D794" t="s">
        <v>74</v>
      </c>
      <c r="E794" t="s">
        <v>74</v>
      </c>
      <c r="F794" t="s">
        <v>15506</v>
      </c>
      <c r="G794" t="s">
        <v>74</v>
      </c>
      <c r="H794" t="s">
        <v>74</v>
      </c>
      <c r="I794" t="s">
        <v>15507</v>
      </c>
      <c r="J794" t="s">
        <v>15508</v>
      </c>
      <c r="K794" t="s">
        <v>74</v>
      </c>
      <c r="L794" t="s">
        <v>74</v>
      </c>
      <c r="M794" t="s">
        <v>78</v>
      </c>
      <c r="N794" t="s">
        <v>79</v>
      </c>
      <c r="O794" t="s">
        <v>74</v>
      </c>
      <c r="P794" t="s">
        <v>74</v>
      </c>
      <c r="Q794" t="s">
        <v>74</v>
      </c>
      <c r="R794" t="s">
        <v>74</v>
      </c>
      <c r="S794" t="s">
        <v>74</v>
      </c>
      <c r="T794" t="s">
        <v>15509</v>
      </c>
      <c r="U794" t="s">
        <v>15510</v>
      </c>
      <c r="V794" t="s">
        <v>15511</v>
      </c>
      <c r="W794" t="s">
        <v>15512</v>
      </c>
      <c r="X794" t="s">
        <v>15513</v>
      </c>
      <c r="Y794" t="s">
        <v>15514</v>
      </c>
      <c r="Z794" t="s">
        <v>15515</v>
      </c>
      <c r="AA794" t="s">
        <v>15516</v>
      </c>
      <c r="AB794" t="s">
        <v>15517</v>
      </c>
      <c r="AC794" t="s">
        <v>15518</v>
      </c>
      <c r="AD794" t="s">
        <v>15519</v>
      </c>
      <c r="AE794" t="s">
        <v>15520</v>
      </c>
      <c r="AF794" t="s">
        <v>74</v>
      </c>
      <c r="AG794">
        <v>72</v>
      </c>
      <c r="AH794">
        <v>2</v>
      </c>
      <c r="AI794">
        <v>2</v>
      </c>
      <c r="AJ794">
        <v>6</v>
      </c>
      <c r="AK794">
        <v>49</v>
      </c>
      <c r="AL794" t="s">
        <v>576</v>
      </c>
      <c r="AM794" t="s">
        <v>577</v>
      </c>
      <c r="AN794" t="s">
        <v>578</v>
      </c>
      <c r="AO794" t="s">
        <v>15521</v>
      </c>
      <c r="AP794" t="s">
        <v>15522</v>
      </c>
      <c r="AQ794" t="s">
        <v>74</v>
      </c>
      <c r="AR794" t="s">
        <v>15523</v>
      </c>
      <c r="AS794" t="s">
        <v>15524</v>
      </c>
      <c r="AT794" t="s">
        <v>15525</v>
      </c>
      <c r="AU794">
        <v>2021</v>
      </c>
      <c r="AV794">
        <v>295</v>
      </c>
      <c r="AW794" t="s">
        <v>74</v>
      </c>
      <c r="AX794" t="s">
        <v>74</v>
      </c>
      <c r="AY794" t="s">
        <v>74</v>
      </c>
      <c r="AZ794" t="s">
        <v>74</v>
      </c>
      <c r="BA794" t="s">
        <v>74</v>
      </c>
      <c r="BB794" t="s">
        <v>74</v>
      </c>
      <c r="BC794" t="s">
        <v>74</v>
      </c>
      <c r="BD794">
        <v>198265</v>
      </c>
      <c r="BE794" t="s">
        <v>15526</v>
      </c>
      <c r="BF794" t="str">
        <f>HYPERLINK("http://dx.doi.org/10.1016/j.virusres.2020.198265","http://dx.doi.org/10.1016/j.virusres.2020.198265")</f>
        <v>http://dx.doi.org/10.1016/j.virusres.2020.198265</v>
      </c>
      <c r="BG794" t="s">
        <v>74</v>
      </c>
      <c r="BH794" t="s">
        <v>12028</v>
      </c>
      <c r="BI794">
        <v>8</v>
      </c>
      <c r="BJ794" t="s">
        <v>15527</v>
      </c>
      <c r="BK794" t="s">
        <v>101</v>
      </c>
      <c r="BL794" t="s">
        <v>15527</v>
      </c>
      <c r="BM794" t="s">
        <v>15528</v>
      </c>
      <c r="BN794">
        <v>33550041</v>
      </c>
      <c r="BO794" t="s">
        <v>74</v>
      </c>
      <c r="BP794" t="s">
        <v>74</v>
      </c>
      <c r="BQ794" t="s">
        <v>74</v>
      </c>
      <c r="BR794" t="s">
        <v>104</v>
      </c>
      <c r="BS794" t="s">
        <v>15529</v>
      </c>
      <c r="BT794" t="str">
        <f>HYPERLINK("https%3A%2F%2Fwww.webofscience.com%2Fwos%2Fwoscc%2Ffull-record%2FWOS:000632450800001","View Full Record in Web of Science")</f>
        <v>View Full Record in Web of Science</v>
      </c>
    </row>
    <row r="795" spans="1:72" x14ac:dyDescent="0.15">
      <c r="A795" t="s">
        <v>72</v>
      </c>
      <c r="B795" t="s">
        <v>15530</v>
      </c>
      <c r="C795" t="s">
        <v>74</v>
      </c>
      <c r="D795" t="s">
        <v>74</v>
      </c>
      <c r="E795" t="s">
        <v>74</v>
      </c>
      <c r="F795" t="s">
        <v>15531</v>
      </c>
      <c r="G795" t="s">
        <v>74</v>
      </c>
      <c r="H795" t="s">
        <v>74</v>
      </c>
      <c r="I795" t="s">
        <v>15532</v>
      </c>
      <c r="J795" t="s">
        <v>739</v>
      </c>
      <c r="K795" t="s">
        <v>74</v>
      </c>
      <c r="L795" t="s">
        <v>74</v>
      </c>
      <c r="M795" t="s">
        <v>78</v>
      </c>
      <c r="N795" t="s">
        <v>79</v>
      </c>
      <c r="O795" t="s">
        <v>74</v>
      </c>
      <c r="P795" t="s">
        <v>74</v>
      </c>
      <c r="Q795" t="s">
        <v>74</v>
      </c>
      <c r="R795" t="s">
        <v>74</v>
      </c>
      <c r="S795" t="s">
        <v>74</v>
      </c>
      <c r="T795" t="s">
        <v>15533</v>
      </c>
      <c r="U795" t="s">
        <v>15534</v>
      </c>
      <c r="V795" t="s">
        <v>15535</v>
      </c>
      <c r="W795" t="s">
        <v>15536</v>
      </c>
      <c r="X795" t="s">
        <v>15537</v>
      </c>
      <c r="Y795" t="s">
        <v>15538</v>
      </c>
      <c r="Z795" t="s">
        <v>15539</v>
      </c>
      <c r="AA795" t="s">
        <v>15540</v>
      </c>
      <c r="AB795" t="s">
        <v>15541</v>
      </c>
      <c r="AC795" t="s">
        <v>15542</v>
      </c>
      <c r="AD795" t="s">
        <v>15543</v>
      </c>
      <c r="AE795" t="s">
        <v>15544</v>
      </c>
      <c r="AF795" t="s">
        <v>74</v>
      </c>
      <c r="AG795">
        <v>68</v>
      </c>
      <c r="AH795">
        <v>8</v>
      </c>
      <c r="AI795">
        <v>8</v>
      </c>
      <c r="AJ795">
        <v>0</v>
      </c>
      <c r="AK795">
        <v>13</v>
      </c>
      <c r="AL795" t="s">
        <v>750</v>
      </c>
      <c r="AM795" t="s">
        <v>751</v>
      </c>
      <c r="AN795" t="s">
        <v>752</v>
      </c>
      <c r="AO795" t="s">
        <v>753</v>
      </c>
      <c r="AP795" t="s">
        <v>754</v>
      </c>
      <c r="AQ795" t="s">
        <v>74</v>
      </c>
      <c r="AR795" t="s">
        <v>755</v>
      </c>
      <c r="AS795" t="s">
        <v>756</v>
      </c>
      <c r="AT795" t="s">
        <v>15545</v>
      </c>
      <c r="AU795">
        <v>2021</v>
      </c>
      <c r="AV795">
        <v>659</v>
      </c>
      <c r="AW795" t="s">
        <v>74</v>
      </c>
      <c r="AX795" t="s">
        <v>74</v>
      </c>
      <c r="AY795" t="s">
        <v>74</v>
      </c>
      <c r="AZ795" t="s">
        <v>74</v>
      </c>
      <c r="BA795" t="s">
        <v>74</v>
      </c>
      <c r="BB795">
        <v>113</v>
      </c>
      <c r="BC795">
        <v>126</v>
      </c>
      <c r="BD795" t="s">
        <v>74</v>
      </c>
      <c r="BE795" t="s">
        <v>15546</v>
      </c>
      <c r="BF795" t="str">
        <f>HYPERLINK("http://dx.doi.org/10.3354/meps13551","http://dx.doi.org/10.3354/meps13551")</f>
        <v>http://dx.doi.org/10.3354/meps13551</v>
      </c>
      <c r="BG795" t="s">
        <v>74</v>
      </c>
      <c r="BH795" t="s">
        <v>74</v>
      </c>
      <c r="BI795">
        <v>14</v>
      </c>
      <c r="BJ795" t="s">
        <v>758</v>
      </c>
      <c r="BK795" t="s">
        <v>101</v>
      </c>
      <c r="BL795" t="s">
        <v>759</v>
      </c>
      <c r="BM795" t="s">
        <v>15547</v>
      </c>
      <c r="BN795" t="s">
        <v>74</v>
      </c>
      <c r="BO795" t="s">
        <v>74</v>
      </c>
      <c r="BP795" t="s">
        <v>74</v>
      </c>
      <c r="BQ795" t="s">
        <v>74</v>
      </c>
      <c r="BR795" t="s">
        <v>104</v>
      </c>
      <c r="BS795" t="s">
        <v>15548</v>
      </c>
      <c r="BT795" t="str">
        <f>HYPERLINK("https%3A%2F%2Fwww.webofscience.com%2Fwos%2Fwoscc%2Ffull-record%2FWOS:000621354400008","View Full Record in Web of Science")</f>
        <v>View Full Record in Web of Science</v>
      </c>
    </row>
    <row r="796" spans="1:72" x14ac:dyDescent="0.15">
      <c r="A796" t="s">
        <v>72</v>
      </c>
      <c r="B796" t="s">
        <v>15549</v>
      </c>
      <c r="C796" t="s">
        <v>74</v>
      </c>
      <c r="D796" t="s">
        <v>74</v>
      </c>
      <c r="E796" t="s">
        <v>74</v>
      </c>
      <c r="F796" t="s">
        <v>15550</v>
      </c>
      <c r="G796" t="s">
        <v>74</v>
      </c>
      <c r="H796" t="s">
        <v>74</v>
      </c>
      <c r="I796" t="s">
        <v>15551</v>
      </c>
      <c r="J796" t="s">
        <v>8630</v>
      </c>
      <c r="K796" t="s">
        <v>74</v>
      </c>
      <c r="L796" t="s">
        <v>74</v>
      </c>
      <c r="M796" t="s">
        <v>78</v>
      </c>
      <c r="N796" t="s">
        <v>79</v>
      </c>
      <c r="O796" t="s">
        <v>74</v>
      </c>
      <c r="P796" t="s">
        <v>74</v>
      </c>
      <c r="Q796" t="s">
        <v>74</v>
      </c>
      <c r="R796" t="s">
        <v>74</v>
      </c>
      <c r="S796" t="s">
        <v>74</v>
      </c>
      <c r="T796" t="s">
        <v>74</v>
      </c>
      <c r="U796" t="s">
        <v>15552</v>
      </c>
      <c r="V796" t="s">
        <v>15553</v>
      </c>
      <c r="W796" t="s">
        <v>15554</v>
      </c>
      <c r="X796" t="s">
        <v>15555</v>
      </c>
      <c r="Y796" t="s">
        <v>15556</v>
      </c>
      <c r="Z796" t="s">
        <v>15557</v>
      </c>
      <c r="AA796" t="s">
        <v>15558</v>
      </c>
      <c r="AB796" t="s">
        <v>15559</v>
      </c>
      <c r="AC796" t="s">
        <v>15560</v>
      </c>
      <c r="AD796" t="s">
        <v>15561</v>
      </c>
      <c r="AE796" t="s">
        <v>15562</v>
      </c>
      <c r="AF796" t="s">
        <v>74</v>
      </c>
      <c r="AG796">
        <v>68</v>
      </c>
      <c r="AH796">
        <v>16</v>
      </c>
      <c r="AI796">
        <v>16</v>
      </c>
      <c r="AJ796">
        <v>0</v>
      </c>
      <c r="AK796">
        <v>9</v>
      </c>
      <c r="AL796" t="s">
        <v>1269</v>
      </c>
      <c r="AM796" t="s">
        <v>1270</v>
      </c>
      <c r="AN796" t="s">
        <v>1271</v>
      </c>
      <c r="AO796" t="s">
        <v>8642</v>
      </c>
      <c r="AP796" t="s">
        <v>8643</v>
      </c>
      <c r="AQ796" t="s">
        <v>74</v>
      </c>
      <c r="AR796" t="s">
        <v>8644</v>
      </c>
      <c r="AS796" t="s">
        <v>8645</v>
      </c>
      <c r="AT796" t="s">
        <v>15545</v>
      </c>
      <c r="AU796">
        <v>2021</v>
      </c>
      <c r="AV796">
        <v>17</v>
      </c>
      <c r="AW796">
        <v>1</v>
      </c>
      <c r="AX796" t="s">
        <v>74</v>
      </c>
      <c r="AY796" t="s">
        <v>74</v>
      </c>
      <c r="AZ796" t="s">
        <v>74</v>
      </c>
      <c r="BA796" t="s">
        <v>74</v>
      </c>
      <c r="BB796">
        <v>221</v>
      </c>
      <c r="BC796">
        <v>247</v>
      </c>
      <c r="BD796" t="s">
        <v>74</v>
      </c>
      <c r="BE796" t="s">
        <v>15563</v>
      </c>
      <c r="BF796" t="str">
        <f>HYPERLINK("http://dx.doi.org/10.5194/os-17-221-2021","http://dx.doi.org/10.5194/os-17-221-2021")</f>
        <v>http://dx.doi.org/10.5194/os-17-221-2021</v>
      </c>
      <c r="BG796" t="s">
        <v>74</v>
      </c>
      <c r="BH796" t="s">
        <v>74</v>
      </c>
      <c r="BI796">
        <v>27</v>
      </c>
      <c r="BJ796" t="s">
        <v>3271</v>
      </c>
      <c r="BK796" t="s">
        <v>101</v>
      </c>
      <c r="BL796" t="s">
        <v>3271</v>
      </c>
      <c r="BM796" t="s">
        <v>15564</v>
      </c>
      <c r="BN796" t="s">
        <v>74</v>
      </c>
      <c r="BO796" t="s">
        <v>7355</v>
      </c>
      <c r="BP796" t="s">
        <v>74</v>
      </c>
      <c r="BQ796" t="s">
        <v>74</v>
      </c>
      <c r="BR796" t="s">
        <v>104</v>
      </c>
      <c r="BS796" t="s">
        <v>15565</v>
      </c>
      <c r="BT796" t="str">
        <f>HYPERLINK("https%3A%2F%2Fwww.webofscience.com%2Fwos%2Fwoscc%2Ffull-record%2FWOS:000618225300001","View Full Record in Web of Science")</f>
        <v>View Full Record in Web of Science</v>
      </c>
    </row>
    <row r="797" spans="1:72" x14ac:dyDescent="0.15">
      <c r="A797" t="s">
        <v>72</v>
      </c>
      <c r="B797" t="s">
        <v>15566</v>
      </c>
      <c r="C797" t="s">
        <v>74</v>
      </c>
      <c r="D797" t="s">
        <v>74</v>
      </c>
      <c r="E797" t="s">
        <v>74</v>
      </c>
      <c r="F797" t="s">
        <v>15567</v>
      </c>
      <c r="G797" t="s">
        <v>74</v>
      </c>
      <c r="H797" t="s">
        <v>74</v>
      </c>
      <c r="I797" t="s">
        <v>15568</v>
      </c>
      <c r="J797" t="s">
        <v>15569</v>
      </c>
      <c r="K797" t="s">
        <v>74</v>
      </c>
      <c r="L797" t="s">
        <v>74</v>
      </c>
      <c r="M797" t="s">
        <v>78</v>
      </c>
      <c r="N797" t="s">
        <v>79</v>
      </c>
      <c r="O797" t="s">
        <v>74</v>
      </c>
      <c r="P797" t="s">
        <v>74</v>
      </c>
      <c r="Q797" t="s">
        <v>74</v>
      </c>
      <c r="R797" t="s">
        <v>74</v>
      </c>
      <c r="S797" t="s">
        <v>74</v>
      </c>
      <c r="T797" t="s">
        <v>15570</v>
      </c>
      <c r="U797" t="s">
        <v>15571</v>
      </c>
      <c r="V797" t="s">
        <v>15572</v>
      </c>
      <c r="W797" t="s">
        <v>15573</v>
      </c>
      <c r="X797" t="s">
        <v>15574</v>
      </c>
      <c r="Y797" t="s">
        <v>15575</v>
      </c>
      <c r="Z797" t="s">
        <v>15576</v>
      </c>
      <c r="AA797" t="s">
        <v>74</v>
      </c>
      <c r="AB797" t="s">
        <v>15577</v>
      </c>
      <c r="AC797" t="s">
        <v>15578</v>
      </c>
      <c r="AD797" t="s">
        <v>15578</v>
      </c>
      <c r="AE797" t="s">
        <v>15579</v>
      </c>
      <c r="AF797" t="s">
        <v>74</v>
      </c>
      <c r="AG797">
        <v>6</v>
      </c>
      <c r="AH797">
        <v>4</v>
      </c>
      <c r="AI797">
        <v>4</v>
      </c>
      <c r="AJ797">
        <v>0</v>
      </c>
      <c r="AK797">
        <v>6</v>
      </c>
      <c r="AL797" t="s">
        <v>603</v>
      </c>
      <c r="AM797" t="s">
        <v>604</v>
      </c>
      <c r="AN797" t="s">
        <v>605</v>
      </c>
      <c r="AO797" t="s">
        <v>15580</v>
      </c>
      <c r="AP797" t="s">
        <v>74</v>
      </c>
      <c r="AQ797" t="s">
        <v>74</v>
      </c>
      <c r="AR797" t="s">
        <v>15581</v>
      </c>
      <c r="AS797" t="s">
        <v>15582</v>
      </c>
      <c r="AT797" t="s">
        <v>15545</v>
      </c>
      <c r="AU797">
        <v>2021</v>
      </c>
      <c r="AV797">
        <v>9</v>
      </c>
      <c r="AW797" t="s">
        <v>74</v>
      </c>
      <c r="AX797" t="s">
        <v>74</v>
      </c>
      <c r="AY797" t="s">
        <v>74</v>
      </c>
      <c r="AZ797" t="s">
        <v>74</v>
      </c>
      <c r="BA797" t="s">
        <v>74</v>
      </c>
      <c r="BB797" t="s">
        <v>74</v>
      </c>
      <c r="BC797" t="s">
        <v>74</v>
      </c>
      <c r="BD797">
        <v>576047</v>
      </c>
      <c r="BE797" t="s">
        <v>15583</v>
      </c>
      <c r="BF797" t="str">
        <f>HYPERLINK("http://dx.doi.org/10.3389/fevo.2021.576047","http://dx.doi.org/10.3389/fevo.2021.576047")</f>
        <v>http://dx.doi.org/10.3389/fevo.2021.576047</v>
      </c>
      <c r="BG797" t="s">
        <v>74</v>
      </c>
      <c r="BH797" t="s">
        <v>74</v>
      </c>
      <c r="BI797">
        <v>6</v>
      </c>
      <c r="BJ797" t="s">
        <v>4663</v>
      </c>
      <c r="BK797" t="s">
        <v>101</v>
      </c>
      <c r="BL797" t="s">
        <v>225</v>
      </c>
      <c r="BM797" t="s">
        <v>15584</v>
      </c>
      <c r="BN797" t="s">
        <v>74</v>
      </c>
      <c r="BO797" t="s">
        <v>298</v>
      </c>
      <c r="BP797" t="s">
        <v>74</v>
      </c>
      <c r="BQ797" t="s">
        <v>74</v>
      </c>
      <c r="BR797" t="s">
        <v>104</v>
      </c>
      <c r="BS797" t="s">
        <v>15585</v>
      </c>
      <c r="BT797" t="str">
        <f>HYPERLINK("https%3A%2F%2Fwww.webofscience.com%2Fwos%2Fwoscc%2Ffull-record%2FWOS:000618847600001","View Full Record in Web of Science")</f>
        <v>View Full Record in Web of Science</v>
      </c>
    </row>
    <row r="798" spans="1:72" x14ac:dyDescent="0.15">
      <c r="A798" t="s">
        <v>72</v>
      </c>
      <c r="B798" t="s">
        <v>15586</v>
      </c>
      <c r="C798" t="s">
        <v>74</v>
      </c>
      <c r="D798" t="s">
        <v>74</v>
      </c>
      <c r="E798" t="s">
        <v>74</v>
      </c>
      <c r="F798" t="s">
        <v>15587</v>
      </c>
      <c r="G798" t="s">
        <v>74</v>
      </c>
      <c r="H798" t="s">
        <v>74</v>
      </c>
      <c r="I798" t="s">
        <v>15588</v>
      </c>
      <c r="J798" t="s">
        <v>2155</v>
      </c>
      <c r="K798" t="s">
        <v>74</v>
      </c>
      <c r="L798" t="s">
        <v>74</v>
      </c>
      <c r="M798" t="s">
        <v>78</v>
      </c>
      <c r="N798" t="s">
        <v>79</v>
      </c>
      <c r="O798" t="s">
        <v>74</v>
      </c>
      <c r="P798" t="s">
        <v>74</v>
      </c>
      <c r="Q798" t="s">
        <v>74</v>
      </c>
      <c r="R798" t="s">
        <v>74</v>
      </c>
      <c r="S798" t="s">
        <v>74</v>
      </c>
      <c r="T798" t="s">
        <v>15589</v>
      </c>
      <c r="U798" t="s">
        <v>74</v>
      </c>
      <c r="V798" t="s">
        <v>15590</v>
      </c>
      <c r="W798" t="s">
        <v>15591</v>
      </c>
      <c r="X798" t="s">
        <v>15592</v>
      </c>
      <c r="Y798" t="s">
        <v>15593</v>
      </c>
      <c r="Z798" t="s">
        <v>15594</v>
      </c>
      <c r="AA798" t="s">
        <v>15595</v>
      </c>
      <c r="AB798" t="s">
        <v>15596</v>
      </c>
      <c r="AC798" t="s">
        <v>15597</v>
      </c>
      <c r="AD798" t="s">
        <v>15598</v>
      </c>
      <c r="AE798" t="s">
        <v>15599</v>
      </c>
      <c r="AF798" t="s">
        <v>74</v>
      </c>
      <c r="AG798">
        <v>48</v>
      </c>
      <c r="AH798">
        <v>7</v>
      </c>
      <c r="AI798">
        <v>7</v>
      </c>
      <c r="AJ798">
        <v>0</v>
      </c>
      <c r="AK798">
        <v>7</v>
      </c>
      <c r="AL798" t="s">
        <v>795</v>
      </c>
      <c r="AM798" t="s">
        <v>796</v>
      </c>
      <c r="AN798" t="s">
        <v>797</v>
      </c>
      <c r="AO798" t="s">
        <v>2168</v>
      </c>
      <c r="AP798" t="s">
        <v>2169</v>
      </c>
      <c r="AQ798" t="s">
        <v>74</v>
      </c>
      <c r="AR798" t="s">
        <v>2170</v>
      </c>
      <c r="AS798" t="s">
        <v>2171</v>
      </c>
      <c r="AT798" t="s">
        <v>1035</v>
      </c>
      <c r="AU798">
        <v>2021</v>
      </c>
      <c r="AV798">
        <v>50</v>
      </c>
      <c r="AW798">
        <v>4</v>
      </c>
      <c r="AX798" t="s">
        <v>74</v>
      </c>
      <c r="AY798" t="s">
        <v>74</v>
      </c>
      <c r="AZ798" t="s">
        <v>74</v>
      </c>
      <c r="BA798" t="s">
        <v>74</v>
      </c>
      <c r="BB798">
        <v>500</v>
      </c>
      <c r="BC798">
        <v>508</v>
      </c>
      <c r="BD798" t="s">
        <v>74</v>
      </c>
      <c r="BE798" t="s">
        <v>15600</v>
      </c>
      <c r="BF798" t="str">
        <f>HYPERLINK("http://dx.doi.org/10.1111/zsc.12479","http://dx.doi.org/10.1111/zsc.12479")</f>
        <v>http://dx.doi.org/10.1111/zsc.12479</v>
      </c>
      <c r="BG798" t="s">
        <v>74</v>
      </c>
      <c r="BH798" t="s">
        <v>12028</v>
      </c>
      <c r="BI798">
        <v>9</v>
      </c>
      <c r="BJ798" t="s">
        <v>2173</v>
      </c>
      <c r="BK798" t="s">
        <v>101</v>
      </c>
      <c r="BL798" t="s">
        <v>2173</v>
      </c>
      <c r="BM798" t="s">
        <v>15601</v>
      </c>
      <c r="BN798" t="s">
        <v>74</v>
      </c>
      <c r="BO798" t="s">
        <v>74</v>
      </c>
      <c r="BP798" t="s">
        <v>74</v>
      </c>
      <c r="BQ798" t="s">
        <v>74</v>
      </c>
      <c r="BR798" t="s">
        <v>104</v>
      </c>
      <c r="BS798" t="s">
        <v>15602</v>
      </c>
      <c r="BT798" t="str">
        <f>HYPERLINK("https%3A%2F%2Fwww.webofscience.com%2Fwos%2Fwoscc%2Ffull-record%2FWOS:000614545100001","View Full Record in Web of Science")</f>
        <v>View Full Record in Web of Science</v>
      </c>
    </row>
    <row r="799" spans="1:72" x14ac:dyDescent="0.15">
      <c r="A799" t="s">
        <v>72</v>
      </c>
      <c r="B799" t="s">
        <v>15603</v>
      </c>
      <c r="C799" t="s">
        <v>74</v>
      </c>
      <c r="D799" t="s">
        <v>74</v>
      </c>
      <c r="E799" t="s">
        <v>74</v>
      </c>
      <c r="F799" t="s">
        <v>15604</v>
      </c>
      <c r="G799" t="s">
        <v>74</v>
      </c>
      <c r="H799" t="s">
        <v>74</v>
      </c>
      <c r="I799" t="s">
        <v>15605</v>
      </c>
      <c r="J799" t="s">
        <v>15606</v>
      </c>
      <c r="K799" t="s">
        <v>74</v>
      </c>
      <c r="L799" t="s">
        <v>74</v>
      </c>
      <c r="M799" t="s">
        <v>78</v>
      </c>
      <c r="N799" t="s">
        <v>79</v>
      </c>
      <c r="O799" t="s">
        <v>74</v>
      </c>
      <c r="P799" t="s">
        <v>74</v>
      </c>
      <c r="Q799" t="s">
        <v>74</v>
      </c>
      <c r="R799" t="s">
        <v>74</v>
      </c>
      <c r="S799" t="s">
        <v>74</v>
      </c>
      <c r="T799" t="s">
        <v>15607</v>
      </c>
      <c r="U799" t="s">
        <v>15608</v>
      </c>
      <c r="V799" t="s">
        <v>15609</v>
      </c>
      <c r="W799" t="s">
        <v>15610</v>
      </c>
      <c r="X799" t="s">
        <v>15611</v>
      </c>
      <c r="Y799" t="s">
        <v>15612</v>
      </c>
      <c r="Z799" t="s">
        <v>15613</v>
      </c>
      <c r="AA799" t="s">
        <v>15614</v>
      </c>
      <c r="AB799" t="s">
        <v>15615</v>
      </c>
      <c r="AC799" t="s">
        <v>15616</v>
      </c>
      <c r="AD799" t="s">
        <v>15617</v>
      </c>
      <c r="AE799" t="s">
        <v>15618</v>
      </c>
      <c r="AF799" t="s">
        <v>74</v>
      </c>
      <c r="AG799">
        <v>54</v>
      </c>
      <c r="AH799">
        <v>9</v>
      </c>
      <c r="AI799">
        <v>9</v>
      </c>
      <c r="AJ799">
        <v>1</v>
      </c>
      <c r="AK799">
        <v>10</v>
      </c>
      <c r="AL799" t="s">
        <v>1058</v>
      </c>
      <c r="AM799" t="s">
        <v>891</v>
      </c>
      <c r="AN799" t="s">
        <v>1059</v>
      </c>
      <c r="AO799" t="s">
        <v>15619</v>
      </c>
      <c r="AP799" t="s">
        <v>15620</v>
      </c>
      <c r="AQ799" t="s">
        <v>74</v>
      </c>
      <c r="AR799" t="s">
        <v>15621</v>
      </c>
      <c r="AS799" t="s">
        <v>15622</v>
      </c>
      <c r="AT799" t="s">
        <v>2859</v>
      </c>
      <c r="AU799">
        <v>2021</v>
      </c>
      <c r="AV799">
        <v>181</v>
      </c>
      <c r="AW799" t="s">
        <v>74</v>
      </c>
      <c r="AX799" t="s">
        <v>74</v>
      </c>
      <c r="AY799" t="s">
        <v>74</v>
      </c>
      <c r="AZ799" t="s">
        <v>74</v>
      </c>
      <c r="BA799" t="s">
        <v>74</v>
      </c>
      <c r="BB799">
        <v>405</v>
      </c>
      <c r="BC799">
        <v>413</v>
      </c>
      <c r="BD799" t="s">
        <v>74</v>
      </c>
      <c r="BE799" t="s">
        <v>15623</v>
      </c>
      <c r="BF799" t="str">
        <f>HYPERLINK("http://dx.doi.org/10.1016/j.actaastro.2021.01.051","http://dx.doi.org/10.1016/j.actaastro.2021.01.051")</f>
        <v>http://dx.doi.org/10.1016/j.actaastro.2021.01.051</v>
      </c>
      <c r="BG799" t="s">
        <v>74</v>
      </c>
      <c r="BH799" t="s">
        <v>12028</v>
      </c>
      <c r="BI799">
        <v>9</v>
      </c>
      <c r="BJ799" t="s">
        <v>15624</v>
      </c>
      <c r="BK799" t="s">
        <v>1038</v>
      </c>
      <c r="BL799" t="s">
        <v>15357</v>
      </c>
      <c r="BM799" t="s">
        <v>15625</v>
      </c>
      <c r="BN799" t="s">
        <v>74</v>
      </c>
      <c r="BO799" t="s">
        <v>663</v>
      </c>
      <c r="BP799" t="s">
        <v>74</v>
      </c>
      <c r="BQ799" t="s">
        <v>74</v>
      </c>
      <c r="BR799" t="s">
        <v>104</v>
      </c>
      <c r="BS799" t="s">
        <v>15626</v>
      </c>
      <c r="BT799" t="str">
        <f>HYPERLINK("https%3A%2F%2Fwww.webofscience.com%2Fwos%2Fwoscc%2Ffull-record%2FWOS:000666589400032","View Full Record in Web of Science")</f>
        <v>View Full Record in Web of Science</v>
      </c>
    </row>
    <row r="800" spans="1:72" x14ac:dyDescent="0.15">
      <c r="A800" t="s">
        <v>72</v>
      </c>
      <c r="B800" t="s">
        <v>15627</v>
      </c>
      <c r="C800" t="s">
        <v>74</v>
      </c>
      <c r="D800" t="s">
        <v>74</v>
      </c>
      <c r="E800" t="s">
        <v>74</v>
      </c>
      <c r="F800" t="s">
        <v>15628</v>
      </c>
      <c r="G800" t="s">
        <v>74</v>
      </c>
      <c r="H800" t="s">
        <v>74</v>
      </c>
      <c r="I800" t="s">
        <v>15629</v>
      </c>
      <c r="J800" t="s">
        <v>8677</v>
      </c>
      <c r="K800" t="s">
        <v>74</v>
      </c>
      <c r="L800" t="s">
        <v>74</v>
      </c>
      <c r="M800" t="s">
        <v>78</v>
      </c>
      <c r="N800" t="s">
        <v>79</v>
      </c>
      <c r="O800" t="s">
        <v>74</v>
      </c>
      <c r="P800" t="s">
        <v>74</v>
      </c>
      <c r="Q800" t="s">
        <v>74</v>
      </c>
      <c r="R800" t="s">
        <v>74</v>
      </c>
      <c r="S800" t="s">
        <v>74</v>
      </c>
      <c r="T800" t="s">
        <v>15630</v>
      </c>
      <c r="U800" t="s">
        <v>15631</v>
      </c>
      <c r="V800" t="s">
        <v>15632</v>
      </c>
      <c r="W800" t="s">
        <v>15633</v>
      </c>
      <c r="X800" t="s">
        <v>1131</v>
      </c>
      <c r="Y800" t="s">
        <v>15634</v>
      </c>
      <c r="Z800" t="s">
        <v>15635</v>
      </c>
      <c r="AA800" t="s">
        <v>15636</v>
      </c>
      <c r="AB800" t="s">
        <v>15637</v>
      </c>
      <c r="AC800" t="s">
        <v>15638</v>
      </c>
      <c r="AD800" t="s">
        <v>15639</v>
      </c>
      <c r="AE800" t="s">
        <v>15640</v>
      </c>
      <c r="AF800" t="s">
        <v>74</v>
      </c>
      <c r="AG800">
        <v>88</v>
      </c>
      <c r="AH800">
        <v>35</v>
      </c>
      <c r="AI800">
        <v>37</v>
      </c>
      <c r="AJ800">
        <v>7</v>
      </c>
      <c r="AK800">
        <v>78</v>
      </c>
      <c r="AL800" t="s">
        <v>576</v>
      </c>
      <c r="AM800" t="s">
        <v>577</v>
      </c>
      <c r="AN800" t="s">
        <v>578</v>
      </c>
      <c r="AO800" t="s">
        <v>8690</v>
      </c>
      <c r="AP800" t="s">
        <v>8691</v>
      </c>
      <c r="AQ800" t="s">
        <v>74</v>
      </c>
      <c r="AR800" t="s">
        <v>8692</v>
      </c>
      <c r="AS800" t="s">
        <v>8693</v>
      </c>
      <c r="AT800" t="s">
        <v>1064</v>
      </c>
      <c r="AU800">
        <v>2021</v>
      </c>
      <c r="AV800">
        <v>412</v>
      </c>
      <c r="AW800" t="s">
        <v>74</v>
      </c>
      <c r="AX800" t="s">
        <v>74</v>
      </c>
      <c r="AY800" t="s">
        <v>74</v>
      </c>
      <c r="AZ800" t="s">
        <v>74</v>
      </c>
      <c r="BA800" t="s">
        <v>74</v>
      </c>
      <c r="BB800" t="s">
        <v>74</v>
      </c>
      <c r="BC800" t="s">
        <v>74</v>
      </c>
      <c r="BD800">
        <v>125263</v>
      </c>
      <c r="BE800" t="s">
        <v>15641</v>
      </c>
      <c r="BF800" t="str">
        <f>HYPERLINK("http://dx.doi.org/10.1016/j.jhazmat.2021.125263","http://dx.doi.org/10.1016/j.jhazmat.2021.125263")</f>
        <v>http://dx.doi.org/10.1016/j.jhazmat.2021.125263</v>
      </c>
      <c r="BG800" t="s">
        <v>74</v>
      </c>
      <c r="BH800" t="s">
        <v>12028</v>
      </c>
      <c r="BI800">
        <v>16</v>
      </c>
      <c r="BJ800" t="s">
        <v>2483</v>
      </c>
      <c r="BK800" t="s">
        <v>101</v>
      </c>
      <c r="BL800" t="s">
        <v>2484</v>
      </c>
      <c r="BM800" t="s">
        <v>15642</v>
      </c>
      <c r="BN800">
        <v>33548780</v>
      </c>
      <c r="BO800" t="s">
        <v>74</v>
      </c>
      <c r="BP800" t="s">
        <v>74</v>
      </c>
      <c r="BQ800" t="s">
        <v>74</v>
      </c>
      <c r="BR800" t="s">
        <v>104</v>
      </c>
      <c r="BS800" t="s">
        <v>15643</v>
      </c>
      <c r="BT800" t="str">
        <f>HYPERLINK("https%3A%2F%2Fwww.webofscience.com%2Fwos%2Fwoscc%2Ffull-record%2FWOS:000647694500003","View Full Record in Web of Science")</f>
        <v>View Full Record in Web of Science</v>
      </c>
    </row>
    <row r="801" spans="1:72" x14ac:dyDescent="0.15">
      <c r="A801" t="s">
        <v>72</v>
      </c>
      <c r="B801" t="s">
        <v>15644</v>
      </c>
      <c r="C801" t="s">
        <v>74</v>
      </c>
      <c r="D801" t="s">
        <v>74</v>
      </c>
      <c r="E801" t="s">
        <v>74</v>
      </c>
      <c r="F801" t="s">
        <v>15645</v>
      </c>
      <c r="G801" t="s">
        <v>74</v>
      </c>
      <c r="H801" t="s">
        <v>74</v>
      </c>
      <c r="I801" t="s">
        <v>15646</v>
      </c>
      <c r="J801" t="s">
        <v>9061</v>
      </c>
      <c r="K801" t="s">
        <v>74</v>
      </c>
      <c r="L801" t="s">
        <v>74</v>
      </c>
      <c r="M801" t="s">
        <v>78</v>
      </c>
      <c r="N801" t="s">
        <v>79</v>
      </c>
      <c r="O801" t="s">
        <v>74</v>
      </c>
      <c r="P801" t="s">
        <v>74</v>
      </c>
      <c r="Q801" t="s">
        <v>74</v>
      </c>
      <c r="R801" t="s">
        <v>74</v>
      </c>
      <c r="S801" t="s">
        <v>74</v>
      </c>
      <c r="T801" t="s">
        <v>15647</v>
      </c>
      <c r="U801" t="s">
        <v>15648</v>
      </c>
      <c r="V801" t="s">
        <v>15649</v>
      </c>
      <c r="W801" t="s">
        <v>15650</v>
      </c>
      <c r="X801" t="s">
        <v>15651</v>
      </c>
      <c r="Y801" t="s">
        <v>15652</v>
      </c>
      <c r="Z801" t="s">
        <v>15653</v>
      </c>
      <c r="AA801" t="s">
        <v>15654</v>
      </c>
      <c r="AB801" t="s">
        <v>15655</v>
      </c>
      <c r="AC801" t="s">
        <v>15656</v>
      </c>
      <c r="AD801" t="s">
        <v>15657</v>
      </c>
      <c r="AE801" t="s">
        <v>15658</v>
      </c>
      <c r="AF801" t="s">
        <v>74</v>
      </c>
      <c r="AG801">
        <v>70</v>
      </c>
      <c r="AH801">
        <v>4</v>
      </c>
      <c r="AI801">
        <v>4</v>
      </c>
      <c r="AJ801">
        <v>2</v>
      </c>
      <c r="AK801">
        <v>12</v>
      </c>
      <c r="AL801" t="s">
        <v>576</v>
      </c>
      <c r="AM801" t="s">
        <v>577</v>
      </c>
      <c r="AN801" t="s">
        <v>578</v>
      </c>
      <c r="AO801" t="s">
        <v>9073</v>
      </c>
      <c r="AP801" t="s">
        <v>9074</v>
      </c>
      <c r="AQ801" t="s">
        <v>74</v>
      </c>
      <c r="AR801" t="s">
        <v>9075</v>
      </c>
      <c r="AS801" t="s">
        <v>9076</v>
      </c>
      <c r="AT801" t="s">
        <v>2859</v>
      </c>
      <c r="AU801">
        <v>2021</v>
      </c>
      <c r="AV801">
        <v>216</v>
      </c>
      <c r="AW801" t="s">
        <v>74</v>
      </c>
      <c r="AX801" t="s">
        <v>74</v>
      </c>
      <c r="AY801" t="s">
        <v>74</v>
      </c>
      <c r="AZ801" t="s">
        <v>74</v>
      </c>
      <c r="BA801" t="s">
        <v>74</v>
      </c>
      <c r="BB801" t="s">
        <v>74</v>
      </c>
      <c r="BC801" t="s">
        <v>74</v>
      </c>
      <c r="BD801" t="s">
        <v>74</v>
      </c>
      <c r="BE801" t="s">
        <v>15659</v>
      </c>
      <c r="BF801" t="str">
        <f>HYPERLINK("http://dx.doi.org/10.1016/j.jmarsys.2021.103512","http://dx.doi.org/10.1016/j.jmarsys.2021.103512")</f>
        <v>http://dx.doi.org/10.1016/j.jmarsys.2021.103512</v>
      </c>
      <c r="BG801" t="s">
        <v>74</v>
      </c>
      <c r="BH801" t="s">
        <v>12028</v>
      </c>
      <c r="BI801">
        <v>14</v>
      </c>
      <c r="BJ801" t="s">
        <v>9078</v>
      </c>
      <c r="BK801" t="s">
        <v>101</v>
      </c>
      <c r="BL801" t="s">
        <v>9079</v>
      </c>
      <c r="BM801" t="s">
        <v>15660</v>
      </c>
      <c r="BN801" t="s">
        <v>74</v>
      </c>
      <c r="BO801" t="s">
        <v>74</v>
      </c>
      <c r="BP801" t="s">
        <v>74</v>
      </c>
      <c r="BQ801" t="s">
        <v>74</v>
      </c>
      <c r="BR801" t="s">
        <v>104</v>
      </c>
      <c r="BS801" t="s">
        <v>15661</v>
      </c>
      <c r="BT801" t="str">
        <f>HYPERLINK("https%3A%2F%2Fwww.webofscience.com%2Fwos%2Fwoscc%2Ffull-record%2FWOS:000624899900002","View Full Record in Web of Science")</f>
        <v>View Full Record in Web of Science</v>
      </c>
    </row>
    <row r="802" spans="1:72" x14ac:dyDescent="0.15">
      <c r="A802" t="s">
        <v>72</v>
      </c>
      <c r="B802" t="s">
        <v>15662</v>
      </c>
      <c r="C802" t="s">
        <v>74</v>
      </c>
      <c r="D802" t="s">
        <v>74</v>
      </c>
      <c r="E802" t="s">
        <v>74</v>
      </c>
      <c r="F802" t="s">
        <v>15663</v>
      </c>
      <c r="G802" t="s">
        <v>74</v>
      </c>
      <c r="H802" t="s">
        <v>74</v>
      </c>
      <c r="I802" t="s">
        <v>15664</v>
      </c>
      <c r="J802" t="s">
        <v>2687</v>
      </c>
      <c r="K802" t="s">
        <v>74</v>
      </c>
      <c r="L802" t="s">
        <v>74</v>
      </c>
      <c r="M802" t="s">
        <v>78</v>
      </c>
      <c r="N802" t="s">
        <v>79</v>
      </c>
      <c r="O802" t="s">
        <v>74</v>
      </c>
      <c r="P802" t="s">
        <v>74</v>
      </c>
      <c r="Q802" t="s">
        <v>74</v>
      </c>
      <c r="R802" t="s">
        <v>74</v>
      </c>
      <c r="S802" t="s">
        <v>74</v>
      </c>
      <c r="T802" t="s">
        <v>15665</v>
      </c>
      <c r="U802" t="s">
        <v>15666</v>
      </c>
      <c r="V802" t="s">
        <v>15667</v>
      </c>
      <c r="W802" t="s">
        <v>15668</v>
      </c>
      <c r="X802" t="s">
        <v>15669</v>
      </c>
      <c r="Y802" t="s">
        <v>15670</v>
      </c>
      <c r="Z802" t="s">
        <v>15671</v>
      </c>
      <c r="AA802" t="s">
        <v>15672</v>
      </c>
      <c r="AB802" t="s">
        <v>15673</v>
      </c>
      <c r="AC802" t="s">
        <v>15674</v>
      </c>
      <c r="AD802" t="s">
        <v>15675</v>
      </c>
      <c r="AE802" t="s">
        <v>15676</v>
      </c>
      <c r="AF802" t="s">
        <v>74</v>
      </c>
      <c r="AG802">
        <v>123</v>
      </c>
      <c r="AH802">
        <v>19</v>
      </c>
      <c r="AI802">
        <v>20</v>
      </c>
      <c r="AJ802">
        <v>1</v>
      </c>
      <c r="AK802">
        <v>18</v>
      </c>
      <c r="AL802" t="s">
        <v>603</v>
      </c>
      <c r="AM802" t="s">
        <v>604</v>
      </c>
      <c r="AN802" t="s">
        <v>605</v>
      </c>
      <c r="AO802" t="s">
        <v>74</v>
      </c>
      <c r="AP802" t="s">
        <v>2699</v>
      </c>
      <c r="AQ802" t="s">
        <v>74</v>
      </c>
      <c r="AR802" t="s">
        <v>2700</v>
      </c>
      <c r="AS802" t="s">
        <v>2701</v>
      </c>
      <c r="AT802" t="s">
        <v>15677</v>
      </c>
      <c r="AU802">
        <v>2021</v>
      </c>
      <c r="AV802">
        <v>7</v>
      </c>
      <c r="AW802" t="s">
        <v>74</v>
      </c>
      <c r="AX802" t="s">
        <v>74</v>
      </c>
      <c r="AY802" t="s">
        <v>74</v>
      </c>
      <c r="AZ802" t="s">
        <v>74</v>
      </c>
      <c r="BA802" t="s">
        <v>74</v>
      </c>
      <c r="BB802" t="s">
        <v>74</v>
      </c>
      <c r="BC802" t="s">
        <v>74</v>
      </c>
      <c r="BD802">
        <v>592337</v>
      </c>
      <c r="BE802" t="s">
        <v>15678</v>
      </c>
      <c r="BF802" t="str">
        <f>HYPERLINK("http://dx.doi.org/10.3389/fmars.2020.592337","http://dx.doi.org/10.3389/fmars.2020.592337")</f>
        <v>http://dx.doi.org/10.3389/fmars.2020.592337</v>
      </c>
      <c r="BG802" t="s">
        <v>74</v>
      </c>
      <c r="BH802" t="s">
        <v>74</v>
      </c>
      <c r="BI802">
        <v>28</v>
      </c>
      <c r="BJ802" t="s">
        <v>1646</v>
      </c>
      <c r="BK802" t="s">
        <v>101</v>
      </c>
      <c r="BL802" t="s">
        <v>710</v>
      </c>
      <c r="BM802" t="s">
        <v>15679</v>
      </c>
      <c r="BN802" t="s">
        <v>74</v>
      </c>
      <c r="BO802" t="s">
        <v>15680</v>
      </c>
      <c r="BP802" t="s">
        <v>74</v>
      </c>
      <c r="BQ802" t="s">
        <v>74</v>
      </c>
      <c r="BR802" t="s">
        <v>104</v>
      </c>
      <c r="BS802" t="s">
        <v>15681</v>
      </c>
      <c r="BT802" t="str">
        <f>HYPERLINK("https%3A%2F%2Fwww.webofscience.com%2Fwos%2Fwoscc%2Ffull-record%2FWOS:000617909000001","View Full Record in Web of Science")</f>
        <v>View Full Record in Web of Science</v>
      </c>
    </row>
    <row r="803" spans="1:72" x14ac:dyDescent="0.15">
      <c r="A803" t="s">
        <v>72</v>
      </c>
      <c r="B803" t="s">
        <v>15682</v>
      </c>
      <c r="C803" t="s">
        <v>74</v>
      </c>
      <c r="D803" t="s">
        <v>74</v>
      </c>
      <c r="E803" t="s">
        <v>74</v>
      </c>
      <c r="F803" t="s">
        <v>15683</v>
      </c>
      <c r="G803" t="s">
        <v>74</v>
      </c>
      <c r="H803" t="s">
        <v>74</v>
      </c>
      <c r="I803" t="s">
        <v>15684</v>
      </c>
      <c r="J803" t="s">
        <v>1923</v>
      </c>
      <c r="K803" t="s">
        <v>74</v>
      </c>
      <c r="L803" t="s">
        <v>74</v>
      </c>
      <c r="M803" t="s">
        <v>78</v>
      </c>
      <c r="N803" t="s">
        <v>79</v>
      </c>
      <c r="O803" t="s">
        <v>74</v>
      </c>
      <c r="P803" t="s">
        <v>74</v>
      </c>
      <c r="Q803" t="s">
        <v>74</v>
      </c>
      <c r="R803" t="s">
        <v>74</v>
      </c>
      <c r="S803" t="s">
        <v>74</v>
      </c>
      <c r="T803" t="s">
        <v>15685</v>
      </c>
      <c r="U803" t="s">
        <v>15686</v>
      </c>
      <c r="V803" t="s">
        <v>15687</v>
      </c>
      <c r="W803" t="s">
        <v>15688</v>
      </c>
      <c r="X803" t="s">
        <v>74</v>
      </c>
      <c r="Y803" t="s">
        <v>15689</v>
      </c>
      <c r="Z803" t="s">
        <v>15690</v>
      </c>
      <c r="AA803" t="s">
        <v>74</v>
      </c>
      <c r="AB803" t="s">
        <v>74</v>
      </c>
      <c r="AC803" t="s">
        <v>15691</v>
      </c>
      <c r="AD803" t="s">
        <v>15691</v>
      </c>
      <c r="AE803" t="s">
        <v>15692</v>
      </c>
      <c r="AF803" t="s">
        <v>74</v>
      </c>
      <c r="AG803">
        <v>136</v>
      </c>
      <c r="AH803">
        <v>1</v>
      </c>
      <c r="AI803">
        <v>1</v>
      </c>
      <c r="AJ803">
        <v>1</v>
      </c>
      <c r="AK803">
        <v>4</v>
      </c>
      <c r="AL803" t="s">
        <v>1934</v>
      </c>
      <c r="AM803" t="s">
        <v>1935</v>
      </c>
      <c r="AN803" t="s">
        <v>1956</v>
      </c>
      <c r="AO803" t="s">
        <v>1937</v>
      </c>
      <c r="AP803" t="s">
        <v>1938</v>
      </c>
      <c r="AQ803" t="s">
        <v>74</v>
      </c>
      <c r="AR803" t="s">
        <v>1923</v>
      </c>
      <c r="AS803" t="s">
        <v>1939</v>
      </c>
      <c r="AT803" t="s">
        <v>15677</v>
      </c>
      <c r="AU803">
        <v>2021</v>
      </c>
      <c r="AV803">
        <v>4921</v>
      </c>
      <c r="AW803">
        <v>1</v>
      </c>
      <c r="AX803" t="s">
        <v>74</v>
      </c>
      <c r="AY803" t="s">
        <v>74</v>
      </c>
      <c r="AZ803" t="s">
        <v>74</v>
      </c>
      <c r="BA803" t="s">
        <v>74</v>
      </c>
      <c r="BB803">
        <v>1</v>
      </c>
      <c r="BC803">
        <v>72</v>
      </c>
      <c r="BD803" t="s">
        <v>74</v>
      </c>
      <c r="BE803" t="s">
        <v>15693</v>
      </c>
      <c r="BF803" t="str">
        <f>HYPERLINK("http://dx.doi.org/10.11646/zootaxa.4921.1.1","http://dx.doi.org/10.11646/zootaxa.4921.1.1")</f>
        <v>http://dx.doi.org/10.11646/zootaxa.4921.1.1</v>
      </c>
      <c r="BG803" t="s">
        <v>74</v>
      </c>
      <c r="BH803" t="s">
        <v>74</v>
      </c>
      <c r="BI803">
        <v>72</v>
      </c>
      <c r="BJ803" t="s">
        <v>1229</v>
      </c>
      <c r="BK803" t="s">
        <v>101</v>
      </c>
      <c r="BL803" t="s">
        <v>1229</v>
      </c>
      <c r="BM803" t="s">
        <v>15694</v>
      </c>
      <c r="BN803">
        <v>33756766</v>
      </c>
      <c r="BO803" t="s">
        <v>74</v>
      </c>
      <c r="BP803" t="s">
        <v>74</v>
      </c>
      <c r="BQ803" t="s">
        <v>74</v>
      </c>
      <c r="BR803" t="s">
        <v>104</v>
      </c>
      <c r="BS803" t="s">
        <v>15695</v>
      </c>
      <c r="BT803" t="str">
        <f>HYPERLINK("https%3A%2F%2Fwww.webofscience.com%2Fwos%2Fwoscc%2Ffull-record%2FWOS:000616387800001","View Full Record in Web of Science")</f>
        <v>View Full Record in Web of Science</v>
      </c>
    </row>
    <row r="804" spans="1:72" x14ac:dyDescent="0.15">
      <c r="A804" t="s">
        <v>72</v>
      </c>
      <c r="B804" t="s">
        <v>15696</v>
      </c>
      <c r="C804" t="s">
        <v>74</v>
      </c>
      <c r="D804" t="s">
        <v>74</v>
      </c>
      <c r="E804" t="s">
        <v>74</v>
      </c>
      <c r="F804" t="s">
        <v>15697</v>
      </c>
      <c r="G804" t="s">
        <v>74</v>
      </c>
      <c r="H804" t="s">
        <v>74</v>
      </c>
      <c r="I804" t="s">
        <v>15698</v>
      </c>
      <c r="J804" t="s">
        <v>1761</v>
      </c>
      <c r="K804" t="s">
        <v>74</v>
      </c>
      <c r="L804" t="s">
        <v>74</v>
      </c>
      <c r="M804" t="s">
        <v>78</v>
      </c>
      <c r="N804" t="s">
        <v>79</v>
      </c>
      <c r="O804" t="s">
        <v>74</v>
      </c>
      <c r="P804" t="s">
        <v>74</v>
      </c>
      <c r="Q804" t="s">
        <v>74</v>
      </c>
      <c r="R804" t="s">
        <v>74</v>
      </c>
      <c r="S804" t="s">
        <v>74</v>
      </c>
      <c r="T804" t="s">
        <v>74</v>
      </c>
      <c r="U804" t="s">
        <v>15699</v>
      </c>
      <c r="V804" t="s">
        <v>15700</v>
      </c>
      <c r="W804" t="s">
        <v>15701</v>
      </c>
      <c r="X804" t="s">
        <v>15702</v>
      </c>
      <c r="Y804" t="s">
        <v>15703</v>
      </c>
      <c r="Z804" t="s">
        <v>15704</v>
      </c>
      <c r="AA804" t="s">
        <v>15705</v>
      </c>
      <c r="AB804" t="s">
        <v>15706</v>
      </c>
      <c r="AC804" t="s">
        <v>15707</v>
      </c>
      <c r="AD804" t="s">
        <v>15707</v>
      </c>
      <c r="AE804" t="s">
        <v>15708</v>
      </c>
      <c r="AF804" t="s">
        <v>74</v>
      </c>
      <c r="AG804">
        <v>59</v>
      </c>
      <c r="AH804">
        <v>8</v>
      </c>
      <c r="AI804">
        <v>9</v>
      </c>
      <c r="AJ804">
        <v>2</v>
      </c>
      <c r="AK804">
        <v>9</v>
      </c>
      <c r="AL804" t="s">
        <v>1269</v>
      </c>
      <c r="AM804" t="s">
        <v>1270</v>
      </c>
      <c r="AN804" t="s">
        <v>1271</v>
      </c>
      <c r="AO804" t="s">
        <v>1773</v>
      </c>
      <c r="AP804" t="s">
        <v>1774</v>
      </c>
      <c r="AQ804" t="s">
        <v>74</v>
      </c>
      <c r="AR804" t="s">
        <v>1761</v>
      </c>
      <c r="AS804" t="s">
        <v>1775</v>
      </c>
      <c r="AT804" t="s">
        <v>15677</v>
      </c>
      <c r="AU804">
        <v>2021</v>
      </c>
      <c r="AV804">
        <v>15</v>
      </c>
      <c r="AW804">
        <v>2</v>
      </c>
      <c r="AX804" t="s">
        <v>74</v>
      </c>
      <c r="AY804" t="s">
        <v>74</v>
      </c>
      <c r="AZ804" t="s">
        <v>74</v>
      </c>
      <c r="BA804" t="s">
        <v>74</v>
      </c>
      <c r="BB804">
        <v>531</v>
      </c>
      <c r="BC804">
        <v>545</v>
      </c>
      <c r="BD804" t="s">
        <v>74</v>
      </c>
      <c r="BE804" t="s">
        <v>15709</v>
      </c>
      <c r="BF804" t="str">
        <f>HYPERLINK("http://dx.doi.org/10.5194/tc-15-531-2021","http://dx.doi.org/10.5194/tc-15-531-2021")</f>
        <v>http://dx.doi.org/10.5194/tc-15-531-2021</v>
      </c>
      <c r="BG804" t="s">
        <v>74</v>
      </c>
      <c r="BH804" t="s">
        <v>74</v>
      </c>
      <c r="BI804">
        <v>15</v>
      </c>
      <c r="BJ804" t="s">
        <v>1685</v>
      </c>
      <c r="BK804" t="s">
        <v>101</v>
      </c>
      <c r="BL804" t="s">
        <v>1686</v>
      </c>
      <c r="BM804" t="s">
        <v>15710</v>
      </c>
      <c r="BN804" t="s">
        <v>74</v>
      </c>
      <c r="BO804" t="s">
        <v>1280</v>
      </c>
      <c r="BP804" t="s">
        <v>74</v>
      </c>
      <c r="BQ804" t="s">
        <v>74</v>
      </c>
      <c r="BR804" t="s">
        <v>104</v>
      </c>
      <c r="BS804" t="s">
        <v>15711</v>
      </c>
      <c r="BT804" t="str">
        <f>HYPERLINK("https%3A%2F%2Fwww.webofscience.com%2Fwos%2Fwoscc%2Ffull-record%2FWOS:000618080500001","View Full Record in Web of Science")</f>
        <v>View Full Record in Web of Science</v>
      </c>
    </row>
    <row r="805" spans="1:72" x14ac:dyDescent="0.15">
      <c r="A805" t="s">
        <v>72</v>
      </c>
      <c r="B805" t="s">
        <v>15712</v>
      </c>
      <c r="C805" t="s">
        <v>74</v>
      </c>
      <c r="D805" t="s">
        <v>74</v>
      </c>
      <c r="E805" t="s">
        <v>74</v>
      </c>
      <c r="F805" t="s">
        <v>15713</v>
      </c>
      <c r="G805" t="s">
        <v>74</v>
      </c>
      <c r="H805" t="s">
        <v>74</v>
      </c>
      <c r="I805" t="s">
        <v>15714</v>
      </c>
      <c r="J805" t="s">
        <v>474</v>
      </c>
      <c r="K805" t="s">
        <v>74</v>
      </c>
      <c r="L805" t="s">
        <v>74</v>
      </c>
      <c r="M805" t="s">
        <v>78</v>
      </c>
      <c r="N805" t="s">
        <v>79</v>
      </c>
      <c r="O805" t="s">
        <v>74</v>
      </c>
      <c r="P805" t="s">
        <v>74</v>
      </c>
      <c r="Q805" t="s">
        <v>74</v>
      </c>
      <c r="R805" t="s">
        <v>74</v>
      </c>
      <c r="S805" t="s">
        <v>74</v>
      </c>
      <c r="T805" t="s">
        <v>15715</v>
      </c>
      <c r="U805" t="s">
        <v>15716</v>
      </c>
      <c r="V805" t="s">
        <v>15717</v>
      </c>
      <c r="W805" t="s">
        <v>15718</v>
      </c>
      <c r="X805" t="s">
        <v>15719</v>
      </c>
      <c r="Y805" t="s">
        <v>15720</v>
      </c>
      <c r="Z805" t="s">
        <v>15721</v>
      </c>
      <c r="AA805" t="s">
        <v>74</v>
      </c>
      <c r="AB805" t="s">
        <v>15722</v>
      </c>
      <c r="AC805" t="s">
        <v>15723</v>
      </c>
      <c r="AD805" t="s">
        <v>15724</v>
      </c>
      <c r="AE805" t="s">
        <v>15725</v>
      </c>
      <c r="AF805" t="s">
        <v>74</v>
      </c>
      <c r="AG805">
        <v>48</v>
      </c>
      <c r="AH805">
        <v>3</v>
      </c>
      <c r="AI805">
        <v>3</v>
      </c>
      <c r="AJ805">
        <v>1</v>
      </c>
      <c r="AK805">
        <v>6</v>
      </c>
      <c r="AL805" t="s">
        <v>486</v>
      </c>
      <c r="AM805" t="s">
        <v>487</v>
      </c>
      <c r="AN805" t="s">
        <v>488</v>
      </c>
      <c r="AO805" t="s">
        <v>489</v>
      </c>
      <c r="AP805" t="s">
        <v>490</v>
      </c>
      <c r="AQ805" t="s">
        <v>74</v>
      </c>
      <c r="AR805" t="s">
        <v>491</v>
      </c>
      <c r="AS805" t="s">
        <v>492</v>
      </c>
      <c r="AT805" t="s">
        <v>15677</v>
      </c>
      <c r="AU805">
        <v>2021</v>
      </c>
      <c r="AV805">
        <v>168</v>
      </c>
      <c r="AW805">
        <v>3</v>
      </c>
      <c r="AX805" t="s">
        <v>74</v>
      </c>
      <c r="AY805" t="s">
        <v>74</v>
      </c>
      <c r="AZ805" t="s">
        <v>74</v>
      </c>
      <c r="BA805" t="s">
        <v>74</v>
      </c>
      <c r="BB805" t="s">
        <v>74</v>
      </c>
      <c r="BC805" t="s">
        <v>74</v>
      </c>
      <c r="BD805">
        <v>22</v>
      </c>
      <c r="BE805" t="s">
        <v>15726</v>
      </c>
      <c r="BF805" t="str">
        <f>HYPERLINK("http://dx.doi.org/10.1007/s00227-021-03831-0","http://dx.doi.org/10.1007/s00227-021-03831-0")</f>
        <v>http://dx.doi.org/10.1007/s00227-021-03831-0</v>
      </c>
      <c r="BG805" t="s">
        <v>74</v>
      </c>
      <c r="BH805" t="s">
        <v>74</v>
      </c>
      <c r="BI805">
        <v>12</v>
      </c>
      <c r="BJ805" t="s">
        <v>494</v>
      </c>
      <c r="BK805" t="s">
        <v>101</v>
      </c>
      <c r="BL805" t="s">
        <v>494</v>
      </c>
      <c r="BM805" t="s">
        <v>15727</v>
      </c>
      <c r="BN805" t="s">
        <v>74</v>
      </c>
      <c r="BO805" t="s">
        <v>398</v>
      </c>
      <c r="BP805" t="s">
        <v>74</v>
      </c>
      <c r="BQ805" t="s">
        <v>74</v>
      </c>
      <c r="BR805" t="s">
        <v>104</v>
      </c>
      <c r="BS805" t="s">
        <v>15728</v>
      </c>
      <c r="BT805" t="str">
        <f>HYPERLINK("https%3A%2F%2Fwww.webofscience.com%2Fwos%2Fwoscc%2Ffull-record%2FWOS:000616724000001","View Full Record in Web of Science")</f>
        <v>View Full Record in Web of Science</v>
      </c>
    </row>
    <row r="806" spans="1:72" x14ac:dyDescent="0.15">
      <c r="A806" t="s">
        <v>72</v>
      </c>
      <c r="B806" t="s">
        <v>15729</v>
      </c>
      <c r="C806" t="s">
        <v>74</v>
      </c>
      <c r="D806" t="s">
        <v>74</v>
      </c>
      <c r="E806" t="s">
        <v>74</v>
      </c>
      <c r="F806" t="s">
        <v>15730</v>
      </c>
      <c r="G806" t="s">
        <v>74</v>
      </c>
      <c r="H806" t="s">
        <v>74</v>
      </c>
      <c r="I806" t="s">
        <v>15731</v>
      </c>
      <c r="J806" t="s">
        <v>1421</v>
      </c>
      <c r="K806" t="s">
        <v>74</v>
      </c>
      <c r="L806" t="s">
        <v>74</v>
      </c>
      <c r="M806" t="s">
        <v>78</v>
      </c>
      <c r="N806" t="s">
        <v>79</v>
      </c>
      <c r="O806" t="s">
        <v>74</v>
      </c>
      <c r="P806" t="s">
        <v>74</v>
      </c>
      <c r="Q806" t="s">
        <v>74</v>
      </c>
      <c r="R806" t="s">
        <v>74</v>
      </c>
      <c r="S806" t="s">
        <v>74</v>
      </c>
      <c r="T806" t="s">
        <v>15732</v>
      </c>
      <c r="U806" t="s">
        <v>15733</v>
      </c>
      <c r="V806" t="s">
        <v>15734</v>
      </c>
      <c r="W806" t="s">
        <v>15735</v>
      </c>
      <c r="X806" t="s">
        <v>15736</v>
      </c>
      <c r="Y806" t="s">
        <v>15737</v>
      </c>
      <c r="Z806" t="s">
        <v>15738</v>
      </c>
      <c r="AA806" t="s">
        <v>74</v>
      </c>
      <c r="AB806" t="s">
        <v>15739</v>
      </c>
      <c r="AC806" t="s">
        <v>15740</v>
      </c>
      <c r="AD806" t="s">
        <v>15740</v>
      </c>
      <c r="AE806" t="s">
        <v>15741</v>
      </c>
      <c r="AF806" t="s">
        <v>74</v>
      </c>
      <c r="AG806">
        <v>35</v>
      </c>
      <c r="AH806">
        <v>2</v>
      </c>
      <c r="AI806">
        <v>2</v>
      </c>
      <c r="AJ806">
        <v>0</v>
      </c>
      <c r="AK806">
        <v>13</v>
      </c>
      <c r="AL806" t="s">
        <v>166</v>
      </c>
      <c r="AM806" t="s">
        <v>167</v>
      </c>
      <c r="AN806" t="s">
        <v>168</v>
      </c>
      <c r="AO806" t="s">
        <v>1433</v>
      </c>
      <c r="AP806" t="s">
        <v>1434</v>
      </c>
      <c r="AQ806" t="s">
        <v>74</v>
      </c>
      <c r="AR806" t="s">
        <v>1435</v>
      </c>
      <c r="AS806" t="s">
        <v>1436</v>
      </c>
      <c r="AT806" t="s">
        <v>1091</v>
      </c>
      <c r="AU806">
        <v>2021</v>
      </c>
      <c r="AV806">
        <v>44</v>
      </c>
      <c r="AW806">
        <v>2</v>
      </c>
      <c r="AX806" t="s">
        <v>74</v>
      </c>
      <c r="AY806" t="s">
        <v>74</v>
      </c>
      <c r="AZ806" t="s">
        <v>74</v>
      </c>
      <c r="BA806" t="s">
        <v>74</v>
      </c>
      <c r="BB806">
        <v>407</v>
      </c>
      <c r="BC806">
        <v>420</v>
      </c>
      <c r="BD806" t="s">
        <v>74</v>
      </c>
      <c r="BE806" t="s">
        <v>15742</v>
      </c>
      <c r="BF806" t="str">
        <f>HYPERLINK("http://dx.doi.org/10.1007/s00300-021-02802-x","http://dx.doi.org/10.1007/s00300-021-02802-x")</f>
        <v>http://dx.doi.org/10.1007/s00300-021-02802-x</v>
      </c>
      <c r="BG806" t="s">
        <v>74</v>
      </c>
      <c r="BH806" t="s">
        <v>12028</v>
      </c>
      <c r="BI806">
        <v>14</v>
      </c>
      <c r="BJ806" t="s">
        <v>1438</v>
      </c>
      <c r="BK806" t="s">
        <v>101</v>
      </c>
      <c r="BL806" t="s">
        <v>1439</v>
      </c>
      <c r="BM806" t="s">
        <v>15164</v>
      </c>
      <c r="BN806" t="s">
        <v>74</v>
      </c>
      <c r="BO806" t="s">
        <v>74</v>
      </c>
      <c r="BP806" t="s">
        <v>74</v>
      </c>
      <c r="BQ806" t="s">
        <v>74</v>
      </c>
      <c r="BR806" t="s">
        <v>104</v>
      </c>
      <c r="BS806" t="s">
        <v>15743</v>
      </c>
      <c r="BT806" t="str">
        <f>HYPERLINK("https%3A%2F%2Fwww.webofscience.com%2Fwos%2Fwoscc%2Ffull-record%2FWOS:000614306300001","View Full Record in Web of Science")</f>
        <v>View Full Record in Web of Science</v>
      </c>
    </row>
    <row r="807" spans="1:72" x14ac:dyDescent="0.15">
      <c r="A807" t="s">
        <v>72</v>
      </c>
      <c r="B807" t="s">
        <v>15744</v>
      </c>
      <c r="C807" t="s">
        <v>74</v>
      </c>
      <c r="D807" t="s">
        <v>74</v>
      </c>
      <c r="E807" t="s">
        <v>74</v>
      </c>
      <c r="F807" t="s">
        <v>15745</v>
      </c>
      <c r="G807" t="s">
        <v>74</v>
      </c>
      <c r="H807" t="s">
        <v>74</v>
      </c>
      <c r="I807" t="s">
        <v>15746</v>
      </c>
      <c r="J807" t="s">
        <v>2021</v>
      </c>
      <c r="K807" t="s">
        <v>74</v>
      </c>
      <c r="L807" t="s">
        <v>74</v>
      </c>
      <c r="M807" t="s">
        <v>78</v>
      </c>
      <c r="N807" t="s">
        <v>79</v>
      </c>
      <c r="O807" t="s">
        <v>74</v>
      </c>
      <c r="P807" t="s">
        <v>74</v>
      </c>
      <c r="Q807" t="s">
        <v>74</v>
      </c>
      <c r="R807" t="s">
        <v>74</v>
      </c>
      <c r="S807" t="s">
        <v>74</v>
      </c>
      <c r="T807" t="s">
        <v>74</v>
      </c>
      <c r="U807" t="s">
        <v>15747</v>
      </c>
      <c r="V807" t="s">
        <v>15748</v>
      </c>
      <c r="W807" t="s">
        <v>15749</v>
      </c>
      <c r="X807" t="s">
        <v>15750</v>
      </c>
      <c r="Y807" t="s">
        <v>15751</v>
      </c>
      <c r="Z807" t="s">
        <v>15752</v>
      </c>
      <c r="AA807" t="s">
        <v>15753</v>
      </c>
      <c r="AB807" t="s">
        <v>15754</v>
      </c>
      <c r="AC807" t="s">
        <v>15755</v>
      </c>
      <c r="AD807" t="s">
        <v>15756</v>
      </c>
      <c r="AE807" t="s">
        <v>15757</v>
      </c>
      <c r="AF807" t="s">
        <v>74</v>
      </c>
      <c r="AG807">
        <v>49</v>
      </c>
      <c r="AH807">
        <v>4</v>
      </c>
      <c r="AI807">
        <v>4</v>
      </c>
      <c r="AJ807">
        <v>1</v>
      </c>
      <c r="AK807">
        <v>19</v>
      </c>
      <c r="AL807" t="s">
        <v>861</v>
      </c>
      <c r="AM807" t="s">
        <v>862</v>
      </c>
      <c r="AN807" t="s">
        <v>863</v>
      </c>
      <c r="AO807" t="s">
        <v>2033</v>
      </c>
      <c r="AP807" t="s">
        <v>74</v>
      </c>
      <c r="AQ807" t="s">
        <v>74</v>
      </c>
      <c r="AR807" t="s">
        <v>2034</v>
      </c>
      <c r="AS807" t="s">
        <v>2035</v>
      </c>
      <c r="AT807" t="s">
        <v>15677</v>
      </c>
      <c r="AU807">
        <v>2021</v>
      </c>
      <c r="AV807">
        <v>11</v>
      </c>
      <c r="AW807">
        <v>1</v>
      </c>
      <c r="AX807" t="s">
        <v>74</v>
      </c>
      <c r="AY807" t="s">
        <v>74</v>
      </c>
      <c r="AZ807" t="s">
        <v>74</v>
      </c>
      <c r="BA807" t="s">
        <v>74</v>
      </c>
      <c r="BB807" t="s">
        <v>74</v>
      </c>
      <c r="BC807" t="s">
        <v>74</v>
      </c>
      <c r="BD807">
        <v>2973</v>
      </c>
      <c r="BE807" t="s">
        <v>15758</v>
      </c>
      <c r="BF807" t="str">
        <f>HYPERLINK("http://dx.doi.org/10.1038/s41598-021-82379-x","http://dx.doi.org/10.1038/s41598-021-82379-x")</f>
        <v>http://dx.doi.org/10.1038/s41598-021-82379-x</v>
      </c>
      <c r="BG807" t="s">
        <v>74</v>
      </c>
      <c r="BH807" t="s">
        <v>74</v>
      </c>
      <c r="BI807">
        <v>10</v>
      </c>
      <c r="BJ807" t="s">
        <v>555</v>
      </c>
      <c r="BK807" t="s">
        <v>101</v>
      </c>
      <c r="BL807" t="s">
        <v>556</v>
      </c>
      <c r="BM807" t="s">
        <v>15759</v>
      </c>
      <c r="BN807">
        <v>33536493</v>
      </c>
      <c r="BO807" t="s">
        <v>445</v>
      </c>
      <c r="BP807" t="s">
        <v>74</v>
      </c>
      <c r="BQ807" t="s">
        <v>74</v>
      </c>
      <c r="BR807" t="s">
        <v>104</v>
      </c>
      <c r="BS807" t="s">
        <v>15760</v>
      </c>
      <c r="BT807" t="str">
        <f>HYPERLINK("https%3A%2F%2Fwww.webofscience.com%2Fwos%2Fwoscc%2Ffull-record%2FWOS:000616967300056","View Full Record in Web of Science")</f>
        <v>View Full Record in Web of Science</v>
      </c>
    </row>
    <row r="808" spans="1:72" x14ac:dyDescent="0.15">
      <c r="A808" t="s">
        <v>72</v>
      </c>
      <c r="B808" t="s">
        <v>15761</v>
      </c>
      <c r="C808" t="s">
        <v>74</v>
      </c>
      <c r="D808" t="s">
        <v>74</v>
      </c>
      <c r="E808" t="s">
        <v>74</v>
      </c>
      <c r="F808" t="s">
        <v>15762</v>
      </c>
      <c r="G808" t="s">
        <v>74</v>
      </c>
      <c r="H808" t="s">
        <v>74</v>
      </c>
      <c r="I808" t="s">
        <v>15763</v>
      </c>
      <c r="J808" t="s">
        <v>1421</v>
      </c>
      <c r="K808" t="s">
        <v>74</v>
      </c>
      <c r="L808" t="s">
        <v>74</v>
      </c>
      <c r="M808" t="s">
        <v>78</v>
      </c>
      <c r="N808" t="s">
        <v>79</v>
      </c>
      <c r="O808" t="s">
        <v>74</v>
      </c>
      <c r="P808" t="s">
        <v>74</v>
      </c>
      <c r="Q808" t="s">
        <v>74</v>
      </c>
      <c r="R808" t="s">
        <v>74</v>
      </c>
      <c r="S808" t="s">
        <v>74</v>
      </c>
      <c r="T808" t="s">
        <v>15764</v>
      </c>
      <c r="U808" t="s">
        <v>74</v>
      </c>
      <c r="V808" t="s">
        <v>15765</v>
      </c>
      <c r="W808" t="s">
        <v>15766</v>
      </c>
      <c r="X808" t="s">
        <v>15767</v>
      </c>
      <c r="Y808" t="s">
        <v>15768</v>
      </c>
      <c r="Z808" t="s">
        <v>15769</v>
      </c>
      <c r="AA808" t="s">
        <v>15770</v>
      </c>
      <c r="AB808" t="s">
        <v>15771</v>
      </c>
      <c r="AC808" t="s">
        <v>15772</v>
      </c>
      <c r="AD808" t="s">
        <v>15773</v>
      </c>
      <c r="AE808" t="s">
        <v>15774</v>
      </c>
      <c r="AF808" t="s">
        <v>74</v>
      </c>
      <c r="AG808">
        <v>66</v>
      </c>
      <c r="AH808">
        <v>3</v>
      </c>
      <c r="AI808">
        <v>3</v>
      </c>
      <c r="AJ808">
        <v>0</v>
      </c>
      <c r="AK808">
        <v>10</v>
      </c>
      <c r="AL808" t="s">
        <v>166</v>
      </c>
      <c r="AM808" t="s">
        <v>167</v>
      </c>
      <c r="AN808" t="s">
        <v>168</v>
      </c>
      <c r="AO808" t="s">
        <v>1433</v>
      </c>
      <c r="AP808" t="s">
        <v>1434</v>
      </c>
      <c r="AQ808" t="s">
        <v>74</v>
      </c>
      <c r="AR808" t="s">
        <v>1435</v>
      </c>
      <c r="AS808" t="s">
        <v>1436</v>
      </c>
      <c r="AT808" t="s">
        <v>1091</v>
      </c>
      <c r="AU808">
        <v>2021</v>
      </c>
      <c r="AV808">
        <v>44</v>
      </c>
      <c r="AW808">
        <v>2</v>
      </c>
      <c r="AX808" t="s">
        <v>74</v>
      </c>
      <c r="AY808" t="s">
        <v>74</v>
      </c>
      <c r="AZ808" t="s">
        <v>74</v>
      </c>
      <c r="BA808" t="s">
        <v>74</v>
      </c>
      <c r="BB808">
        <v>289</v>
      </c>
      <c r="BC808">
        <v>303</v>
      </c>
      <c r="BD808" t="s">
        <v>74</v>
      </c>
      <c r="BE808" t="s">
        <v>15775</v>
      </c>
      <c r="BF808" t="str">
        <f>HYPERLINK("http://dx.doi.org/10.1007/s00300-020-02787-z","http://dx.doi.org/10.1007/s00300-020-02787-z")</f>
        <v>http://dx.doi.org/10.1007/s00300-020-02787-z</v>
      </c>
      <c r="BG808" t="s">
        <v>74</v>
      </c>
      <c r="BH808" t="s">
        <v>12028</v>
      </c>
      <c r="BI808">
        <v>15</v>
      </c>
      <c r="BJ808" t="s">
        <v>1438</v>
      </c>
      <c r="BK808" t="s">
        <v>101</v>
      </c>
      <c r="BL808" t="s">
        <v>1439</v>
      </c>
      <c r="BM808" t="s">
        <v>15164</v>
      </c>
      <c r="BN808" t="s">
        <v>74</v>
      </c>
      <c r="BO808" t="s">
        <v>496</v>
      </c>
      <c r="BP808" t="s">
        <v>74</v>
      </c>
      <c r="BQ808" t="s">
        <v>74</v>
      </c>
      <c r="BR808" t="s">
        <v>104</v>
      </c>
      <c r="BS808" t="s">
        <v>15776</v>
      </c>
      <c r="BT808" t="str">
        <f>HYPERLINK("https%3A%2F%2Fwww.webofscience.com%2Fwos%2Fwoscc%2Ffull-record%2FWOS:000613973500002","View Full Record in Web of Science")</f>
        <v>View Full Record in Web of Science</v>
      </c>
    </row>
    <row r="809" spans="1:72" x14ac:dyDescent="0.15">
      <c r="A809" t="s">
        <v>72</v>
      </c>
      <c r="B809" t="s">
        <v>15777</v>
      </c>
      <c r="C809" t="s">
        <v>74</v>
      </c>
      <c r="D809" t="s">
        <v>74</v>
      </c>
      <c r="E809" t="s">
        <v>74</v>
      </c>
      <c r="F809" t="s">
        <v>15778</v>
      </c>
      <c r="G809" t="s">
        <v>74</v>
      </c>
      <c r="H809" t="s">
        <v>74</v>
      </c>
      <c r="I809" t="s">
        <v>15779</v>
      </c>
      <c r="J809" t="s">
        <v>1421</v>
      </c>
      <c r="K809" t="s">
        <v>74</v>
      </c>
      <c r="L809" t="s">
        <v>74</v>
      </c>
      <c r="M809" t="s">
        <v>78</v>
      </c>
      <c r="N809" t="s">
        <v>79</v>
      </c>
      <c r="O809" t="s">
        <v>74</v>
      </c>
      <c r="P809" t="s">
        <v>74</v>
      </c>
      <c r="Q809" t="s">
        <v>74</v>
      </c>
      <c r="R809" t="s">
        <v>74</v>
      </c>
      <c r="S809" t="s">
        <v>74</v>
      </c>
      <c r="T809" t="s">
        <v>15780</v>
      </c>
      <c r="U809" t="s">
        <v>74</v>
      </c>
      <c r="V809" t="s">
        <v>15781</v>
      </c>
      <c r="W809" t="s">
        <v>15782</v>
      </c>
      <c r="X809" t="s">
        <v>15783</v>
      </c>
      <c r="Y809" t="s">
        <v>15784</v>
      </c>
      <c r="Z809" t="s">
        <v>15785</v>
      </c>
      <c r="AA809" t="s">
        <v>15786</v>
      </c>
      <c r="AB809" t="s">
        <v>15787</v>
      </c>
      <c r="AC809" t="s">
        <v>15788</v>
      </c>
      <c r="AD809" t="s">
        <v>15789</v>
      </c>
      <c r="AE809" t="s">
        <v>15790</v>
      </c>
      <c r="AF809" t="s">
        <v>74</v>
      </c>
      <c r="AG809">
        <v>93</v>
      </c>
      <c r="AH809">
        <v>5</v>
      </c>
      <c r="AI809">
        <v>5</v>
      </c>
      <c r="AJ809">
        <v>1</v>
      </c>
      <c r="AK809">
        <v>3</v>
      </c>
      <c r="AL809" t="s">
        <v>166</v>
      </c>
      <c r="AM809" t="s">
        <v>167</v>
      </c>
      <c r="AN809" t="s">
        <v>168</v>
      </c>
      <c r="AO809" t="s">
        <v>1433</v>
      </c>
      <c r="AP809" t="s">
        <v>1434</v>
      </c>
      <c r="AQ809" t="s">
        <v>74</v>
      </c>
      <c r="AR809" t="s">
        <v>1435</v>
      </c>
      <c r="AS809" t="s">
        <v>1436</v>
      </c>
      <c r="AT809" t="s">
        <v>1091</v>
      </c>
      <c r="AU809">
        <v>2021</v>
      </c>
      <c r="AV809">
        <v>44</v>
      </c>
      <c r="AW809">
        <v>2</v>
      </c>
      <c r="AX809" t="s">
        <v>74</v>
      </c>
      <c r="AY809" t="s">
        <v>74</v>
      </c>
      <c r="AZ809" t="s">
        <v>74</v>
      </c>
      <c r="BA809" t="s">
        <v>74</v>
      </c>
      <c r="BB809">
        <v>389</v>
      </c>
      <c r="BC809">
        <v>405</v>
      </c>
      <c r="BD809" t="s">
        <v>74</v>
      </c>
      <c r="BE809" t="s">
        <v>15791</v>
      </c>
      <c r="BF809" t="str">
        <f>HYPERLINK("http://dx.doi.org/10.1007/s00300-021-02801-y","http://dx.doi.org/10.1007/s00300-021-02801-y")</f>
        <v>http://dx.doi.org/10.1007/s00300-021-02801-y</v>
      </c>
      <c r="BG809" t="s">
        <v>74</v>
      </c>
      <c r="BH809" t="s">
        <v>12028</v>
      </c>
      <c r="BI809">
        <v>17</v>
      </c>
      <c r="BJ809" t="s">
        <v>1438</v>
      </c>
      <c r="BK809" t="s">
        <v>101</v>
      </c>
      <c r="BL809" t="s">
        <v>1439</v>
      </c>
      <c r="BM809" t="s">
        <v>15164</v>
      </c>
      <c r="BN809" t="s">
        <v>74</v>
      </c>
      <c r="BO809" t="s">
        <v>712</v>
      </c>
      <c r="BP809" t="s">
        <v>74</v>
      </c>
      <c r="BQ809" t="s">
        <v>74</v>
      </c>
      <c r="BR809" t="s">
        <v>104</v>
      </c>
      <c r="BS809" t="s">
        <v>15792</v>
      </c>
      <c r="BT809" t="str">
        <f>HYPERLINK("https%3A%2F%2Fwww.webofscience.com%2Fwos%2Fwoscc%2Ffull-record%2FWOS:000613973500003","View Full Record in Web of Science")</f>
        <v>View Full Record in Web of Science</v>
      </c>
    </row>
    <row r="810" spans="1:72" x14ac:dyDescent="0.15">
      <c r="A810" t="s">
        <v>72</v>
      </c>
      <c r="B810" t="s">
        <v>15793</v>
      </c>
      <c r="C810" t="s">
        <v>74</v>
      </c>
      <c r="D810" t="s">
        <v>74</v>
      </c>
      <c r="E810" t="s">
        <v>74</v>
      </c>
      <c r="F810" t="s">
        <v>15794</v>
      </c>
      <c r="G810" t="s">
        <v>74</v>
      </c>
      <c r="H810" t="s">
        <v>74</v>
      </c>
      <c r="I810" t="s">
        <v>15795</v>
      </c>
      <c r="J810" t="s">
        <v>1421</v>
      </c>
      <c r="K810" t="s">
        <v>74</v>
      </c>
      <c r="L810" t="s">
        <v>74</v>
      </c>
      <c r="M810" t="s">
        <v>78</v>
      </c>
      <c r="N810" t="s">
        <v>3616</v>
      </c>
      <c r="O810" t="s">
        <v>74</v>
      </c>
      <c r="P810" t="s">
        <v>74</v>
      </c>
      <c r="Q810" t="s">
        <v>74</v>
      </c>
      <c r="R810" t="s">
        <v>74</v>
      </c>
      <c r="S810" t="s">
        <v>74</v>
      </c>
      <c r="T810" t="s">
        <v>74</v>
      </c>
      <c r="U810" t="s">
        <v>74</v>
      </c>
      <c r="V810" t="s">
        <v>74</v>
      </c>
      <c r="W810" t="s">
        <v>15796</v>
      </c>
      <c r="X810" t="s">
        <v>15797</v>
      </c>
      <c r="Y810" t="s">
        <v>15798</v>
      </c>
      <c r="Z810" t="s">
        <v>15799</v>
      </c>
      <c r="AA810" t="s">
        <v>15800</v>
      </c>
      <c r="AB810" t="s">
        <v>15801</v>
      </c>
      <c r="AC810" t="s">
        <v>74</v>
      </c>
      <c r="AD810" t="s">
        <v>74</v>
      </c>
      <c r="AE810" t="s">
        <v>74</v>
      </c>
      <c r="AF810" t="s">
        <v>74</v>
      </c>
      <c r="AG810">
        <v>1</v>
      </c>
      <c r="AH810">
        <v>0</v>
      </c>
      <c r="AI810">
        <v>0</v>
      </c>
      <c r="AJ810">
        <v>4</v>
      </c>
      <c r="AK810">
        <v>22</v>
      </c>
      <c r="AL810" t="s">
        <v>166</v>
      </c>
      <c r="AM810" t="s">
        <v>167</v>
      </c>
      <c r="AN810" t="s">
        <v>168</v>
      </c>
      <c r="AO810" t="s">
        <v>1433</v>
      </c>
      <c r="AP810" t="s">
        <v>1434</v>
      </c>
      <c r="AQ810" t="s">
        <v>74</v>
      </c>
      <c r="AR810" t="s">
        <v>1435</v>
      </c>
      <c r="AS810" t="s">
        <v>1436</v>
      </c>
      <c r="AT810" t="s">
        <v>1091</v>
      </c>
      <c r="AU810">
        <v>2021</v>
      </c>
      <c r="AV810">
        <v>44</v>
      </c>
      <c r="AW810">
        <v>2</v>
      </c>
      <c r="AX810" t="s">
        <v>74</v>
      </c>
      <c r="AY810" t="s">
        <v>74</v>
      </c>
      <c r="AZ810" t="s">
        <v>74</v>
      </c>
      <c r="BA810" t="s">
        <v>74</v>
      </c>
      <c r="BB810">
        <v>455</v>
      </c>
      <c r="BC810">
        <v>455</v>
      </c>
      <c r="BD810" t="s">
        <v>74</v>
      </c>
      <c r="BE810" t="s">
        <v>15802</v>
      </c>
      <c r="BF810" t="str">
        <f>HYPERLINK("http://dx.doi.org/10.1007/s00300-021-02806-7","http://dx.doi.org/10.1007/s00300-021-02806-7")</f>
        <v>http://dx.doi.org/10.1007/s00300-021-02806-7</v>
      </c>
      <c r="BG810" t="s">
        <v>74</v>
      </c>
      <c r="BH810" t="s">
        <v>12028</v>
      </c>
      <c r="BI810">
        <v>1</v>
      </c>
      <c r="BJ810" t="s">
        <v>1438</v>
      </c>
      <c r="BK810" t="s">
        <v>101</v>
      </c>
      <c r="BL810" t="s">
        <v>1439</v>
      </c>
      <c r="BM810" t="s">
        <v>15164</v>
      </c>
      <c r="BN810" t="s">
        <v>74</v>
      </c>
      <c r="BO810" t="s">
        <v>148</v>
      </c>
      <c r="BP810" t="s">
        <v>74</v>
      </c>
      <c r="BQ810" t="s">
        <v>74</v>
      </c>
      <c r="BR810" t="s">
        <v>104</v>
      </c>
      <c r="BS810" t="s">
        <v>15803</v>
      </c>
      <c r="BT810" t="str">
        <f>HYPERLINK("https%3A%2F%2Fwww.webofscience.com%2Fwos%2Fwoscc%2Ffull-record%2FWOS:000613973500001","View Full Record in Web of Science")</f>
        <v>View Full Record in Web of Science</v>
      </c>
    </row>
    <row r="811" spans="1:72" x14ac:dyDescent="0.15">
      <c r="A811" t="s">
        <v>72</v>
      </c>
      <c r="B811" t="s">
        <v>15804</v>
      </c>
      <c r="C811" t="s">
        <v>74</v>
      </c>
      <c r="D811" t="s">
        <v>74</v>
      </c>
      <c r="E811" t="s">
        <v>74</v>
      </c>
      <c r="F811" t="s">
        <v>15805</v>
      </c>
      <c r="G811" t="s">
        <v>74</v>
      </c>
      <c r="H811" t="s">
        <v>74</v>
      </c>
      <c r="I811" t="s">
        <v>15806</v>
      </c>
      <c r="J811" t="s">
        <v>2687</v>
      </c>
      <c r="K811" t="s">
        <v>74</v>
      </c>
      <c r="L811" t="s">
        <v>74</v>
      </c>
      <c r="M811" t="s">
        <v>78</v>
      </c>
      <c r="N811" t="s">
        <v>79</v>
      </c>
      <c r="O811" t="s">
        <v>74</v>
      </c>
      <c r="P811" t="s">
        <v>74</v>
      </c>
      <c r="Q811" t="s">
        <v>74</v>
      </c>
      <c r="R811" t="s">
        <v>74</v>
      </c>
      <c r="S811" t="s">
        <v>74</v>
      </c>
      <c r="T811" t="s">
        <v>15807</v>
      </c>
      <c r="U811" t="s">
        <v>15808</v>
      </c>
      <c r="V811" t="s">
        <v>15809</v>
      </c>
      <c r="W811" t="s">
        <v>15810</v>
      </c>
      <c r="X811" t="s">
        <v>15811</v>
      </c>
      <c r="Y811" t="s">
        <v>15812</v>
      </c>
      <c r="Z811" t="s">
        <v>15813</v>
      </c>
      <c r="AA811" t="s">
        <v>15814</v>
      </c>
      <c r="AB811" t="s">
        <v>15815</v>
      </c>
      <c r="AC811" t="s">
        <v>15816</v>
      </c>
      <c r="AD811" t="s">
        <v>15817</v>
      </c>
      <c r="AE811" t="s">
        <v>15818</v>
      </c>
      <c r="AF811" t="s">
        <v>74</v>
      </c>
      <c r="AG811">
        <v>25</v>
      </c>
      <c r="AH811">
        <v>3</v>
      </c>
      <c r="AI811">
        <v>3</v>
      </c>
      <c r="AJ811">
        <v>2</v>
      </c>
      <c r="AK811">
        <v>5</v>
      </c>
      <c r="AL811" t="s">
        <v>603</v>
      </c>
      <c r="AM811" t="s">
        <v>604</v>
      </c>
      <c r="AN811" t="s">
        <v>605</v>
      </c>
      <c r="AO811" t="s">
        <v>74</v>
      </c>
      <c r="AP811" t="s">
        <v>2699</v>
      </c>
      <c r="AQ811" t="s">
        <v>74</v>
      </c>
      <c r="AR811" t="s">
        <v>2700</v>
      </c>
      <c r="AS811" t="s">
        <v>2701</v>
      </c>
      <c r="AT811" t="s">
        <v>15819</v>
      </c>
      <c r="AU811">
        <v>2021</v>
      </c>
      <c r="AV811">
        <v>8</v>
      </c>
      <c r="AW811" t="s">
        <v>74</v>
      </c>
      <c r="AX811" t="s">
        <v>74</v>
      </c>
      <c r="AY811" t="s">
        <v>74</v>
      </c>
      <c r="AZ811" t="s">
        <v>74</v>
      </c>
      <c r="BA811" t="s">
        <v>74</v>
      </c>
      <c r="BB811" t="s">
        <v>74</v>
      </c>
      <c r="BC811" t="s">
        <v>74</v>
      </c>
      <c r="BD811">
        <v>610172</v>
      </c>
      <c r="BE811" t="s">
        <v>15820</v>
      </c>
      <c r="BF811" t="str">
        <f>HYPERLINK("http://dx.doi.org/10.3389/fmars.2021.610172","http://dx.doi.org/10.3389/fmars.2021.610172")</f>
        <v>http://dx.doi.org/10.3389/fmars.2021.610172</v>
      </c>
      <c r="BG811" t="s">
        <v>74</v>
      </c>
      <c r="BH811" t="s">
        <v>74</v>
      </c>
      <c r="BI811">
        <v>12</v>
      </c>
      <c r="BJ811" t="s">
        <v>1646</v>
      </c>
      <c r="BK811" t="s">
        <v>101</v>
      </c>
      <c r="BL811" t="s">
        <v>710</v>
      </c>
      <c r="BM811" t="s">
        <v>15821</v>
      </c>
      <c r="BN811" t="s">
        <v>74</v>
      </c>
      <c r="BO811" t="s">
        <v>6257</v>
      </c>
      <c r="BP811" t="s">
        <v>74</v>
      </c>
      <c r="BQ811" t="s">
        <v>74</v>
      </c>
      <c r="BR811" t="s">
        <v>104</v>
      </c>
      <c r="BS811" t="s">
        <v>15822</v>
      </c>
      <c r="BT811" t="str">
        <f>HYPERLINK("https%3A%2F%2Fwww.webofscience.com%2Fwos%2Fwoscc%2Ffull-record%2FWOS:000617902700001","View Full Record in Web of Science")</f>
        <v>View Full Record in Web of Science</v>
      </c>
    </row>
    <row r="812" spans="1:72" x14ac:dyDescent="0.15">
      <c r="A812" t="s">
        <v>72</v>
      </c>
      <c r="B812" t="s">
        <v>15823</v>
      </c>
      <c r="C812" t="s">
        <v>74</v>
      </c>
      <c r="D812" t="s">
        <v>74</v>
      </c>
      <c r="E812" t="s">
        <v>74</v>
      </c>
      <c r="F812" t="s">
        <v>15824</v>
      </c>
      <c r="G812" t="s">
        <v>74</v>
      </c>
      <c r="H812" t="s">
        <v>74</v>
      </c>
      <c r="I812" t="s">
        <v>15825</v>
      </c>
      <c r="J812" t="s">
        <v>1628</v>
      </c>
      <c r="K812" t="s">
        <v>74</v>
      </c>
      <c r="L812" t="s">
        <v>74</v>
      </c>
      <c r="M812" t="s">
        <v>78</v>
      </c>
      <c r="N812" t="s">
        <v>79</v>
      </c>
      <c r="O812" t="s">
        <v>74</v>
      </c>
      <c r="P812" t="s">
        <v>74</v>
      </c>
      <c r="Q812" t="s">
        <v>74</v>
      </c>
      <c r="R812" t="s">
        <v>74</v>
      </c>
      <c r="S812" t="s">
        <v>74</v>
      </c>
      <c r="T812" t="s">
        <v>15826</v>
      </c>
      <c r="U812" t="s">
        <v>74</v>
      </c>
      <c r="V812" t="s">
        <v>15827</v>
      </c>
      <c r="W812" t="s">
        <v>15828</v>
      </c>
      <c r="X812" t="s">
        <v>15829</v>
      </c>
      <c r="Y812" t="s">
        <v>15830</v>
      </c>
      <c r="Z812" t="s">
        <v>15831</v>
      </c>
      <c r="AA812" t="s">
        <v>74</v>
      </c>
      <c r="AB812" t="s">
        <v>74</v>
      </c>
      <c r="AC812" t="s">
        <v>15832</v>
      </c>
      <c r="AD812" t="s">
        <v>15833</v>
      </c>
      <c r="AE812" t="s">
        <v>15834</v>
      </c>
      <c r="AF812" t="s">
        <v>74</v>
      </c>
      <c r="AG812">
        <v>39</v>
      </c>
      <c r="AH812">
        <v>21</v>
      </c>
      <c r="AI812">
        <v>21</v>
      </c>
      <c r="AJ812">
        <v>4</v>
      </c>
      <c r="AK812">
        <v>46</v>
      </c>
      <c r="AL812" t="s">
        <v>1058</v>
      </c>
      <c r="AM812" t="s">
        <v>891</v>
      </c>
      <c r="AN812" t="s">
        <v>1059</v>
      </c>
      <c r="AO812" t="s">
        <v>1641</v>
      </c>
      <c r="AP812" t="s">
        <v>1642</v>
      </c>
      <c r="AQ812" t="s">
        <v>74</v>
      </c>
      <c r="AR812" t="s">
        <v>1643</v>
      </c>
      <c r="AS812" t="s">
        <v>1644</v>
      </c>
      <c r="AT812" t="s">
        <v>3960</v>
      </c>
      <c r="AU812">
        <v>2021</v>
      </c>
      <c r="AV812">
        <v>162</v>
      </c>
      <c r="AW812" t="s">
        <v>74</v>
      </c>
      <c r="AX812" t="s">
        <v>74</v>
      </c>
      <c r="AY812" t="s">
        <v>74</v>
      </c>
      <c r="AZ812" t="s">
        <v>74</v>
      </c>
      <c r="BA812" t="s">
        <v>74</v>
      </c>
      <c r="BB812" t="s">
        <v>74</v>
      </c>
      <c r="BC812" t="s">
        <v>74</v>
      </c>
      <c r="BD812">
        <v>111829</v>
      </c>
      <c r="BE812" t="s">
        <v>15835</v>
      </c>
      <c r="BF812" t="str">
        <f>HYPERLINK("http://dx.doi.org/10.1016/j.marpolbul.2020.111829","http://dx.doi.org/10.1016/j.marpolbul.2020.111829")</f>
        <v>http://dx.doi.org/10.1016/j.marpolbul.2020.111829</v>
      </c>
      <c r="BG812" t="s">
        <v>74</v>
      </c>
      <c r="BH812" t="s">
        <v>12028</v>
      </c>
      <c r="BI812">
        <v>11</v>
      </c>
      <c r="BJ812" t="s">
        <v>1646</v>
      </c>
      <c r="BK812" t="s">
        <v>101</v>
      </c>
      <c r="BL812" t="s">
        <v>710</v>
      </c>
      <c r="BM812" t="s">
        <v>15836</v>
      </c>
      <c r="BN812">
        <v>33243441</v>
      </c>
      <c r="BO812" t="s">
        <v>74</v>
      </c>
      <c r="BP812" t="s">
        <v>74</v>
      </c>
      <c r="BQ812" t="s">
        <v>74</v>
      </c>
      <c r="BR812" t="s">
        <v>104</v>
      </c>
      <c r="BS812" t="s">
        <v>15837</v>
      </c>
      <c r="BT812" t="str">
        <f>HYPERLINK("https%3A%2F%2Fwww.webofscience.com%2Fwos%2Fwoscc%2Ffull-record%2FWOS:000618207200007","View Full Record in Web of Science")</f>
        <v>View Full Record in Web of Science</v>
      </c>
    </row>
    <row r="813" spans="1:72" x14ac:dyDescent="0.15">
      <c r="A813" t="s">
        <v>72</v>
      </c>
      <c r="B813" t="s">
        <v>15838</v>
      </c>
      <c r="C813" t="s">
        <v>74</v>
      </c>
      <c r="D813" t="s">
        <v>74</v>
      </c>
      <c r="E813" t="s">
        <v>74</v>
      </c>
      <c r="F813" t="s">
        <v>15839</v>
      </c>
      <c r="G813" t="s">
        <v>74</v>
      </c>
      <c r="H813" t="s">
        <v>74</v>
      </c>
      <c r="I813" t="s">
        <v>15840</v>
      </c>
      <c r="J813" t="s">
        <v>15841</v>
      </c>
      <c r="K813" t="s">
        <v>74</v>
      </c>
      <c r="L813" t="s">
        <v>74</v>
      </c>
      <c r="M813" t="s">
        <v>78</v>
      </c>
      <c r="N813" t="s">
        <v>1074</v>
      </c>
      <c r="O813" t="s">
        <v>74</v>
      </c>
      <c r="P813" t="s">
        <v>74</v>
      </c>
      <c r="Q813" t="s">
        <v>74</v>
      </c>
      <c r="R813" t="s">
        <v>74</v>
      </c>
      <c r="S813" t="s">
        <v>74</v>
      </c>
      <c r="T813" t="s">
        <v>15842</v>
      </c>
      <c r="U813" t="s">
        <v>15843</v>
      </c>
      <c r="V813" t="s">
        <v>15844</v>
      </c>
      <c r="W813" t="s">
        <v>15845</v>
      </c>
      <c r="X813" t="s">
        <v>15846</v>
      </c>
      <c r="Y813" t="s">
        <v>15847</v>
      </c>
      <c r="Z813" t="s">
        <v>15848</v>
      </c>
      <c r="AA813" t="s">
        <v>15849</v>
      </c>
      <c r="AB813" t="s">
        <v>15850</v>
      </c>
      <c r="AC813" t="s">
        <v>15851</v>
      </c>
      <c r="AD813" t="s">
        <v>15852</v>
      </c>
      <c r="AE813" t="s">
        <v>15853</v>
      </c>
      <c r="AF813" t="s">
        <v>74</v>
      </c>
      <c r="AG813">
        <v>72</v>
      </c>
      <c r="AH813">
        <v>28</v>
      </c>
      <c r="AI813">
        <v>29</v>
      </c>
      <c r="AJ813">
        <v>11</v>
      </c>
      <c r="AK813">
        <v>68</v>
      </c>
      <c r="AL813" t="s">
        <v>4306</v>
      </c>
      <c r="AM813" t="s">
        <v>1909</v>
      </c>
      <c r="AN813" t="s">
        <v>4307</v>
      </c>
      <c r="AO813" t="s">
        <v>15854</v>
      </c>
      <c r="AP813" t="s">
        <v>15855</v>
      </c>
      <c r="AQ813" t="s">
        <v>74</v>
      </c>
      <c r="AR813" t="s">
        <v>15856</v>
      </c>
      <c r="AS813" t="s">
        <v>15857</v>
      </c>
      <c r="AT813" t="s">
        <v>1091</v>
      </c>
      <c r="AU813">
        <v>2021</v>
      </c>
      <c r="AV813">
        <v>3</v>
      </c>
      <c r="AW813">
        <v>1</v>
      </c>
      <c r="AX813" t="s">
        <v>74</v>
      </c>
      <c r="AY813" t="s">
        <v>74</v>
      </c>
      <c r="AZ813" t="s">
        <v>74</v>
      </c>
      <c r="BA813" t="s">
        <v>74</v>
      </c>
      <c r="BB813">
        <v>94</v>
      </c>
      <c r="BC813">
        <v>102</v>
      </c>
      <c r="BD813" t="s">
        <v>74</v>
      </c>
      <c r="BE813" t="s">
        <v>15858</v>
      </c>
      <c r="BF813" t="str">
        <f>HYPERLINK("http://dx.doi.org/10.1007/s42995-020-00062-y","http://dx.doi.org/10.1007/s42995-020-00062-y")</f>
        <v>http://dx.doi.org/10.1007/s42995-020-00062-y</v>
      </c>
      <c r="BG813" t="s">
        <v>74</v>
      </c>
      <c r="BH813" t="s">
        <v>74</v>
      </c>
      <c r="BI813">
        <v>9</v>
      </c>
      <c r="BJ813" t="s">
        <v>494</v>
      </c>
      <c r="BK813" t="s">
        <v>101</v>
      </c>
      <c r="BL813" t="s">
        <v>494</v>
      </c>
      <c r="BM813" t="s">
        <v>15859</v>
      </c>
      <c r="BN813">
        <v>37073396</v>
      </c>
      <c r="BO813" t="s">
        <v>14788</v>
      </c>
      <c r="BP813" t="s">
        <v>74</v>
      </c>
      <c r="BQ813" t="s">
        <v>74</v>
      </c>
      <c r="BR813" t="s">
        <v>104</v>
      </c>
      <c r="BS813" t="s">
        <v>15860</v>
      </c>
      <c r="BT813" t="str">
        <f>HYPERLINK("https%3A%2F%2Fwww.webofscience.com%2Fwos%2Fwoscc%2Ffull-record%2FWOS:000671877400010","View Full Record in Web of Science")</f>
        <v>View Full Record in Web of Science</v>
      </c>
    </row>
    <row r="814" spans="1:72" x14ac:dyDescent="0.15">
      <c r="A814" t="s">
        <v>72</v>
      </c>
      <c r="B814" t="s">
        <v>15861</v>
      </c>
      <c r="C814" t="s">
        <v>74</v>
      </c>
      <c r="D814" t="s">
        <v>74</v>
      </c>
      <c r="E814" t="s">
        <v>74</v>
      </c>
      <c r="F814" t="s">
        <v>15862</v>
      </c>
      <c r="G814" t="s">
        <v>74</v>
      </c>
      <c r="H814" t="s">
        <v>74</v>
      </c>
      <c r="I814" t="s">
        <v>15863</v>
      </c>
      <c r="J814" t="s">
        <v>15864</v>
      </c>
      <c r="K814" t="s">
        <v>74</v>
      </c>
      <c r="L814" t="s">
        <v>74</v>
      </c>
      <c r="M814" t="s">
        <v>78</v>
      </c>
      <c r="N814" t="s">
        <v>1074</v>
      </c>
      <c r="O814" t="s">
        <v>74</v>
      </c>
      <c r="P814" t="s">
        <v>74</v>
      </c>
      <c r="Q814" t="s">
        <v>74</v>
      </c>
      <c r="R814" t="s">
        <v>74</v>
      </c>
      <c r="S814" t="s">
        <v>74</v>
      </c>
      <c r="T814" t="s">
        <v>74</v>
      </c>
      <c r="U814" t="s">
        <v>15865</v>
      </c>
      <c r="V814" t="s">
        <v>15866</v>
      </c>
      <c r="W814" t="s">
        <v>15867</v>
      </c>
      <c r="X814" t="s">
        <v>15868</v>
      </c>
      <c r="Y814" t="s">
        <v>15869</v>
      </c>
      <c r="Z814" t="s">
        <v>15870</v>
      </c>
      <c r="AA814" t="s">
        <v>15871</v>
      </c>
      <c r="AB814" t="s">
        <v>15872</v>
      </c>
      <c r="AC814" t="s">
        <v>15873</v>
      </c>
      <c r="AD814" t="s">
        <v>15874</v>
      </c>
      <c r="AE814" t="s">
        <v>15875</v>
      </c>
      <c r="AF814" t="s">
        <v>74</v>
      </c>
      <c r="AG814">
        <v>182</v>
      </c>
      <c r="AH814">
        <v>157</v>
      </c>
      <c r="AI814">
        <v>167</v>
      </c>
      <c r="AJ814">
        <v>63</v>
      </c>
      <c r="AK814">
        <v>328</v>
      </c>
      <c r="AL814" t="s">
        <v>4306</v>
      </c>
      <c r="AM814" t="s">
        <v>1909</v>
      </c>
      <c r="AN814" t="s">
        <v>4307</v>
      </c>
      <c r="AO814" t="s">
        <v>74</v>
      </c>
      <c r="AP814" t="s">
        <v>15876</v>
      </c>
      <c r="AQ814" t="s">
        <v>74</v>
      </c>
      <c r="AR814" t="s">
        <v>15877</v>
      </c>
      <c r="AS814" t="s">
        <v>15878</v>
      </c>
      <c r="AT814" t="s">
        <v>1091</v>
      </c>
      <c r="AU814">
        <v>2021</v>
      </c>
      <c r="AV814">
        <v>2</v>
      </c>
      <c r="AW814">
        <v>2</v>
      </c>
      <c r="AX814" t="s">
        <v>74</v>
      </c>
      <c r="AY814" t="s">
        <v>74</v>
      </c>
      <c r="AZ814" t="s">
        <v>74</v>
      </c>
      <c r="BA814" t="s">
        <v>74</v>
      </c>
      <c r="BB814">
        <v>91</v>
      </c>
      <c r="BC814">
        <v>106</v>
      </c>
      <c r="BD814" t="s">
        <v>74</v>
      </c>
      <c r="BE814" t="s">
        <v>15879</v>
      </c>
      <c r="BF814" t="str">
        <f>HYPERLINK("http://dx.doi.org/10.1038/s43017-020-00124-w","http://dx.doi.org/10.1038/s43017-020-00124-w")</f>
        <v>http://dx.doi.org/10.1038/s43017-020-00124-w</v>
      </c>
      <c r="BG814" t="s">
        <v>74</v>
      </c>
      <c r="BH814" t="s">
        <v>74</v>
      </c>
      <c r="BI814">
        <v>16</v>
      </c>
      <c r="BJ814" t="s">
        <v>4963</v>
      </c>
      <c r="BK814" t="s">
        <v>101</v>
      </c>
      <c r="BL814" t="s">
        <v>1278</v>
      </c>
      <c r="BM814" t="s">
        <v>15880</v>
      </c>
      <c r="BN814" t="s">
        <v>74</v>
      </c>
      <c r="BO814" t="s">
        <v>74</v>
      </c>
      <c r="BP814" t="s">
        <v>871</v>
      </c>
      <c r="BQ814" t="s">
        <v>872</v>
      </c>
      <c r="BR814" t="s">
        <v>104</v>
      </c>
      <c r="BS814" t="s">
        <v>15881</v>
      </c>
      <c r="BT814" t="str">
        <f>HYPERLINK("https%3A%2F%2Fwww.webofscience.com%2Fwos%2Fwoscc%2Ffull-record%2FWOS:000671874300005","View Full Record in Web of Science")</f>
        <v>View Full Record in Web of Science</v>
      </c>
    </row>
    <row r="815" spans="1:72" x14ac:dyDescent="0.15">
      <c r="A815" t="s">
        <v>72</v>
      </c>
      <c r="B815" t="s">
        <v>15882</v>
      </c>
      <c r="C815" t="s">
        <v>74</v>
      </c>
      <c r="D815" t="s">
        <v>74</v>
      </c>
      <c r="E815" t="s">
        <v>74</v>
      </c>
      <c r="F815" t="s">
        <v>15883</v>
      </c>
      <c r="G815" t="s">
        <v>74</v>
      </c>
      <c r="H815" t="s">
        <v>74</v>
      </c>
      <c r="I815" t="s">
        <v>15884</v>
      </c>
      <c r="J815" t="s">
        <v>15885</v>
      </c>
      <c r="K815" t="s">
        <v>74</v>
      </c>
      <c r="L815" t="s">
        <v>74</v>
      </c>
      <c r="M815" t="s">
        <v>78</v>
      </c>
      <c r="N815" t="s">
        <v>79</v>
      </c>
      <c r="O815" t="s">
        <v>74</v>
      </c>
      <c r="P815" t="s">
        <v>74</v>
      </c>
      <c r="Q815" t="s">
        <v>74</v>
      </c>
      <c r="R815" t="s">
        <v>74</v>
      </c>
      <c r="S815" t="s">
        <v>74</v>
      </c>
      <c r="T815" t="s">
        <v>15886</v>
      </c>
      <c r="U815" t="s">
        <v>15887</v>
      </c>
      <c r="V815" t="s">
        <v>15888</v>
      </c>
      <c r="W815" t="s">
        <v>15889</v>
      </c>
      <c r="X815" t="s">
        <v>15890</v>
      </c>
      <c r="Y815" t="s">
        <v>15891</v>
      </c>
      <c r="Z815" t="s">
        <v>15892</v>
      </c>
      <c r="AA815" t="s">
        <v>15893</v>
      </c>
      <c r="AB815" t="s">
        <v>15894</v>
      </c>
      <c r="AC815" t="s">
        <v>15895</v>
      </c>
      <c r="AD815" t="s">
        <v>15896</v>
      </c>
      <c r="AE815" t="s">
        <v>15897</v>
      </c>
      <c r="AF815" t="s">
        <v>74</v>
      </c>
      <c r="AG815">
        <v>48</v>
      </c>
      <c r="AH815">
        <v>5</v>
      </c>
      <c r="AI815">
        <v>5</v>
      </c>
      <c r="AJ815">
        <v>0</v>
      </c>
      <c r="AK815">
        <v>10</v>
      </c>
      <c r="AL815" t="s">
        <v>245</v>
      </c>
      <c r="AM815" t="s">
        <v>246</v>
      </c>
      <c r="AN815" t="s">
        <v>247</v>
      </c>
      <c r="AO815" t="s">
        <v>15898</v>
      </c>
      <c r="AP815" t="s">
        <v>15899</v>
      </c>
      <c r="AQ815" t="s">
        <v>74</v>
      </c>
      <c r="AR815" t="s">
        <v>15900</v>
      </c>
      <c r="AS815" t="s">
        <v>15901</v>
      </c>
      <c r="AT815" t="s">
        <v>1091</v>
      </c>
      <c r="AU815">
        <v>2021</v>
      </c>
      <c r="AV815">
        <v>57</v>
      </c>
      <c r="AW815">
        <v>1</v>
      </c>
      <c r="AX815" t="s">
        <v>74</v>
      </c>
      <c r="AY815" t="s">
        <v>74</v>
      </c>
      <c r="AZ815" t="s">
        <v>74</v>
      </c>
      <c r="BA815" t="s">
        <v>74</v>
      </c>
      <c r="BB815">
        <v>227</v>
      </c>
      <c r="BC815">
        <v>244</v>
      </c>
      <c r="BD815" t="s">
        <v>74</v>
      </c>
      <c r="BE815" t="s">
        <v>15902</v>
      </c>
      <c r="BF815" t="str">
        <f>HYPERLINK("http://dx.doi.org/10.1109/TAES.2020.3011999","http://dx.doi.org/10.1109/TAES.2020.3011999")</f>
        <v>http://dx.doi.org/10.1109/TAES.2020.3011999</v>
      </c>
      <c r="BG815" t="s">
        <v>74</v>
      </c>
      <c r="BH815" t="s">
        <v>74</v>
      </c>
      <c r="BI815">
        <v>18</v>
      </c>
      <c r="BJ815" t="s">
        <v>15903</v>
      </c>
      <c r="BK815" t="s">
        <v>101</v>
      </c>
      <c r="BL815" t="s">
        <v>15904</v>
      </c>
      <c r="BM815" t="s">
        <v>15905</v>
      </c>
      <c r="BN815" t="s">
        <v>74</v>
      </c>
      <c r="BO815" t="s">
        <v>712</v>
      </c>
      <c r="BP815" t="s">
        <v>74</v>
      </c>
      <c r="BQ815" t="s">
        <v>74</v>
      </c>
      <c r="BR815" t="s">
        <v>104</v>
      </c>
      <c r="BS815" t="s">
        <v>15906</v>
      </c>
      <c r="BT815" t="str">
        <f>HYPERLINK("https%3A%2F%2Fwww.webofscience.com%2Fwos%2Fwoscc%2Ffull-record%2FWOS:000617426500017","View Full Record in Web of Science")</f>
        <v>View Full Record in Web of Science</v>
      </c>
    </row>
    <row r="816" spans="1:72" x14ac:dyDescent="0.15">
      <c r="A816" t="s">
        <v>72</v>
      </c>
      <c r="B816" t="s">
        <v>15907</v>
      </c>
      <c r="C816" t="s">
        <v>74</v>
      </c>
      <c r="D816" t="s">
        <v>74</v>
      </c>
      <c r="E816" t="s">
        <v>74</v>
      </c>
      <c r="F816" t="s">
        <v>15908</v>
      </c>
      <c r="G816" t="s">
        <v>74</v>
      </c>
      <c r="H816" t="s">
        <v>74</v>
      </c>
      <c r="I816" t="s">
        <v>15909</v>
      </c>
      <c r="J816" t="s">
        <v>15910</v>
      </c>
      <c r="K816" t="s">
        <v>74</v>
      </c>
      <c r="L816" t="s">
        <v>74</v>
      </c>
      <c r="M816" t="s">
        <v>78</v>
      </c>
      <c r="N816" t="s">
        <v>79</v>
      </c>
      <c r="O816" t="s">
        <v>74</v>
      </c>
      <c r="P816" t="s">
        <v>74</v>
      </c>
      <c r="Q816" t="s">
        <v>74</v>
      </c>
      <c r="R816" t="s">
        <v>74</v>
      </c>
      <c r="S816" t="s">
        <v>74</v>
      </c>
      <c r="T816" t="s">
        <v>15911</v>
      </c>
      <c r="U816" t="s">
        <v>15912</v>
      </c>
      <c r="V816" t="s">
        <v>15913</v>
      </c>
      <c r="W816" t="s">
        <v>15914</v>
      </c>
      <c r="X816" t="s">
        <v>15915</v>
      </c>
      <c r="Y816" t="s">
        <v>15916</v>
      </c>
      <c r="Z816" t="s">
        <v>15917</v>
      </c>
      <c r="AA816" t="s">
        <v>74</v>
      </c>
      <c r="AB816" t="s">
        <v>15918</v>
      </c>
      <c r="AC816" t="s">
        <v>15919</v>
      </c>
      <c r="AD816" t="s">
        <v>15920</v>
      </c>
      <c r="AE816" t="s">
        <v>15921</v>
      </c>
      <c r="AF816" t="s">
        <v>74</v>
      </c>
      <c r="AG816">
        <v>122</v>
      </c>
      <c r="AH816">
        <v>1</v>
      </c>
      <c r="AI816">
        <v>1</v>
      </c>
      <c r="AJ816">
        <v>1</v>
      </c>
      <c r="AK816">
        <v>6</v>
      </c>
      <c r="AL816" t="s">
        <v>120</v>
      </c>
      <c r="AM816" t="s">
        <v>121</v>
      </c>
      <c r="AN816" t="s">
        <v>363</v>
      </c>
      <c r="AO816" t="s">
        <v>15922</v>
      </c>
      <c r="AP816" t="s">
        <v>15923</v>
      </c>
      <c r="AQ816" t="s">
        <v>74</v>
      </c>
      <c r="AR816" t="s">
        <v>15924</v>
      </c>
      <c r="AS816" t="s">
        <v>15925</v>
      </c>
      <c r="AT816" t="s">
        <v>1091</v>
      </c>
      <c r="AU816">
        <v>2021</v>
      </c>
      <c r="AV816">
        <v>149</v>
      </c>
      <c r="AW816">
        <v>2</v>
      </c>
      <c r="AX816" t="s">
        <v>74</v>
      </c>
      <c r="AY816" t="s">
        <v>74</v>
      </c>
      <c r="AZ816" t="s">
        <v>74</v>
      </c>
      <c r="BA816" t="s">
        <v>74</v>
      </c>
      <c r="BB816">
        <v>443</v>
      </c>
      <c r="BC816">
        <v>462</v>
      </c>
      <c r="BD816" t="s">
        <v>74</v>
      </c>
      <c r="BE816" t="s">
        <v>15926</v>
      </c>
      <c r="BF816" t="str">
        <f>HYPERLINK("http://dx.doi.org/10.1175/MWR-D-20-0009.1","http://dx.doi.org/10.1175/MWR-D-20-0009.1")</f>
        <v>http://dx.doi.org/10.1175/MWR-D-20-0009.1</v>
      </c>
      <c r="BG816" t="s">
        <v>74</v>
      </c>
      <c r="BH816" t="s">
        <v>74</v>
      </c>
      <c r="BI816">
        <v>20</v>
      </c>
      <c r="BJ816" t="s">
        <v>129</v>
      </c>
      <c r="BK816" t="s">
        <v>101</v>
      </c>
      <c r="BL816" t="s">
        <v>129</v>
      </c>
      <c r="BM816" t="s">
        <v>15927</v>
      </c>
      <c r="BN816" t="s">
        <v>74</v>
      </c>
      <c r="BO816" t="s">
        <v>148</v>
      </c>
      <c r="BP816" t="s">
        <v>74</v>
      </c>
      <c r="BQ816" t="s">
        <v>74</v>
      </c>
      <c r="BR816" t="s">
        <v>104</v>
      </c>
      <c r="BS816" t="s">
        <v>15928</v>
      </c>
      <c r="BT816" t="str">
        <f>HYPERLINK("https%3A%2F%2Fwww.webofscience.com%2Fwos%2Fwoscc%2Ffull-record%2FWOS:000646388200007","View Full Record in Web of Science")</f>
        <v>View Full Record in Web of Science</v>
      </c>
    </row>
    <row r="817" spans="1:72" x14ac:dyDescent="0.15">
      <c r="A817" t="s">
        <v>72</v>
      </c>
      <c r="B817" t="s">
        <v>15929</v>
      </c>
      <c r="C817" t="s">
        <v>74</v>
      </c>
      <c r="D817" t="s">
        <v>74</v>
      </c>
      <c r="E817" t="s">
        <v>74</v>
      </c>
      <c r="F817" t="s">
        <v>15930</v>
      </c>
      <c r="G817" t="s">
        <v>74</v>
      </c>
      <c r="H817" t="s">
        <v>74</v>
      </c>
      <c r="I817" t="s">
        <v>15931</v>
      </c>
      <c r="J817" t="s">
        <v>9037</v>
      </c>
      <c r="K817" t="s">
        <v>74</v>
      </c>
      <c r="L817" t="s">
        <v>74</v>
      </c>
      <c r="M817" t="s">
        <v>78</v>
      </c>
      <c r="N817" t="s">
        <v>79</v>
      </c>
      <c r="O817" t="s">
        <v>74</v>
      </c>
      <c r="P817" t="s">
        <v>74</v>
      </c>
      <c r="Q817" t="s">
        <v>74</v>
      </c>
      <c r="R817" t="s">
        <v>74</v>
      </c>
      <c r="S817" t="s">
        <v>74</v>
      </c>
      <c r="T817" t="s">
        <v>15932</v>
      </c>
      <c r="U817" t="s">
        <v>15933</v>
      </c>
      <c r="V817" t="s">
        <v>15934</v>
      </c>
      <c r="W817" t="s">
        <v>15935</v>
      </c>
      <c r="X817" t="s">
        <v>15936</v>
      </c>
      <c r="Y817" t="s">
        <v>15937</v>
      </c>
      <c r="Z817" t="s">
        <v>9044</v>
      </c>
      <c r="AA817" t="s">
        <v>15938</v>
      </c>
      <c r="AB817" t="s">
        <v>15939</v>
      </c>
      <c r="AC817" t="s">
        <v>15940</v>
      </c>
      <c r="AD817" t="s">
        <v>15941</v>
      </c>
      <c r="AE817" t="s">
        <v>15942</v>
      </c>
      <c r="AF817" t="s">
        <v>74</v>
      </c>
      <c r="AG817">
        <v>59</v>
      </c>
      <c r="AH817">
        <v>17</v>
      </c>
      <c r="AI817">
        <v>17</v>
      </c>
      <c r="AJ817">
        <v>0</v>
      </c>
      <c r="AK817">
        <v>8</v>
      </c>
      <c r="AL817" t="s">
        <v>625</v>
      </c>
      <c r="AM817" t="s">
        <v>167</v>
      </c>
      <c r="AN817" t="s">
        <v>626</v>
      </c>
      <c r="AO817" t="s">
        <v>9050</v>
      </c>
      <c r="AP817" t="s">
        <v>9051</v>
      </c>
      <c r="AQ817" t="s">
        <v>74</v>
      </c>
      <c r="AR817" t="s">
        <v>9052</v>
      </c>
      <c r="AS817" t="s">
        <v>9053</v>
      </c>
      <c r="AT817" t="s">
        <v>15943</v>
      </c>
      <c r="AU817">
        <v>2021</v>
      </c>
      <c r="AV817">
        <v>911</v>
      </c>
      <c r="AW817" t="s">
        <v>74</v>
      </c>
      <c r="AX817" t="s">
        <v>74</v>
      </c>
      <c r="AY817" t="s">
        <v>74</v>
      </c>
      <c r="AZ817" t="s">
        <v>74</v>
      </c>
      <c r="BA817" t="s">
        <v>74</v>
      </c>
      <c r="BB817" t="s">
        <v>74</v>
      </c>
      <c r="BC817" t="s">
        <v>74</v>
      </c>
      <c r="BD817" t="s">
        <v>15944</v>
      </c>
      <c r="BE817" t="s">
        <v>15945</v>
      </c>
      <c r="BF817" t="str">
        <f>HYPERLINK("http://dx.doi.org/10.1017/jfm.2020.1064","http://dx.doi.org/10.1017/jfm.2020.1064")</f>
        <v>http://dx.doi.org/10.1017/jfm.2020.1064</v>
      </c>
      <c r="BG817" t="s">
        <v>74</v>
      </c>
      <c r="BH817" t="s">
        <v>74</v>
      </c>
      <c r="BI817">
        <v>37</v>
      </c>
      <c r="BJ817" t="s">
        <v>341</v>
      </c>
      <c r="BK817" t="s">
        <v>101</v>
      </c>
      <c r="BL817" t="s">
        <v>343</v>
      </c>
      <c r="BM817" t="s">
        <v>15946</v>
      </c>
      <c r="BN817" t="s">
        <v>74</v>
      </c>
      <c r="BO817" t="s">
        <v>15947</v>
      </c>
      <c r="BP817" t="s">
        <v>74</v>
      </c>
      <c r="BQ817" t="s">
        <v>74</v>
      </c>
      <c r="BR817" t="s">
        <v>104</v>
      </c>
      <c r="BS817" t="s">
        <v>15948</v>
      </c>
      <c r="BT817" t="str">
        <f>HYPERLINK("https%3A%2F%2Fwww.webofscience.com%2Fwos%2Fwoscc%2Ffull-record%2FWOS:000651863800001","View Full Record in Web of Science")</f>
        <v>View Full Record in Web of Science</v>
      </c>
    </row>
    <row r="818" spans="1:72" x14ac:dyDescent="0.15">
      <c r="A818" t="s">
        <v>72</v>
      </c>
      <c r="B818" t="s">
        <v>15949</v>
      </c>
      <c r="C818" t="s">
        <v>74</v>
      </c>
      <c r="D818" t="s">
        <v>74</v>
      </c>
      <c r="E818" t="s">
        <v>74</v>
      </c>
      <c r="F818" t="s">
        <v>15950</v>
      </c>
      <c r="G818" t="s">
        <v>74</v>
      </c>
      <c r="H818" t="s">
        <v>74</v>
      </c>
      <c r="I818" t="s">
        <v>15951</v>
      </c>
      <c r="J818" t="s">
        <v>15952</v>
      </c>
      <c r="K818" t="s">
        <v>74</v>
      </c>
      <c r="L818" t="s">
        <v>74</v>
      </c>
      <c r="M818" t="s">
        <v>78</v>
      </c>
      <c r="N818" t="s">
        <v>79</v>
      </c>
      <c r="O818" t="s">
        <v>74</v>
      </c>
      <c r="P818" t="s">
        <v>74</v>
      </c>
      <c r="Q818" t="s">
        <v>74</v>
      </c>
      <c r="R818" t="s">
        <v>74</v>
      </c>
      <c r="S818" t="s">
        <v>74</v>
      </c>
      <c r="T818" t="s">
        <v>15953</v>
      </c>
      <c r="U818" t="s">
        <v>74</v>
      </c>
      <c r="V818" t="s">
        <v>15954</v>
      </c>
      <c r="W818" t="s">
        <v>15955</v>
      </c>
      <c r="X818" t="s">
        <v>15956</v>
      </c>
      <c r="Y818" t="s">
        <v>15957</v>
      </c>
      <c r="Z818" t="s">
        <v>15958</v>
      </c>
      <c r="AA818" t="s">
        <v>15959</v>
      </c>
      <c r="AB818" t="s">
        <v>74</v>
      </c>
      <c r="AC818" t="s">
        <v>15960</v>
      </c>
      <c r="AD818" t="s">
        <v>15961</v>
      </c>
      <c r="AE818" t="s">
        <v>15962</v>
      </c>
      <c r="AF818" t="s">
        <v>74</v>
      </c>
      <c r="AG818">
        <v>6</v>
      </c>
      <c r="AH818">
        <v>0</v>
      </c>
      <c r="AI818">
        <v>0</v>
      </c>
      <c r="AJ818">
        <v>0</v>
      </c>
      <c r="AK818">
        <v>0</v>
      </c>
      <c r="AL818" t="s">
        <v>413</v>
      </c>
      <c r="AM818" t="s">
        <v>167</v>
      </c>
      <c r="AN818" t="s">
        <v>414</v>
      </c>
      <c r="AO818" t="s">
        <v>15963</v>
      </c>
      <c r="AP818" t="s">
        <v>15964</v>
      </c>
      <c r="AQ818" t="s">
        <v>74</v>
      </c>
      <c r="AR818" t="s">
        <v>15965</v>
      </c>
      <c r="AS818" t="s">
        <v>15966</v>
      </c>
      <c r="AT818" t="s">
        <v>1091</v>
      </c>
      <c r="AU818">
        <v>2021</v>
      </c>
      <c r="AV818">
        <v>48</v>
      </c>
      <c r="AW818">
        <v>2</v>
      </c>
      <c r="AX818" t="s">
        <v>74</v>
      </c>
      <c r="AY818" t="s">
        <v>74</v>
      </c>
      <c r="AZ818" t="s">
        <v>74</v>
      </c>
      <c r="BA818" t="s">
        <v>74</v>
      </c>
      <c r="BB818">
        <v>59</v>
      </c>
      <c r="BC818">
        <v>62</v>
      </c>
      <c r="BD818" t="s">
        <v>74</v>
      </c>
      <c r="BE818" t="s">
        <v>15967</v>
      </c>
      <c r="BF818" t="str">
        <f>HYPERLINK("http://dx.doi.org/10.3103/S1068335621020020","http://dx.doi.org/10.3103/S1068335621020020")</f>
        <v>http://dx.doi.org/10.3103/S1068335621020020</v>
      </c>
      <c r="BG818" t="s">
        <v>74</v>
      </c>
      <c r="BH818" t="s">
        <v>74</v>
      </c>
      <c r="BI818">
        <v>4</v>
      </c>
      <c r="BJ818" t="s">
        <v>13435</v>
      </c>
      <c r="BK818" t="s">
        <v>101</v>
      </c>
      <c r="BL818" t="s">
        <v>12249</v>
      </c>
      <c r="BM818" t="s">
        <v>15968</v>
      </c>
      <c r="BN818" t="s">
        <v>74</v>
      </c>
      <c r="BO818" t="s">
        <v>74</v>
      </c>
      <c r="BP818" t="s">
        <v>74</v>
      </c>
      <c r="BQ818" t="s">
        <v>74</v>
      </c>
      <c r="BR818" t="s">
        <v>104</v>
      </c>
      <c r="BS818" t="s">
        <v>15969</v>
      </c>
      <c r="BT818" t="str">
        <f>HYPERLINK("https%3A%2F%2Fwww.webofscience.com%2Fwos%2Fwoscc%2Ffull-record%2FWOS:000647070500007","View Full Record in Web of Science")</f>
        <v>View Full Record in Web of Science</v>
      </c>
    </row>
    <row r="819" spans="1:72" x14ac:dyDescent="0.15">
      <c r="A819" t="s">
        <v>72</v>
      </c>
      <c r="B819" t="s">
        <v>15970</v>
      </c>
      <c r="C819" t="s">
        <v>74</v>
      </c>
      <c r="D819" t="s">
        <v>74</v>
      </c>
      <c r="E819" t="s">
        <v>74</v>
      </c>
      <c r="F819" t="s">
        <v>15971</v>
      </c>
      <c r="G819" t="s">
        <v>74</v>
      </c>
      <c r="H819" t="s">
        <v>74</v>
      </c>
      <c r="I819" t="s">
        <v>15972</v>
      </c>
      <c r="J819" t="s">
        <v>15973</v>
      </c>
      <c r="K819" t="s">
        <v>74</v>
      </c>
      <c r="L819" t="s">
        <v>74</v>
      </c>
      <c r="M819" t="s">
        <v>78</v>
      </c>
      <c r="N819" t="s">
        <v>79</v>
      </c>
      <c r="O819" t="s">
        <v>74</v>
      </c>
      <c r="P819" t="s">
        <v>74</v>
      </c>
      <c r="Q819" t="s">
        <v>74</v>
      </c>
      <c r="R819" t="s">
        <v>74</v>
      </c>
      <c r="S819" t="s">
        <v>74</v>
      </c>
      <c r="T819" t="s">
        <v>15974</v>
      </c>
      <c r="U819" t="s">
        <v>15975</v>
      </c>
      <c r="V819" t="s">
        <v>15976</v>
      </c>
      <c r="W819" t="s">
        <v>15977</v>
      </c>
      <c r="X819" t="s">
        <v>15978</v>
      </c>
      <c r="Y819" t="s">
        <v>15979</v>
      </c>
      <c r="Z819" t="s">
        <v>15980</v>
      </c>
      <c r="AA819" t="s">
        <v>15981</v>
      </c>
      <c r="AB819" t="s">
        <v>15982</v>
      </c>
      <c r="AC819" t="s">
        <v>15983</v>
      </c>
      <c r="AD819" t="s">
        <v>15984</v>
      </c>
      <c r="AE819" t="s">
        <v>15985</v>
      </c>
      <c r="AF819" t="s">
        <v>74</v>
      </c>
      <c r="AG819">
        <v>78</v>
      </c>
      <c r="AH819">
        <v>6</v>
      </c>
      <c r="AI819">
        <v>6</v>
      </c>
      <c r="AJ819">
        <v>1</v>
      </c>
      <c r="AK819">
        <v>5</v>
      </c>
      <c r="AL819" t="s">
        <v>15986</v>
      </c>
      <c r="AM819" t="s">
        <v>15987</v>
      </c>
      <c r="AN819" t="s">
        <v>15988</v>
      </c>
      <c r="AO819" t="s">
        <v>15989</v>
      </c>
      <c r="AP819" t="s">
        <v>15990</v>
      </c>
      <c r="AQ819" t="s">
        <v>74</v>
      </c>
      <c r="AR819" t="s">
        <v>15991</v>
      </c>
      <c r="AS819" t="s">
        <v>15992</v>
      </c>
      <c r="AT819" t="s">
        <v>1091</v>
      </c>
      <c r="AU819">
        <v>2021</v>
      </c>
      <c r="AV819">
        <v>213</v>
      </c>
      <c r="AW819" t="s">
        <v>74</v>
      </c>
      <c r="AX819" t="s">
        <v>74</v>
      </c>
      <c r="AY819" t="s">
        <v>74</v>
      </c>
      <c r="AZ819" t="s">
        <v>74</v>
      </c>
      <c r="BA819" t="s">
        <v>74</v>
      </c>
      <c r="BB819">
        <v>128</v>
      </c>
      <c r="BC819">
        <v>138</v>
      </c>
      <c r="BD819" t="s">
        <v>74</v>
      </c>
      <c r="BE819" t="s">
        <v>15993</v>
      </c>
      <c r="BF819" t="str">
        <f>HYPERLINK("http://dx.doi.org/10.5004/dwt.2021.26692","http://dx.doi.org/10.5004/dwt.2021.26692")</f>
        <v>http://dx.doi.org/10.5004/dwt.2021.26692</v>
      </c>
      <c r="BG819" t="s">
        <v>74</v>
      </c>
      <c r="BH819" t="s">
        <v>74</v>
      </c>
      <c r="BI819">
        <v>11</v>
      </c>
      <c r="BJ819" t="s">
        <v>15994</v>
      </c>
      <c r="BK819" t="s">
        <v>101</v>
      </c>
      <c r="BL819" t="s">
        <v>15995</v>
      </c>
      <c r="BM819" t="s">
        <v>15996</v>
      </c>
      <c r="BN819" t="s">
        <v>74</v>
      </c>
      <c r="BO819" t="s">
        <v>74</v>
      </c>
      <c r="BP819" t="s">
        <v>74</v>
      </c>
      <c r="BQ819" t="s">
        <v>74</v>
      </c>
      <c r="BR819" t="s">
        <v>104</v>
      </c>
      <c r="BS819" t="s">
        <v>15997</v>
      </c>
      <c r="BT819" t="str">
        <f>HYPERLINK("https%3A%2F%2Fwww.webofscience.com%2Fwos%2Fwoscc%2Ffull-record%2FWOS:000651063500012","View Full Record in Web of Science")</f>
        <v>View Full Record in Web of Science</v>
      </c>
    </row>
    <row r="820" spans="1:72" x14ac:dyDescent="0.15">
      <c r="A820" t="s">
        <v>72</v>
      </c>
      <c r="B820" t="s">
        <v>15998</v>
      </c>
      <c r="C820" t="s">
        <v>74</v>
      </c>
      <c r="D820" t="s">
        <v>74</v>
      </c>
      <c r="E820" t="s">
        <v>74</v>
      </c>
      <c r="F820" t="s">
        <v>15999</v>
      </c>
      <c r="G820" t="s">
        <v>74</v>
      </c>
      <c r="H820" t="s">
        <v>74</v>
      </c>
      <c r="I820" t="s">
        <v>16000</v>
      </c>
      <c r="J820" t="s">
        <v>694</v>
      </c>
      <c r="K820" t="s">
        <v>74</v>
      </c>
      <c r="L820" t="s">
        <v>74</v>
      </c>
      <c r="M820" t="s">
        <v>78</v>
      </c>
      <c r="N820" t="s">
        <v>79</v>
      </c>
      <c r="O820" t="s">
        <v>74</v>
      </c>
      <c r="P820" t="s">
        <v>74</v>
      </c>
      <c r="Q820" t="s">
        <v>74</v>
      </c>
      <c r="R820" t="s">
        <v>74</v>
      </c>
      <c r="S820" t="s">
        <v>74</v>
      </c>
      <c r="T820" t="s">
        <v>16001</v>
      </c>
      <c r="U820" t="s">
        <v>16002</v>
      </c>
      <c r="V820" t="s">
        <v>16003</v>
      </c>
      <c r="W820" t="s">
        <v>16004</v>
      </c>
      <c r="X820" t="s">
        <v>16005</v>
      </c>
      <c r="Y820" t="s">
        <v>16006</v>
      </c>
      <c r="Z820" t="s">
        <v>16007</v>
      </c>
      <c r="AA820" t="s">
        <v>16008</v>
      </c>
      <c r="AB820" t="s">
        <v>16009</v>
      </c>
      <c r="AC820" t="s">
        <v>16010</v>
      </c>
      <c r="AD820" t="s">
        <v>16010</v>
      </c>
      <c r="AE820" t="s">
        <v>16011</v>
      </c>
      <c r="AF820" t="s">
        <v>74</v>
      </c>
      <c r="AG820">
        <v>96</v>
      </c>
      <c r="AH820">
        <v>3</v>
      </c>
      <c r="AI820">
        <v>3</v>
      </c>
      <c r="AJ820">
        <v>0</v>
      </c>
      <c r="AK820">
        <v>1</v>
      </c>
      <c r="AL820" t="s">
        <v>576</v>
      </c>
      <c r="AM820" t="s">
        <v>577</v>
      </c>
      <c r="AN820" t="s">
        <v>578</v>
      </c>
      <c r="AO820" t="s">
        <v>704</v>
      </c>
      <c r="AP820" t="s">
        <v>74</v>
      </c>
      <c r="AQ820" t="s">
        <v>74</v>
      </c>
      <c r="AR820" t="s">
        <v>705</v>
      </c>
      <c r="AS820" t="s">
        <v>706</v>
      </c>
      <c r="AT820" t="s">
        <v>1091</v>
      </c>
      <c r="AU820">
        <v>2021</v>
      </c>
      <c r="AV820">
        <v>42</v>
      </c>
      <c r="AW820" t="s">
        <v>74</v>
      </c>
      <c r="AX820" t="s">
        <v>74</v>
      </c>
      <c r="AY820" t="s">
        <v>74</v>
      </c>
      <c r="AZ820" t="s">
        <v>74</v>
      </c>
      <c r="BA820" t="s">
        <v>74</v>
      </c>
      <c r="BB820" t="s">
        <v>74</v>
      </c>
      <c r="BC820" t="s">
        <v>74</v>
      </c>
      <c r="BD820">
        <v>101610</v>
      </c>
      <c r="BE820" t="s">
        <v>16012</v>
      </c>
      <c r="BF820" t="str">
        <f>HYPERLINK("http://dx.doi.org/10.1016/j.rsma.2021.101610","http://dx.doi.org/10.1016/j.rsma.2021.101610")</f>
        <v>http://dx.doi.org/10.1016/j.rsma.2021.101610</v>
      </c>
      <c r="BG820" t="s">
        <v>74</v>
      </c>
      <c r="BH820" t="s">
        <v>12028</v>
      </c>
      <c r="BI820">
        <v>15</v>
      </c>
      <c r="BJ820" t="s">
        <v>709</v>
      </c>
      <c r="BK820" t="s">
        <v>101</v>
      </c>
      <c r="BL820" t="s">
        <v>710</v>
      </c>
      <c r="BM820" t="s">
        <v>16013</v>
      </c>
      <c r="BN820" t="s">
        <v>74</v>
      </c>
      <c r="BO820" t="s">
        <v>74</v>
      </c>
      <c r="BP820" t="s">
        <v>74</v>
      </c>
      <c r="BQ820" t="s">
        <v>74</v>
      </c>
      <c r="BR820" t="s">
        <v>104</v>
      </c>
      <c r="BS820" t="s">
        <v>16014</v>
      </c>
      <c r="BT820" t="str">
        <f>HYPERLINK("https%3A%2F%2Fwww.webofscience.com%2Fwos%2Fwoscc%2Ffull-record%2FWOS:000640498500011","View Full Record in Web of Science")</f>
        <v>View Full Record in Web of Science</v>
      </c>
    </row>
    <row r="821" spans="1:72" x14ac:dyDescent="0.15">
      <c r="A821" t="s">
        <v>72</v>
      </c>
      <c r="B821" t="s">
        <v>16015</v>
      </c>
      <c r="C821" t="s">
        <v>74</v>
      </c>
      <c r="D821" t="s">
        <v>74</v>
      </c>
      <c r="E821" t="s">
        <v>74</v>
      </c>
      <c r="F821" t="s">
        <v>16016</v>
      </c>
      <c r="G821" t="s">
        <v>74</v>
      </c>
      <c r="H821" t="s">
        <v>74</v>
      </c>
      <c r="I821" t="s">
        <v>16017</v>
      </c>
      <c r="J821" t="s">
        <v>16018</v>
      </c>
      <c r="K821" t="s">
        <v>74</v>
      </c>
      <c r="L821" t="s">
        <v>74</v>
      </c>
      <c r="M821" t="s">
        <v>78</v>
      </c>
      <c r="N821" t="s">
        <v>79</v>
      </c>
      <c r="O821" t="s">
        <v>74</v>
      </c>
      <c r="P821" t="s">
        <v>74</v>
      </c>
      <c r="Q821" t="s">
        <v>74</v>
      </c>
      <c r="R821" t="s">
        <v>74</v>
      </c>
      <c r="S821" t="s">
        <v>74</v>
      </c>
      <c r="T821" t="s">
        <v>16019</v>
      </c>
      <c r="U821" t="s">
        <v>16020</v>
      </c>
      <c r="V821" t="s">
        <v>16021</v>
      </c>
      <c r="W821" t="s">
        <v>16022</v>
      </c>
      <c r="X821" t="s">
        <v>16023</v>
      </c>
      <c r="Y821" t="s">
        <v>16024</v>
      </c>
      <c r="Z821" t="s">
        <v>16025</v>
      </c>
      <c r="AA821" t="s">
        <v>74</v>
      </c>
      <c r="AB821" t="s">
        <v>74</v>
      </c>
      <c r="AC821" t="s">
        <v>16026</v>
      </c>
      <c r="AD821" t="s">
        <v>16027</v>
      </c>
      <c r="AE821" t="s">
        <v>16028</v>
      </c>
      <c r="AF821" t="s">
        <v>74</v>
      </c>
      <c r="AG821">
        <v>30</v>
      </c>
      <c r="AH821">
        <v>12</v>
      </c>
      <c r="AI821">
        <v>12</v>
      </c>
      <c r="AJ821">
        <v>2</v>
      </c>
      <c r="AK821">
        <v>6</v>
      </c>
      <c r="AL821" t="s">
        <v>4724</v>
      </c>
      <c r="AM821" t="s">
        <v>4725</v>
      </c>
      <c r="AN821" t="s">
        <v>4726</v>
      </c>
      <c r="AO821" t="s">
        <v>16029</v>
      </c>
      <c r="AP821" t="s">
        <v>16030</v>
      </c>
      <c r="AQ821" t="s">
        <v>74</v>
      </c>
      <c r="AR821" t="s">
        <v>16018</v>
      </c>
      <c r="AS821" t="s">
        <v>16031</v>
      </c>
      <c r="AT821" t="s">
        <v>1091</v>
      </c>
      <c r="AU821">
        <v>2021</v>
      </c>
      <c r="AV821">
        <v>17</v>
      </c>
      <c r="AW821">
        <v>1</v>
      </c>
      <c r="AX821" t="s">
        <v>74</v>
      </c>
      <c r="AY821" t="s">
        <v>74</v>
      </c>
      <c r="AZ821" t="s">
        <v>74</v>
      </c>
      <c r="BA821" t="s">
        <v>74</v>
      </c>
      <c r="BB821">
        <v>29</v>
      </c>
      <c r="BC821">
        <v>34</v>
      </c>
      <c r="BD821" t="s">
        <v>74</v>
      </c>
      <c r="BE821" t="s">
        <v>16032</v>
      </c>
      <c r="BF821" t="str">
        <f>HYPERLINK("http://dx.doi.org/10.2138/gselements.17.1.29","http://dx.doi.org/10.2138/gselements.17.1.29")</f>
        <v>http://dx.doi.org/10.2138/gselements.17.1.29</v>
      </c>
      <c r="BG821" t="s">
        <v>74</v>
      </c>
      <c r="BH821" t="s">
        <v>74</v>
      </c>
      <c r="BI821">
        <v>6</v>
      </c>
      <c r="BJ821" t="s">
        <v>4732</v>
      </c>
      <c r="BK821" t="s">
        <v>101</v>
      </c>
      <c r="BL821" t="s">
        <v>4732</v>
      </c>
      <c r="BM821" t="s">
        <v>16033</v>
      </c>
      <c r="BN821" t="s">
        <v>74</v>
      </c>
      <c r="BO821" t="s">
        <v>496</v>
      </c>
      <c r="BP821" t="s">
        <v>74</v>
      </c>
      <c r="BQ821" t="s">
        <v>74</v>
      </c>
      <c r="BR821" t="s">
        <v>104</v>
      </c>
      <c r="BS821" t="s">
        <v>16034</v>
      </c>
      <c r="BT821" t="str">
        <f>HYPERLINK("https%3A%2F%2Fwww.webofscience.com%2Fwos%2Fwoscc%2Ffull-record%2FWOS:000640056700005","View Full Record in Web of Science")</f>
        <v>View Full Record in Web of Science</v>
      </c>
    </row>
    <row r="822" spans="1:72" x14ac:dyDescent="0.15">
      <c r="A822" t="s">
        <v>72</v>
      </c>
      <c r="B822" t="s">
        <v>16035</v>
      </c>
      <c r="C822" t="s">
        <v>74</v>
      </c>
      <c r="D822" t="s">
        <v>74</v>
      </c>
      <c r="E822" t="s">
        <v>74</v>
      </c>
      <c r="F822" t="s">
        <v>16036</v>
      </c>
      <c r="G822" t="s">
        <v>74</v>
      </c>
      <c r="H822" t="s">
        <v>74</v>
      </c>
      <c r="I822" t="s">
        <v>16037</v>
      </c>
      <c r="J822" t="s">
        <v>16038</v>
      </c>
      <c r="K822" t="s">
        <v>74</v>
      </c>
      <c r="L822" t="s">
        <v>74</v>
      </c>
      <c r="M822" t="s">
        <v>78</v>
      </c>
      <c r="N822" t="s">
        <v>79</v>
      </c>
      <c r="O822" t="s">
        <v>74</v>
      </c>
      <c r="P822" t="s">
        <v>74</v>
      </c>
      <c r="Q822" t="s">
        <v>74</v>
      </c>
      <c r="R822" t="s">
        <v>74</v>
      </c>
      <c r="S822" t="s">
        <v>74</v>
      </c>
      <c r="T822" t="s">
        <v>16039</v>
      </c>
      <c r="U822" t="s">
        <v>16040</v>
      </c>
      <c r="V822" t="s">
        <v>16041</v>
      </c>
      <c r="W822" t="s">
        <v>16042</v>
      </c>
      <c r="X822" t="s">
        <v>16043</v>
      </c>
      <c r="Y822" t="s">
        <v>16044</v>
      </c>
      <c r="Z822" t="s">
        <v>16045</v>
      </c>
      <c r="AA822" t="s">
        <v>74</v>
      </c>
      <c r="AB822" t="s">
        <v>16046</v>
      </c>
      <c r="AC822" t="s">
        <v>16047</v>
      </c>
      <c r="AD822" t="s">
        <v>16048</v>
      </c>
      <c r="AE822" t="s">
        <v>16049</v>
      </c>
      <c r="AF822" t="s">
        <v>74</v>
      </c>
      <c r="AG822">
        <v>25</v>
      </c>
      <c r="AH822">
        <v>4</v>
      </c>
      <c r="AI822">
        <v>4</v>
      </c>
      <c r="AJ822">
        <v>1</v>
      </c>
      <c r="AK822">
        <v>9</v>
      </c>
      <c r="AL822" t="s">
        <v>16050</v>
      </c>
      <c r="AM822" t="s">
        <v>2106</v>
      </c>
      <c r="AN822" t="s">
        <v>16051</v>
      </c>
      <c r="AO822" t="s">
        <v>16052</v>
      </c>
      <c r="AP822" t="s">
        <v>16053</v>
      </c>
      <c r="AQ822" t="s">
        <v>74</v>
      </c>
      <c r="AR822" t="s">
        <v>16054</v>
      </c>
      <c r="AS822" t="s">
        <v>16055</v>
      </c>
      <c r="AT822" t="s">
        <v>1091</v>
      </c>
      <c r="AU822">
        <v>2021</v>
      </c>
      <c r="AV822">
        <v>37</v>
      </c>
      <c r="AW822">
        <v>1</v>
      </c>
      <c r="AX822" t="s">
        <v>74</v>
      </c>
      <c r="AY822" t="s">
        <v>74</v>
      </c>
      <c r="AZ822" t="s">
        <v>74</v>
      </c>
      <c r="BA822" t="s">
        <v>74</v>
      </c>
      <c r="BB822">
        <v>1</v>
      </c>
      <c r="BC822">
        <v>11</v>
      </c>
      <c r="BD822" t="s">
        <v>74</v>
      </c>
      <c r="BE822" t="s">
        <v>16056</v>
      </c>
      <c r="BF822" t="str">
        <f>HYPERLINK("http://dx.doi.org/10.7780/kjrs.2021.37.1.1","http://dx.doi.org/10.7780/kjrs.2021.37.1.1")</f>
        <v>http://dx.doi.org/10.7780/kjrs.2021.37.1.1</v>
      </c>
      <c r="BG822" t="s">
        <v>74</v>
      </c>
      <c r="BH822" t="s">
        <v>74</v>
      </c>
      <c r="BI822">
        <v>11</v>
      </c>
      <c r="BJ822" t="s">
        <v>16057</v>
      </c>
      <c r="BK822" t="s">
        <v>342</v>
      </c>
      <c r="BL822" t="s">
        <v>16057</v>
      </c>
      <c r="BM822" t="s">
        <v>16058</v>
      </c>
      <c r="BN822" t="s">
        <v>74</v>
      </c>
      <c r="BO822" t="s">
        <v>74</v>
      </c>
      <c r="BP822" t="s">
        <v>74</v>
      </c>
      <c r="BQ822" t="s">
        <v>74</v>
      </c>
      <c r="BR822" t="s">
        <v>104</v>
      </c>
      <c r="BS822" t="s">
        <v>16059</v>
      </c>
      <c r="BT822" t="str">
        <f>HYPERLINK("https%3A%2F%2Fwww.webofscience.com%2Fwos%2Fwoscc%2Ffull-record%2FWOS:000643290600001","View Full Record in Web of Science")</f>
        <v>View Full Record in Web of Science</v>
      </c>
    </row>
    <row r="823" spans="1:72" x14ac:dyDescent="0.15">
      <c r="A823" t="s">
        <v>72</v>
      </c>
      <c r="B823" t="s">
        <v>16060</v>
      </c>
      <c r="C823" t="s">
        <v>74</v>
      </c>
      <c r="D823" t="s">
        <v>74</v>
      </c>
      <c r="E823" t="s">
        <v>74</v>
      </c>
      <c r="F823" t="s">
        <v>16061</v>
      </c>
      <c r="G823" t="s">
        <v>74</v>
      </c>
      <c r="H823" t="s">
        <v>74</v>
      </c>
      <c r="I823" t="s">
        <v>16062</v>
      </c>
      <c r="J823" t="s">
        <v>12413</v>
      </c>
      <c r="K823" t="s">
        <v>74</v>
      </c>
      <c r="L823" t="s">
        <v>74</v>
      </c>
      <c r="M823" t="s">
        <v>78</v>
      </c>
      <c r="N823" t="s">
        <v>79</v>
      </c>
      <c r="O823" t="s">
        <v>74</v>
      </c>
      <c r="P823" t="s">
        <v>74</v>
      </c>
      <c r="Q823" t="s">
        <v>74</v>
      </c>
      <c r="R823" t="s">
        <v>74</v>
      </c>
      <c r="S823" t="s">
        <v>74</v>
      </c>
      <c r="T823" t="s">
        <v>16063</v>
      </c>
      <c r="U823" t="s">
        <v>16064</v>
      </c>
      <c r="V823" t="s">
        <v>16065</v>
      </c>
      <c r="W823" t="s">
        <v>16066</v>
      </c>
      <c r="X823" t="s">
        <v>16067</v>
      </c>
      <c r="Y823" t="s">
        <v>16068</v>
      </c>
      <c r="Z823" t="s">
        <v>16069</v>
      </c>
      <c r="AA823" t="s">
        <v>74</v>
      </c>
      <c r="AB823" t="s">
        <v>74</v>
      </c>
      <c r="AC823" t="s">
        <v>16070</v>
      </c>
      <c r="AD823" t="s">
        <v>4449</v>
      </c>
      <c r="AE823" t="s">
        <v>16071</v>
      </c>
      <c r="AF823" t="s">
        <v>74</v>
      </c>
      <c r="AG823">
        <v>85</v>
      </c>
      <c r="AH823">
        <v>4</v>
      </c>
      <c r="AI823">
        <v>5</v>
      </c>
      <c r="AJ823">
        <v>2</v>
      </c>
      <c r="AK823">
        <v>12</v>
      </c>
      <c r="AL823" t="s">
        <v>576</v>
      </c>
      <c r="AM823" t="s">
        <v>577</v>
      </c>
      <c r="AN823" t="s">
        <v>578</v>
      </c>
      <c r="AO823" t="s">
        <v>12424</v>
      </c>
      <c r="AP823" t="s">
        <v>12425</v>
      </c>
      <c r="AQ823" t="s">
        <v>74</v>
      </c>
      <c r="AR823" t="s">
        <v>12426</v>
      </c>
      <c r="AS823" t="s">
        <v>12427</v>
      </c>
      <c r="AT823" t="s">
        <v>2859</v>
      </c>
      <c r="AU823">
        <v>2021</v>
      </c>
      <c r="AV823">
        <v>537</v>
      </c>
      <c r="AW823" t="s">
        <v>74</v>
      </c>
      <c r="AX823" t="s">
        <v>74</v>
      </c>
      <c r="AY823" t="s">
        <v>74</v>
      </c>
      <c r="AZ823" t="s">
        <v>74</v>
      </c>
      <c r="BA823" t="s">
        <v>74</v>
      </c>
      <c r="BB823" t="s">
        <v>74</v>
      </c>
      <c r="BC823" t="s">
        <v>74</v>
      </c>
      <c r="BD823">
        <v>151514</v>
      </c>
      <c r="BE823" t="s">
        <v>16072</v>
      </c>
      <c r="BF823" t="str">
        <f>HYPERLINK("http://dx.doi.org/10.1016/j.jembe.2021.151514","http://dx.doi.org/10.1016/j.jembe.2021.151514")</f>
        <v>http://dx.doi.org/10.1016/j.jembe.2021.151514</v>
      </c>
      <c r="BG823" t="s">
        <v>74</v>
      </c>
      <c r="BH823" t="s">
        <v>12028</v>
      </c>
      <c r="BI823">
        <v>8</v>
      </c>
      <c r="BJ823" t="s">
        <v>709</v>
      </c>
      <c r="BK823" t="s">
        <v>101</v>
      </c>
      <c r="BL823" t="s">
        <v>710</v>
      </c>
      <c r="BM823" t="s">
        <v>12429</v>
      </c>
      <c r="BN823" t="s">
        <v>74</v>
      </c>
      <c r="BO823" t="s">
        <v>712</v>
      </c>
      <c r="BP823" t="s">
        <v>74</v>
      </c>
      <c r="BQ823" t="s">
        <v>74</v>
      </c>
      <c r="BR823" t="s">
        <v>104</v>
      </c>
      <c r="BS823" t="s">
        <v>16073</v>
      </c>
      <c r="BT823" t="str">
        <f>HYPERLINK("https%3A%2F%2Fwww.webofscience.com%2Fwos%2Fwoscc%2Ffull-record%2FWOS:000640997800004","View Full Record in Web of Science")</f>
        <v>View Full Record in Web of Science</v>
      </c>
    </row>
    <row r="824" spans="1:72" x14ac:dyDescent="0.15">
      <c r="A824" t="s">
        <v>72</v>
      </c>
      <c r="B824" t="s">
        <v>16074</v>
      </c>
      <c r="C824" t="s">
        <v>74</v>
      </c>
      <c r="D824" t="s">
        <v>74</v>
      </c>
      <c r="E824" t="s">
        <v>74</v>
      </c>
      <c r="F824" t="s">
        <v>16075</v>
      </c>
      <c r="G824" t="s">
        <v>74</v>
      </c>
      <c r="H824" t="s">
        <v>74</v>
      </c>
      <c r="I824" t="s">
        <v>16076</v>
      </c>
      <c r="J824" t="s">
        <v>16077</v>
      </c>
      <c r="K824" t="s">
        <v>74</v>
      </c>
      <c r="L824" t="s">
        <v>74</v>
      </c>
      <c r="M824" t="s">
        <v>78</v>
      </c>
      <c r="N824" t="s">
        <v>79</v>
      </c>
      <c r="O824" t="s">
        <v>74</v>
      </c>
      <c r="P824" t="s">
        <v>74</v>
      </c>
      <c r="Q824" t="s">
        <v>74</v>
      </c>
      <c r="R824" t="s">
        <v>74</v>
      </c>
      <c r="S824" t="s">
        <v>74</v>
      </c>
      <c r="T824" t="s">
        <v>16078</v>
      </c>
      <c r="U824" t="s">
        <v>16079</v>
      </c>
      <c r="V824" t="s">
        <v>16080</v>
      </c>
      <c r="W824" t="s">
        <v>16081</v>
      </c>
      <c r="X824" t="s">
        <v>16082</v>
      </c>
      <c r="Y824" t="s">
        <v>16083</v>
      </c>
      <c r="Z824" t="s">
        <v>16084</v>
      </c>
      <c r="AA824" t="s">
        <v>16085</v>
      </c>
      <c r="AB824" t="s">
        <v>16086</v>
      </c>
      <c r="AC824" t="s">
        <v>16087</v>
      </c>
      <c r="AD824" t="s">
        <v>16088</v>
      </c>
      <c r="AE824" t="s">
        <v>16089</v>
      </c>
      <c r="AF824" t="s">
        <v>74</v>
      </c>
      <c r="AG824">
        <v>98</v>
      </c>
      <c r="AH824">
        <v>33</v>
      </c>
      <c r="AI824">
        <v>36</v>
      </c>
      <c r="AJ824">
        <v>1</v>
      </c>
      <c r="AK824">
        <v>28</v>
      </c>
      <c r="AL824" t="s">
        <v>1160</v>
      </c>
      <c r="AM824" t="s">
        <v>891</v>
      </c>
      <c r="AN824" t="s">
        <v>1161</v>
      </c>
      <c r="AO824" t="s">
        <v>16090</v>
      </c>
      <c r="AP824" t="s">
        <v>16091</v>
      </c>
      <c r="AQ824" t="s">
        <v>74</v>
      </c>
      <c r="AR824" t="s">
        <v>16092</v>
      </c>
      <c r="AS824" t="s">
        <v>16093</v>
      </c>
      <c r="AT824" t="s">
        <v>1091</v>
      </c>
      <c r="AU824">
        <v>2021</v>
      </c>
      <c r="AV824">
        <v>38</v>
      </c>
      <c r="AW824">
        <v>2</v>
      </c>
      <c r="AX824" t="s">
        <v>74</v>
      </c>
      <c r="AY824" t="s">
        <v>74</v>
      </c>
      <c r="AZ824" t="s">
        <v>74</v>
      </c>
      <c r="BA824" t="s">
        <v>74</v>
      </c>
      <c r="BB824">
        <v>686</v>
      </c>
      <c r="BC824">
        <v>701</v>
      </c>
      <c r="BD824" t="s">
        <v>74</v>
      </c>
      <c r="BE824" t="s">
        <v>16094</v>
      </c>
      <c r="BF824" t="str">
        <f>HYPERLINK("http://dx.doi.org/10.1093/molbev/msaa228","http://dx.doi.org/10.1093/molbev/msaa228")</f>
        <v>http://dx.doi.org/10.1093/molbev/msaa228</v>
      </c>
      <c r="BG824" t="s">
        <v>74</v>
      </c>
      <c r="BH824" t="s">
        <v>74</v>
      </c>
      <c r="BI824">
        <v>16</v>
      </c>
      <c r="BJ824" t="s">
        <v>11810</v>
      </c>
      <c r="BK824" t="s">
        <v>101</v>
      </c>
      <c r="BL824" t="s">
        <v>11810</v>
      </c>
      <c r="BM824" t="s">
        <v>16095</v>
      </c>
      <c r="BN824">
        <v>32915961</v>
      </c>
      <c r="BO824" t="s">
        <v>16096</v>
      </c>
      <c r="BP824" t="s">
        <v>74</v>
      </c>
      <c r="BQ824" t="s">
        <v>74</v>
      </c>
      <c r="BR824" t="s">
        <v>104</v>
      </c>
      <c r="BS824" t="s">
        <v>16097</v>
      </c>
      <c r="BT824" t="str">
        <f>HYPERLINK("https%3A%2F%2Fwww.webofscience.com%2Fwos%2Fwoscc%2Ffull-record%2FWOS:000637318600027","View Full Record in Web of Science")</f>
        <v>View Full Record in Web of Science</v>
      </c>
    </row>
    <row r="825" spans="1:72" x14ac:dyDescent="0.15">
      <c r="A825" t="s">
        <v>72</v>
      </c>
      <c r="B825" t="s">
        <v>16098</v>
      </c>
      <c r="C825" t="s">
        <v>74</v>
      </c>
      <c r="D825" t="s">
        <v>74</v>
      </c>
      <c r="E825" t="s">
        <v>74</v>
      </c>
      <c r="F825" t="s">
        <v>16099</v>
      </c>
      <c r="G825" t="s">
        <v>74</v>
      </c>
      <c r="H825" t="s">
        <v>74</v>
      </c>
      <c r="I825" t="s">
        <v>16100</v>
      </c>
      <c r="J825" t="s">
        <v>16101</v>
      </c>
      <c r="K825" t="s">
        <v>74</v>
      </c>
      <c r="L825" t="s">
        <v>74</v>
      </c>
      <c r="M825" t="s">
        <v>78</v>
      </c>
      <c r="N825" t="s">
        <v>79</v>
      </c>
      <c r="O825" t="s">
        <v>74</v>
      </c>
      <c r="P825" t="s">
        <v>74</v>
      </c>
      <c r="Q825" t="s">
        <v>74</v>
      </c>
      <c r="R825" t="s">
        <v>74</v>
      </c>
      <c r="S825" t="s">
        <v>74</v>
      </c>
      <c r="T825" t="s">
        <v>16102</v>
      </c>
      <c r="U825" t="s">
        <v>16103</v>
      </c>
      <c r="V825" t="s">
        <v>16104</v>
      </c>
      <c r="W825" t="s">
        <v>16105</v>
      </c>
      <c r="X825" t="s">
        <v>16106</v>
      </c>
      <c r="Y825" t="s">
        <v>16107</v>
      </c>
      <c r="Z825" t="s">
        <v>16108</v>
      </c>
      <c r="AA825" t="s">
        <v>16109</v>
      </c>
      <c r="AB825" t="s">
        <v>74</v>
      </c>
      <c r="AC825" t="s">
        <v>16110</v>
      </c>
      <c r="AD825" t="s">
        <v>16110</v>
      </c>
      <c r="AE825" t="s">
        <v>16111</v>
      </c>
      <c r="AF825" t="s">
        <v>74</v>
      </c>
      <c r="AG825">
        <v>72</v>
      </c>
      <c r="AH825">
        <v>1</v>
      </c>
      <c r="AI825">
        <v>2</v>
      </c>
      <c r="AJ825">
        <v>0</v>
      </c>
      <c r="AK825">
        <v>1</v>
      </c>
      <c r="AL825" t="s">
        <v>16112</v>
      </c>
      <c r="AM825" t="s">
        <v>1909</v>
      </c>
      <c r="AN825" t="s">
        <v>16113</v>
      </c>
      <c r="AO825" t="s">
        <v>16114</v>
      </c>
      <c r="AP825" t="s">
        <v>74</v>
      </c>
      <c r="AQ825" t="s">
        <v>74</v>
      </c>
      <c r="AR825" t="s">
        <v>16115</v>
      </c>
      <c r="AS825" t="s">
        <v>16116</v>
      </c>
      <c r="AT825" t="s">
        <v>1091</v>
      </c>
      <c r="AU825">
        <v>2021</v>
      </c>
      <c r="AV825">
        <v>26</v>
      </c>
      <c r="AW825">
        <v>2</v>
      </c>
      <c r="AX825" t="s">
        <v>74</v>
      </c>
      <c r="AY825" t="s">
        <v>74</v>
      </c>
      <c r="AZ825" t="s">
        <v>74</v>
      </c>
      <c r="BA825" t="s">
        <v>74</v>
      </c>
      <c r="BB825">
        <v>379</v>
      </c>
      <c r="BC825">
        <v>394</v>
      </c>
      <c r="BD825" t="s">
        <v>74</v>
      </c>
      <c r="BE825" t="s">
        <v>16117</v>
      </c>
      <c r="BF825" t="str">
        <f>HYPERLINK("http://dx.doi.org/10.11158/saa.26.2.5","http://dx.doi.org/10.11158/saa.26.2.5")</f>
        <v>http://dx.doi.org/10.11158/saa.26.2.5</v>
      </c>
      <c r="BG825" t="s">
        <v>74</v>
      </c>
      <c r="BH825" t="s">
        <v>74</v>
      </c>
      <c r="BI825">
        <v>16</v>
      </c>
      <c r="BJ825" t="s">
        <v>1093</v>
      </c>
      <c r="BK825" t="s">
        <v>101</v>
      </c>
      <c r="BL825" t="s">
        <v>1093</v>
      </c>
      <c r="BM825" t="s">
        <v>16118</v>
      </c>
      <c r="BN825" t="s">
        <v>74</v>
      </c>
      <c r="BO825" t="s">
        <v>74</v>
      </c>
      <c r="BP825" t="s">
        <v>74</v>
      </c>
      <c r="BQ825" t="s">
        <v>74</v>
      </c>
      <c r="BR825" t="s">
        <v>104</v>
      </c>
      <c r="BS825" t="s">
        <v>16119</v>
      </c>
      <c r="BT825" t="str">
        <f>HYPERLINK("https%3A%2F%2Fwww.webofscience.com%2Fwos%2Fwoscc%2Ffull-record%2FWOS:000636694200005","View Full Record in Web of Science")</f>
        <v>View Full Record in Web of Science</v>
      </c>
    </row>
    <row r="826" spans="1:72" x14ac:dyDescent="0.15">
      <c r="A826" t="s">
        <v>72</v>
      </c>
      <c r="B826" t="s">
        <v>16120</v>
      </c>
      <c r="C826" t="s">
        <v>74</v>
      </c>
      <c r="D826" t="s">
        <v>74</v>
      </c>
      <c r="E826" t="s">
        <v>74</v>
      </c>
      <c r="F826" t="s">
        <v>16121</v>
      </c>
      <c r="G826" t="s">
        <v>74</v>
      </c>
      <c r="H826" t="s">
        <v>74</v>
      </c>
      <c r="I826" t="s">
        <v>16122</v>
      </c>
      <c r="J826" t="s">
        <v>4825</v>
      </c>
      <c r="K826" t="s">
        <v>74</v>
      </c>
      <c r="L826" t="s">
        <v>74</v>
      </c>
      <c r="M826" t="s">
        <v>78</v>
      </c>
      <c r="N826" t="s">
        <v>79</v>
      </c>
      <c r="O826" t="s">
        <v>74</v>
      </c>
      <c r="P826" t="s">
        <v>74</v>
      </c>
      <c r="Q826" t="s">
        <v>74</v>
      </c>
      <c r="R826" t="s">
        <v>74</v>
      </c>
      <c r="S826" t="s">
        <v>74</v>
      </c>
      <c r="T826" t="s">
        <v>16123</v>
      </c>
      <c r="U826" t="s">
        <v>74</v>
      </c>
      <c r="V826" t="s">
        <v>16124</v>
      </c>
      <c r="W826" t="s">
        <v>16125</v>
      </c>
      <c r="X826" t="s">
        <v>16126</v>
      </c>
      <c r="Y826" t="s">
        <v>16127</v>
      </c>
      <c r="Z826" t="s">
        <v>16128</v>
      </c>
      <c r="AA826" t="s">
        <v>16129</v>
      </c>
      <c r="AB826" t="s">
        <v>16130</v>
      </c>
      <c r="AC826" t="s">
        <v>74</v>
      </c>
      <c r="AD826" t="s">
        <v>74</v>
      </c>
      <c r="AE826" t="s">
        <v>74</v>
      </c>
      <c r="AF826" t="s">
        <v>74</v>
      </c>
      <c r="AG826">
        <v>23</v>
      </c>
      <c r="AH826">
        <v>5</v>
      </c>
      <c r="AI826">
        <v>5</v>
      </c>
      <c r="AJ826">
        <v>0</v>
      </c>
      <c r="AK826">
        <v>3</v>
      </c>
      <c r="AL826" t="s">
        <v>917</v>
      </c>
      <c r="AM826" t="s">
        <v>390</v>
      </c>
      <c r="AN826" t="s">
        <v>918</v>
      </c>
      <c r="AO826" t="s">
        <v>4838</v>
      </c>
      <c r="AP826" t="s">
        <v>4839</v>
      </c>
      <c r="AQ826" t="s">
        <v>74</v>
      </c>
      <c r="AR826" t="s">
        <v>4840</v>
      </c>
      <c r="AS826" t="s">
        <v>4841</v>
      </c>
      <c r="AT826" t="s">
        <v>1091</v>
      </c>
      <c r="AU826">
        <v>2021</v>
      </c>
      <c r="AV826">
        <v>126</v>
      </c>
      <c r="AW826">
        <v>2</v>
      </c>
      <c r="AX826" t="s">
        <v>74</v>
      </c>
      <c r="AY826" t="s">
        <v>74</v>
      </c>
      <c r="AZ826" t="s">
        <v>74</v>
      </c>
      <c r="BA826" t="s">
        <v>74</v>
      </c>
      <c r="BB826" t="s">
        <v>74</v>
      </c>
      <c r="BC826" t="s">
        <v>74</v>
      </c>
      <c r="BD826" t="s">
        <v>16131</v>
      </c>
      <c r="BE826" t="s">
        <v>16132</v>
      </c>
      <c r="BF826" t="str">
        <f>HYPERLINK("http://dx.doi.org/10.1029/2020JA028513","http://dx.doi.org/10.1029/2020JA028513")</f>
        <v>http://dx.doi.org/10.1029/2020JA028513</v>
      </c>
      <c r="BG826" t="s">
        <v>74</v>
      </c>
      <c r="BH826" t="s">
        <v>74</v>
      </c>
      <c r="BI826">
        <v>19</v>
      </c>
      <c r="BJ826" t="s">
        <v>4844</v>
      </c>
      <c r="BK826" t="s">
        <v>101</v>
      </c>
      <c r="BL826" t="s">
        <v>4844</v>
      </c>
      <c r="BM826" t="s">
        <v>16133</v>
      </c>
      <c r="BN826" t="s">
        <v>74</v>
      </c>
      <c r="BO826" t="s">
        <v>74</v>
      </c>
      <c r="BP826" t="s">
        <v>74</v>
      </c>
      <c r="BQ826" t="s">
        <v>74</v>
      </c>
      <c r="BR826" t="s">
        <v>104</v>
      </c>
      <c r="BS826" t="s">
        <v>16134</v>
      </c>
      <c r="BT826" t="str">
        <f>HYPERLINK("https%3A%2F%2Fwww.webofscience.com%2Fwos%2Fwoscc%2Ffull-record%2FWOS:000627265100088","View Full Record in Web of Science")</f>
        <v>View Full Record in Web of Science</v>
      </c>
    </row>
    <row r="827" spans="1:72" x14ac:dyDescent="0.15">
      <c r="A827" t="s">
        <v>72</v>
      </c>
      <c r="B827" t="s">
        <v>16135</v>
      </c>
      <c r="C827" t="s">
        <v>74</v>
      </c>
      <c r="D827" t="s">
        <v>74</v>
      </c>
      <c r="E827" t="s">
        <v>74</v>
      </c>
      <c r="F827" t="s">
        <v>16136</v>
      </c>
      <c r="G827" t="s">
        <v>74</v>
      </c>
      <c r="H827" t="s">
        <v>74</v>
      </c>
      <c r="I827" t="s">
        <v>16137</v>
      </c>
      <c r="J827" t="s">
        <v>16138</v>
      </c>
      <c r="K827" t="s">
        <v>74</v>
      </c>
      <c r="L827" t="s">
        <v>74</v>
      </c>
      <c r="M827" t="s">
        <v>78</v>
      </c>
      <c r="N827" t="s">
        <v>79</v>
      </c>
      <c r="O827" t="s">
        <v>74</v>
      </c>
      <c r="P827" t="s">
        <v>74</v>
      </c>
      <c r="Q827" t="s">
        <v>74</v>
      </c>
      <c r="R827" t="s">
        <v>74</v>
      </c>
      <c r="S827" t="s">
        <v>74</v>
      </c>
      <c r="T827" t="s">
        <v>16139</v>
      </c>
      <c r="U827" t="s">
        <v>16140</v>
      </c>
      <c r="V827" t="s">
        <v>16141</v>
      </c>
      <c r="W827" t="s">
        <v>16142</v>
      </c>
      <c r="X827" t="s">
        <v>16143</v>
      </c>
      <c r="Y827" t="s">
        <v>16144</v>
      </c>
      <c r="Z827" t="s">
        <v>16145</v>
      </c>
      <c r="AA827" t="s">
        <v>74</v>
      </c>
      <c r="AB827" t="s">
        <v>16146</v>
      </c>
      <c r="AC827" t="s">
        <v>16147</v>
      </c>
      <c r="AD827" t="s">
        <v>16148</v>
      </c>
      <c r="AE827" t="s">
        <v>16149</v>
      </c>
      <c r="AF827" t="s">
        <v>74</v>
      </c>
      <c r="AG827">
        <v>83</v>
      </c>
      <c r="AH827">
        <v>5</v>
      </c>
      <c r="AI827">
        <v>5</v>
      </c>
      <c r="AJ827">
        <v>0</v>
      </c>
      <c r="AK827">
        <v>10</v>
      </c>
      <c r="AL827" t="s">
        <v>917</v>
      </c>
      <c r="AM827" t="s">
        <v>390</v>
      </c>
      <c r="AN827" t="s">
        <v>918</v>
      </c>
      <c r="AO827" t="s">
        <v>16150</v>
      </c>
      <c r="AP827" t="s">
        <v>16151</v>
      </c>
      <c r="AQ827" t="s">
        <v>74</v>
      </c>
      <c r="AR827" t="s">
        <v>16152</v>
      </c>
      <c r="AS827" t="s">
        <v>16153</v>
      </c>
      <c r="AT827" t="s">
        <v>1091</v>
      </c>
      <c r="AU827">
        <v>2021</v>
      </c>
      <c r="AV827">
        <v>126</v>
      </c>
      <c r="AW827">
        <v>2</v>
      </c>
      <c r="AX827" t="s">
        <v>74</v>
      </c>
      <c r="AY827" t="s">
        <v>74</v>
      </c>
      <c r="AZ827" t="s">
        <v>74</v>
      </c>
      <c r="BA827" t="s">
        <v>74</v>
      </c>
      <c r="BB827" t="s">
        <v>74</v>
      </c>
      <c r="BC827" t="s">
        <v>74</v>
      </c>
      <c r="BD827" t="s">
        <v>16154</v>
      </c>
      <c r="BE827" t="s">
        <v>16155</v>
      </c>
      <c r="BF827" t="str">
        <f>HYPERLINK("http://dx.doi.org/10.1029/2020JB020834","http://dx.doi.org/10.1029/2020JB020834")</f>
        <v>http://dx.doi.org/10.1029/2020JB020834</v>
      </c>
      <c r="BG827" t="s">
        <v>74</v>
      </c>
      <c r="BH827" t="s">
        <v>74</v>
      </c>
      <c r="BI827">
        <v>22</v>
      </c>
      <c r="BJ827" t="s">
        <v>1066</v>
      </c>
      <c r="BK827" t="s">
        <v>101</v>
      </c>
      <c r="BL827" t="s">
        <v>1066</v>
      </c>
      <c r="BM827" t="s">
        <v>16156</v>
      </c>
      <c r="BN827" t="s">
        <v>74</v>
      </c>
      <c r="BO827" t="s">
        <v>10496</v>
      </c>
      <c r="BP827" t="s">
        <v>74</v>
      </c>
      <c r="BQ827" t="s">
        <v>74</v>
      </c>
      <c r="BR827" t="s">
        <v>104</v>
      </c>
      <c r="BS827" t="s">
        <v>16157</v>
      </c>
      <c r="BT827" t="str">
        <f>HYPERLINK("https%3A%2F%2Fwww.webofscience.com%2Fwos%2Fwoscc%2Ffull-record%2FWOS:000631921200026","View Full Record in Web of Science")</f>
        <v>View Full Record in Web of Science</v>
      </c>
    </row>
    <row r="828" spans="1:72" x14ac:dyDescent="0.15">
      <c r="A828" t="s">
        <v>72</v>
      </c>
      <c r="B828" t="s">
        <v>16158</v>
      </c>
      <c r="C828" t="s">
        <v>74</v>
      </c>
      <c r="D828" t="s">
        <v>74</v>
      </c>
      <c r="E828" t="s">
        <v>74</v>
      </c>
      <c r="F828" t="s">
        <v>16159</v>
      </c>
      <c r="G828" t="s">
        <v>74</v>
      </c>
      <c r="H828" t="s">
        <v>74</v>
      </c>
      <c r="I828" t="s">
        <v>16160</v>
      </c>
      <c r="J828" t="s">
        <v>16161</v>
      </c>
      <c r="K828" t="s">
        <v>74</v>
      </c>
      <c r="L828" t="s">
        <v>74</v>
      </c>
      <c r="M828" t="s">
        <v>78</v>
      </c>
      <c r="N828" t="s">
        <v>79</v>
      </c>
      <c r="O828" t="s">
        <v>74</v>
      </c>
      <c r="P828" t="s">
        <v>74</v>
      </c>
      <c r="Q828" t="s">
        <v>74</v>
      </c>
      <c r="R828" t="s">
        <v>74</v>
      </c>
      <c r="S828" t="s">
        <v>74</v>
      </c>
      <c r="T828" t="s">
        <v>16162</v>
      </c>
      <c r="U828" t="s">
        <v>74</v>
      </c>
      <c r="V828" t="s">
        <v>16163</v>
      </c>
      <c r="W828" t="s">
        <v>16164</v>
      </c>
      <c r="X828" t="s">
        <v>16165</v>
      </c>
      <c r="Y828" t="s">
        <v>16166</v>
      </c>
      <c r="Z828" t="s">
        <v>16167</v>
      </c>
      <c r="AA828" t="s">
        <v>16168</v>
      </c>
      <c r="AB828" t="s">
        <v>16169</v>
      </c>
      <c r="AC828" t="s">
        <v>16170</v>
      </c>
      <c r="AD828" t="s">
        <v>16171</v>
      </c>
      <c r="AE828" t="s">
        <v>16172</v>
      </c>
      <c r="AF828" t="s">
        <v>74</v>
      </c>
      <c r="AG828">
        <v>7</v>
      </c>
      <c r="AH828">
        <v>0</v>
      </c>
      <c r="AI828">
        <v>0</v>
      </c>
      <c r="AJ828">
        <v>0</v>
      </c>
      <c r="AK828">
        <v>3</v>
      </c>
      <c r="AL828" t="s">
        <v>10370</v>
      </c>
      <c r="AM828" t="s">
        <v>167</v>
      </c>
      <c r="AN828" t="s">
        <v>10371</v>
      </c>
      <c r="AO828" t="s">
        <v>16173</v>
      </c>
      <c r="AP828" t="s">
        <v>16174</v>
      </c>
      <c r="AQ828" t="s">
        <v>74</v>
      </c>
      <c r="AR828" t="s">
        <v>16175</v>
      </c>
      <c r="AS828" t="s">
        <v>16176</v>
      </c>
      <c r="AT828" t="s">
        <v>1091</v>
      </c>
      <c r="AU828">
        <v>2021</v>
      </c>
      <c r="AV828">
        <v>496</v>
      </c>
      <c r="AW828">
        <v>2</v>
      </c>
      <c r="AX828" t="s">
        <v>74</v>
      </c>
      <c r="AY828" t="s">
        <v>74</v>
      </c>
      <c r="AZ828" t="s">
        <v>74</v>
      </c>
      <c r="BA828" t="s">
        <v>74</v>
      </c>
      <c r="BB828">
        <v>155</v>
      </c>
      <c r="BC828">
        <v>159</v>
      </c>
      <c r="BD828" t="s">
        <v>74</v>
      </c>
      <c r="BE828" t="s">
        <v>16177</v>
      </c>
      <c r="BF828" t="str">
        <f>HYPERLINK("http://dx.doi.org/10.1134/S1028334X21020215","http://dx.doi.org/10.1134/S1028334X21020215")</f>
        <v>http://dx.doi.org/10.1134/S1028334X21020215</v>
      </c>
      <c r="BG828" t="s">
        <v>74</v>
      </c>
      <c r="BH828" t="s">
        <v>74</v>
      </c>
      <c r="BI828">
        <v>5</v>
      </c>
      <c r="BJ828" t="s">
        <v>100</v>
      </c>
      <c r="BK828" t="s">
        <v>101</v>
      </c>
      <c r="BL828" t="s">
        <v>102</v>
      </c>
      <c r="BM828" t="s">
        <v>16178</v>
      </c>
      <c r="BN828" t="s">
        <v>74</v>
      </c>
      <c r="BO828" t="s">
        <v>74</v>
      </c>
      <c r="BP828" t="s">
        <v>74</v>
      </c>
      <c r="BQ828" t="s">
        <v>74</v>
      </c>
      <c r="BR828" t="s">
        <v>104</v>
      </c>
      <c r="BS828" t="s">
        <v>16179</v>
      </c>
      <c r="BT828" t="str">
        <f>HYPERLINK("https%3A%2F%2Fwww.webofscience.com%2Fwos%2Fwoscc%2Ffull-record%2FWOS:000627785600013","View Full Record in Web of Science")</f>
        <v>View Full Record in Web of Science</v>
      </c>
    </row>
    <row r="829" spans="1:72" x14ac:dyDescent="0.15">
      <c r="A829" t="s">
        <v>72</v>
      </c>
      <c r="B829" t="s">
        <v>16180</v>
      </c>
      <c r="C829" t="s">
        <v>74</v>
      </c>
      <c r="D829" t="s">
        <v>74</v>
      </c>
      <c r="E829" t="s">
        <v>74</v>
      </c>
      <c r="F829" t="s">
        <v>16181</v>
      </c>
      <c r="G829" t="s">
        <v>74</v>
      </c>
      <c r="H829" t="s">
        <v>74</v>
      </c>
      <c r="I829" t="s">
        <v>16182</v>
      </c>
      <c r="J829" t="s">
        <v>4738</v>
      </c>
      <c r="K829" t="s">
        <v>74</v>
      </c>
      <c r="L829" t="s">
        <v>74</v>
      </c>
      <c r="M829" t="s">
        <v>78</v>
      </c>
      <c r="N829" t="s">
        <v>79</v>
      </c>
      <c r="O829" t="s">
        <v>74</v>
      </c>
      <c r="P829" t="s">
        <v>74</v>
      </c>
      <c r="Q829" t="s">
        <v>74</v>
      </c>
      <c r="R829" t="s">
        <v>74</v>
      </c>
      <c r="S829" t="s">
        <v>74</v>
      </c>
      <c r="T829" t="s">
        <v>74</v>
      </c>
      <c r="U829" t="s">
        <v>74</v>
      </c>
      <c r="V829" t="s">
        <v>16183</v>
      </c>
      <c r="W829" t="s">
        <v>16184</v>
      </c>
      <c r="X829" t="s">
        <v>16185</v>
      </c>
      <c r="Y829" t="s">
        <v>16186</v>
      </c>
      <c r="Z829" t="s">
        <v>16187</v>
      </c>
      <c r="AA829" t="s">
        <v>16188</v>
      </c>
      <c r="AB829" t="s">
        <v>16189</v>
      </c>
      <c r="AC829" t="s">
        <v>16190</v>
      </c>
      <c r="AD829" t="s">
        <v>16191</v>
      </c>
      <c r="AE829" t="s">
        <v>16192</v>
      </c>
      <c r="AF829" t="s">
        <v>74</v>
      </c>
      <c r="AG829">
        <v>109</v>
      </c>
      <c r="AH829">
        <v>7</v>
      </c>
      <c r="AI829">
        <v>9</v>
      </c>
      <c r="AJ829">
        <v>0</v>
      </c>
      <c r="AK829">
        <v>4</v>
      </c>
      <c r="AL829" t="s">
        <v>917</v>
      </c>
      <c r="AM829" t="s">
        <v>390</v>
      </c>
      <c r="AN829" t="s">
        <v>918</v>
      </c>
      <c r="AO829" t="s">
        <v>74</v>
      </c>
      <c r="AP829" t="s">
        <v>4750</v>
      </c>
      <c r="AQ829" t="s">
        <v>74</v>
      </c>
      <c r="AR829" t="s">
        <v>4751</v>
      </c>
      <c r="AS829" t="s">
        <v>4752</v>
      </c>
      <c r="AT829" t="s">
        <v>1091</v>
      </c>
      <c r="AU829">
        <v>2021</v>
      </c>
      <c r="AV829">
        <v>22</v>
      </c>
      <c r="AW829">
        <v>2</v>
      </c>
      <c r="AX829" t="s">
        <v>74</v>
      </c>
      <c r="AY829" t="s">
        <v>74</v>
      </c>
      <c r="AZ829" t="s">
        <v>74</v>
      </c>
      <c r="BA829" t="s">
        <v>74</v>
      </c>
      <c r="BB829" t="s">
        <v>74</v>
      </c>
      <c r="BC829" t="s">
        <v>74</v>
      </c>
      <c r="BD829" t="s">
        <v>16193</v>
      </c>
      <c r="BE829" t="s">
        <v>16194</v>
      </c>
      <c r="BF829" t="str">
        <f>HYPERLINK("http://dx.doi.org/10.1029/2020GC009471","http://dx.doi.org/10.1029/2020GC009471")</f>
        <v>http://dx.doi.org/10.1029/2020GC009471</v>
      </c>
      <c r="BG829" t="s">
        <v>74</v>
      </c>
      <c r="BH829" t="s">
        <v>74</v>
      </c>
      <c r="BI829">
        <v>23</v>
      </c>
      <c r="BJ829" t="s">
        <v>1066</v>
      </c>
      <c r="BK829" t="s">
        <v>101</v>
      </c>
      <c r="BL829" t="s">
        <v>1066</v>
      </c>
      <c r="BM829" t="s">
        <v>16195</v>
      </c>
      <c r="BN829" t="s">
        <v>74</v>
      </c>
      <c r="BO829" t="s">
        <v>14788</v>
      </c>
      <c r="BP829" t="s">
        <v>74</v>
      </c>
      <c r="BQ829" t="s">
        <v>74</v>
      </c>
      <c r="BR829" t="s">
        <v>104</v>
      </c>
      <c r="BS829" t="s">
        <v>16196</v>
      </c>
      <c r="BT829" t="str">
        <f>HYPERLINK("https%3A%2F%2Fwww.webofscience.com%2Fwos%2Fwoscc%2Ffull-record%2FWOS:000631923900006","View Full Record in Web of Science")</f>
        <v>View Full Record in Web of Science</v>
      </c>
    </row>
    <row r="830" spans="1:72" x14ac:dyDescent="0.15">
      <c r="A830" t="s">
        <v>72</v>
      </c>
      <c r="B830" t="s">
        <v>16197</v>
      </c>
      <c r="C830" t="s">
        <v>74</v>
      </c>
      <c r="D830" t="s">
        <v>74</v>
      </c>
      <c r="E830" t="s">
        <v>74</v>
      </c>
      <c r="F830" t="s">
        <v>16198</v>
      </c>
      <c r="G830" t="s">
        <v>74</v>
      </c>
      <c r="H830" t="s">
        <v>74</v>
      </c>
      <c r="I830" t="s">
        <v>16199</v>
      </c>
      <c r="J830" t="s">
        <v>4738</v>
      </c>
      <c r="K830" t="s">
        <v>74</v>
      </c>
      <c r="L830" t="s">
        <v>74</v>
      </c>
      <c r="M830" t="s">
        <v>78</v>
      </c>
      <c r="N830" t="s">
        <v>79</v>
      </c>
      <c r="O830" t="s">
        <v>74</v>
      </c>
      <c r="P830" t="s">
        <v>74</v>
      </c>
      <c r="Q830" t="s">
        <v>74</v>
      </c>
      <c r="R830" t="s">
        <v>74</v>
      </c>
      <c r="S830" t="s">
        <v>74</v>
      </c>
      <c r="T830" t="s">
        <v>16200</v>
      </c>
      <c r="U830" t="s">
        <v>16201</v>
      </c>
      <c r="V830" t="s">
        <v>16202</v>
      </c>
      <c r="W830" t="s">
        <v>16203</v>
      </c>
      <c r="X830" t="s">
        <v>15574</v>
      </c>
      <c r="Y830" t="s">
        <v>16204</v>
      </c>
      <c r="Z830" t="s">
        <v>16205</v>
      </c>
      <c r="AA830" t="s">
        <v>16206</v>
      </c>
      <c r="AB830" t="s">
        <v>16207</v>
      </c>
      <c r="AC830" t="s">
        <v>16208</v>
      </c>
      <c r="AD830" t="s">
        <v>16209</v>
      </c>
      <c r="AE830" t="s">
        <v>16210</v>
      </c>
      <c r="AF830" t="s">
        <v>74</v>
      </c>
      <c r="AG830">
        <v>129</v>
      </c>
      <c r="AH830">
        <v>20</v>
      </c>
      <c r="AI830">
        <v>21</v>
      </c>
      <c r="AJ830">
        <v>6</v>
      </c>
      <c r="AK830">
        <v>26</v>
      </c>
      <c r="AL830" t="s">
        <v>917</v>
      </c>
      <c r="AM830" t="s">
        <v>390</v>
      </c>
      <c r="AN830" t="s">
        <v>918</v>
      </c>
      <c r="AO830" t="s">
        <v>74</v>
      </c>
      <c r="AP830" t="s">
        <v>4750</v>
      </c>
      <c r="AQ830" t="s">
        <v>74</v>
      </c>
      <c r="AR830" t="s">
        <v>4751</v>
      </c>
      <c r="AS830" t="s">
        <v>4752</v>
      </c>
      <c r="AT830" t="s">
        <v>1091</v>
      </c>
      <c r="AU830">
        <v>2021</v>
      </c>
      <c r="AV830">
        <v>22</v>
      </c>
      <c r="AW830">
        <v>2</v>
      </c>
      <c r="AX830" t="s">
        <v>74</v>
      </c>
      <c r="AY830" t="s">
        <v>74</v>
      </c>
      <c r="AZ830" t="s">
        <v>74</v>
      </c>
      <c r="BA830" t="s">
        <v>74</v>
      </c>
      <c r="BB830" t="s">
        <v>74</v>
      </c>
      <c r="BC830" t="s">
        <v>74</v>
      </c>
      <c r="BD830" t="s">
        <v>16211</v>
      </c>
      <c r="BE830" t="s">
        <v>16212</v>
      </c>
      <c r="BF830" t="str">
        <f>HYPERLINK("http://dx.doi.org/10.1029/2020GC009428","http://dx.doi.org/10.1029/2020GC009428")</f>
        <v>http://dx.doi.org/10.1029/2020GC009428</v>
      </c>
      <c r="BG830" t="s">
        <v>74</v>
      </c>
      <c r="BH830" t="s">
        <v>74</v>
      </c>
      <c r="BI830">
        <v>22</v>
      </c>
      <c r="BJ830" t="s">
        <v>1066</v>
      </c>
      <c r="BK830" t="s">
        <v>101</v>
      </c>
      <c r="BL830" t="s">
        <v>1066</v>
      </c>
      <c r="BM830" t="s">
        <v>16195</v>
      </c>
      <c r="BN830" t="s">
        <v>74</v>
      </c>
      <c r="BO830" t="s">
        <v>14788</v>
      </c>
      <c r="BP830" t="s">
        <v>74</v>
      </c>
      <c r="BQ830" t="s">
        <v>74</v>
      </c>
      <c r="BR830" t="s">
        <v>104</v>
      </c>
      <c r="BS830" t="s">
        <v>16213</v>
      </c>
      <c r="BT830" t="str">
        <f>HYPERLINK("https%3A%2F%2Fwww.webofscience.com%2Fwos%2Fwoscc%2Ffull-record%2FWOS:000631923900007","View Full Record in Web of Science")</f>
        <v>View Full Record in Web of Science</v>
      </c>
    </row>
    <row r="831" spans="1:72" x14ac:dyDescent="0.15">
      <c r="A831" t="s">
        <v>72</v>
      </c>
      <c r="B831" t="s">
        <v>16214</v>
      </c>
      <c r="C831" t="s">
        <v>74</v>
      </c>
      <c r="D831" t="s">
        <v>74</v>
      </c>
      <c r="E831" t="s">
        <v>74</v>
      </c>
      <c r="F831" t="s">
        <v>16215</v>
      </c>
      <c r="G831" t="s">
        <v>74</v>
      </c>
      <c r="H831" t="s">
        <v>74</v>
      </c>
      <c r="I831" t="s">
        <v>16216</v>
      </c>
      <c r="J831" t="s">
        <v>16217</v>
      </c>
      <c r="K831" t="s">
        <v>74</v>
      </c>
      <c r="L831" t="s">
        <v>74</v>
      </c>
      <c r="M831" t="s">
        <v>78</v>
      </c>
      <c r="N831" t="s">
        <v>79</v>
      </c>
      <c r="O831" t="s">
        <v>74</v>
      </c>
      <c r="P831" t="s">
        <v>74</v>
      </c>
      <c r="Q831" t="s">
        <v>74</v>
      </c>
      <c r="R831" t="s">
        <v>74</v>
      </c>
      <c r="S831" t="s">
        <v>74</v>
      </c>
      <c r="T831" t="s">
        <v>74</v>
      </c>
      <c r="U831" t="s">
        <v>16218</v>
      </c>
      <c r="V831" t="s">
        <v>16219</v>
      </c>
      <c r="W831" t="s">
        <v>16220</v>
      </c>
      <c r="X831" t="s">
        <v>16221</v>
      </c>
      <c r="Y831" t="s">
        <v>16222</v>
      </c>
      <c r="Z831" t="s">
        <v>16223</v>
      </c>
      <c r="AA831" t="s">
        <v>74</v>
      </c>
      <c r="AB831" t="s">
        <v>16224</v>
      </c>
      <c r="AC831" t="s">
        <v>13350</v>
      </c>
      <c r="AD831" t="s">
        <v>13351</v>
      </c>
      <c r="AE831" t="s">
        <v>16225</v>
      </c>
      <c r="AF831" t="s">
        <v>74</v>
      </c>
      <c r="AG831">
        <v>96</v>
      </c>
      <c r="AH831">
        <v>11</v>
      </c>
      <c r="AI831">
        <v>11</v>
      </c>
      <c r="AJ831">
        <v>1</v>
      </c>
      <c r="AK831">
        <v>19</v>
      </c>
      <c r="AL831" t="s">
        <v>7484</v>
      </c>
      <c r="AM831" t="s">
        <v>1482</v>
      </c>
      <c r="AN831" t="s">
        <v>7485</v>
      </c>
      <c r="AO831" t="s">
        <v>16226</v>
      </c>
      <c r="AP831" t="s">
        <v>16227</v>
      </c>
      <c r="AQ831" t="s">
        <v>74</v>
      </c>
      <c r="AR831" t="s">
        <v>16228</v>
      </c>
      <c r="AS831" t="s">
        <v>16229</v>
      </c>
      <c r="AT831" t="s">
        <v>15943</v>
      </c>
      <c r="AU831">
        <v>2021</v>
      </c>
      <c r="AV831">
        <v>23</v>
      </c>
      <c r="AW831">
        <v>2</v>
      </c>
      <c r="AX831" t="s">
        <v>74</v>
      </c>
      <c r="AY831" t="s">
        <v>74</v>
      </c>
      <c r="AZ831" t="s">
        <v>74</v>
      </c>
      <c r="BA831" t="s">
        <v>74</v>
      </c>
      <c r="BB831">
        <v>323</v>
      </c>
      <c r="BC831">
        <v>334</v>
      </c>
      <c r="BD831" t="s">
        <v>74</v>
      </c>
      <c r="BE831" t="s">
        <v>16230</v>
      </c>
      <c r="BF831" t="str">
        <f>HYPERLINK("http://dx.doi.org/10.1039/d0em00398k","http://dx.doi.org/10.1039/d0em00398k")</f>
        <v>http://dx.doi.org/10.1039/d0em00398k</v>
      </c>
      <c r="BG831" t="s">
        <v>74</v>
      </c>
      <c r="BH831" t="s">
        <v>74</v>
      </c>
      <c r="BI831">
        <v>12</v>
      </c>
      <c r="BJ831" t="s">
        <v>660</v>
      </c>
      <c r="BK831" t="s">
        <v>101</v>
      </c>
      <c r="BL831" t="s">
        <v>661</v>
      </c>
      <c r="BM831" t="s">
        <v>16231</v>
      </c>
      <c r="BN831">
        <v>33464270</v>
      </c>
      <c r="BO831" t="s">
        <v>74</v>
      </c>
      <c r="BP831" t="s">
        <v>74</v>
      </c>
      <c r="BQ831" t="s">
        <v>74</v>
      </c>
      <c r="BR831" t="s">
        <v>104</v>
      </c>
      <c r="BS831" t="s">
        <v>16232</v>
      </c>
      <c r="BT831" t="str">
        <f>HYPERLINK("https%3A%2F%2Fwww.webofscience.com%2Fwos%2Fwoscc%2Ffull-record%2FWOS:000625246400008","View Full Record in Web of Science")</f>
        <v>View Full Record in Web of Science</v>
      </c>
    </row>
    <row r="832" spans="1:72" x14ac:dyDescent="0.15">
      <c r="A832" t="s">
        <v>72</v>
      </c>
      <c r="B832" t="s">
        <v>16233</v>
      </c>
      <c r="C832" t="s">
        <v>74</v>
      </c>
      <c r="D832" t="s">
        <v>74</v>
      </c>
      <c r="E832" t="s">
        <v>74</v>
      </c>
      <c r="F832" t="s">
        <v>16234</v>
      </c>
      <c r="G832" t="s">
        <v>74</v>
      </c>
      <c r="H832" t="s">
        <v>74</v>
      </c>
      <c r="I832" t="s">
        <v>16235</v>
      </c>
      <c r="J832" t="s">
        <v>4944</v>
      </c>
      <c r="K832" t="s">
        <v>74</v>
      </c>
      <c r="L832" t="s">
        <v>74</v>
      </c>
      <c r="M832" t="s">
        <v>78</v>
      </c>
      <c r="N832" t="s">
        <v>79</v>
      </c>
      <c r="O832" t="s">
        <v>74</v>
      </c>
      <c r="P832" t="s">
        <v>74</v>
      </c>
      <c r="Q832" t="s">
        <v>74</v>
      </c>
      <c r="R832" t="s">
        <v>74</v>
      </c>
      <c r="S832" t="s">
        <v>74</v>
      </c>
      <c r="T832" t="s">
        <v>16236</v>
      </c>
      <c r="U832" t="s">
        <v>16237</v>
      </c>
      <c r="V832" t="s">
        <v>16238</v>
      </c>
      <c r="W832" t="s">
        <v>16239</v>
      </c>
      <c r="X832" t="s">
        <v>16240</v>
      </c>
      <c r="Y832" t="s">
        <v>16241</v>
      </c>
      <c r="Z832" t="s">
        <v>16242</v>
      </c>
      <c r="AA832" t="s">
        <v>16243</v>
      </c>
      <c r="AB832" t="s">
        <v>16244</v>
      </c>
      <c r="AC832" t="s">
        <v>16245</v>
      </c>
      <c r="AD832" t="s">
        <v>1677</v>
      </c>
      <c r="AE832" t="s">
        <v>16246</v>
      </c>
      <c r="AF832" t="s">
        <v>74</v>
      </c>
      <c r="AG832">
        <v>84</v>
      </c>
      <c r="AH832">
        <v>5</v>
      </c>
      <c r="AI832">
        <v>7</v>
      </c>
      <c r="AJ832">
        <v>1</v>
      </c>
      <c r="AK832">
        <v>16</v>
      </c>
      <c r="AL832" t="s">
        <v>917</v>
      </c>
      <c r="AM832" t="s">
        <v>390</v>
      </c>
      <c r="AN832" t="s">
        <v>918</v>
      </c>
      <c r="AO832" t="s">
        <v>4957</v>
      </c>
      <c r="AP832" t="s">
        <v>4958</v>
      </c>
      <c r="AQ832" t="s">
        <v>74</v>
      </c>
      <c r="AR832" t="s">
        <v>4959</v>
      </c>
      <c r="AS832" t="s">
        <v>4960</v>
      </c>
      <c r="AT832" t="s">
        <v>1091</v>
      </c>
      <c r="AU832">
        <v>2021</v>
      </c>
      <c r="AV832">
        <v>126</v>
      </c>
      <c r="AW832">
        <v>2</v>
      </c>
      <c r="AX832" t="s">
        <v>74</v>
      </c>
      <c r="AY832" t="s">
        <v>74</v>
      </c>
      <c r="AZ832" t="s">
        <v>74</v>
      </c>
      <c r="BA832" t="s">
        <v>74</v>
      </c>
      <c r="BB832" t="s">
        <v>74</v>
      </c>
      <c r="BC832" t="s">
        <v>74</v>
      </c>
      <c r="BD832" t="s">
        <v>16247</v>
      </c>
      <c r="BE832" t="s">
        <v>16248</v>
      </c>
      <c r="BF832" t="str">
        <f>HYPERLINK("http://dx.doi.org/10.1029/2020JG006097","http://dx.doi.org/10.1029/2020JG006097")</f>
        <v>http://dx.doi.org/10.1029/2020JG006097</v>
      </c>
      <c r="BG832" t="s">
        <v>74</v>
      </c>
      <c r="BH832" t="s">
        <v>74</v>
      </c>
      <c r="BI832">
        <v>17</v>
      </c>
      <c r="BJ832" t="s">
        <v>4963</v>
      </c>
      <c r="BK832" t="s">
        <v>101</v>
      </c>
      <c r="BL832" t="s">
        <v>1278</v>
      </c>
      <c r="BM832" t="s">
        <v>16249</v>
      </c>
      <c r="BN832" t="s">
        <v>74</v>
      </c>
      <c r="BO832" t="s">
        <v>74</v>
      </c>
      <c r="BP832" t="s">
        <v>74</v>
      </c>
      <c r="BQ832" t="s">
        <v>74</v>
      </c>
      <c r="BR832" t="s">
        <v>104</v>
      </c>
      <c r="BS832" t="s">
        <v>16250</v>
      </c>
      <c r="BT832" t="str">
        <f>HYPERLINK("https%3A%2F%2Fwww.webofscience.com%2Fwos%2Fwoscc%2Ffull-record%2FWOS:000624413700016","View Full Record in Web of Science")</f>
        <v>View Full Record in Web of Science</v>
      </c>
    </row>
    <row r="833" spans="1:72" x14ac:dyDescent="0.15">
      <c r="A833" t="s">
        <v>72</v>
      </c>
      <c r="B833" t="s">
        <v>16251</v>
      </c>
      <c r="C833" t="s">
        <v>74</v>
      </c>
      <c r="D833" t="s">
        <v>74</v>
      </c>
      <c r="E833" t="s">
        <v>74</v>
      </c>
      <c r="F833" t="s">
        <v>16252</v>
      </c>
      <c r="G833" t="s">
        <v>74</v>
      </c>
      <c r="H833" t="s">
        <v>74</v>
      </c>
      <c r="I833" t="s">
        <v>16253</v>
      </c>
      <c r="J833" t="s">
        <v>4969</v>
      </c>
      <c r="K833" t="s">
        <v>74</v>
      </c>
      <c r="L833" t="s">
        <v>74</v>
      </c>
      <c r="M833" t="s">
        <v>78</v>
      </c>
      <c r="N833" t="s">
        <v>79</v>
      </c>
      <c r="O833" t="s">
        <v>74</v>
      </c>
      <c r="P833" t="s">
        <v>74</v>
      </c>
      <c r="Q833" t="s">
        <v>74</v>
      </c>
      <c r="R833" t="s">
        <v>74</v>
      </c>
      <c r="S833" t="s">
        <v>74</v>
      </c>
      <c r="T833" t="s">
        <v>16254</v>
      </c>
      <c r="U833" t="s">
        <v>16255</v>
      </c>
      <c r="V833" t="s">
        <v>16256</v>
      </c>
      <c r="W833" t="s">
        <v>16257</v>
      </c>
      <c r="X833" t="s">
        <v>16258</v>
      </c>
      <c r="Y833" t="s">
        <v>16259</v>
      </c>
      <c r="Z833" t="s">
        <v>16260</v>
      </c>
      <c r="AA833" t="s">
        <v>16261</v>
      </c>
      <c r="AB833" t="s">
        <v>16262</v>
      </c>
      <c r="AC833" t="s">
        <v>16263</v>
      </c>
      <c r="AD833" t="s">
        <v>16264</v>
      </c>
      <c r="AE833" t="s">
        <v>16265</v>
      </c>
      <c r="AF833" t="s">
        <v>74</v>
      </c>
      <c r="AG833">
        <v>69</v>
      </c>
      <c r="AH833">
        <v>21</v>
      </c>
      <c r="AI833">
        <v>22</v>
      </c>
      <c r="AJ833">
        <v>0</v>
      </c>
      <c r="AK833">
        <v>6</v>
      </c>
      <c r="AL833" t="s">
        <v>917</v>
      </c>
      <c r="AM833" t="s">
        <v>390</v>
      </c>
      <c r="AN833" t="s">
        <v>918</v>
      </c>
      <c r="AO833" t="s">
        <v>4982</v>
      </c>
      <c r="AP833" t="s">
        <v>4983</v>
      </c>
      <c r="AQ833" t="s">
        <v>74</v>
      </c>
      <c r="AR833" t="s">
        <v>4984</v>
      </c>
      <c r="AS833" t="s">
        <v>4985</v>
      </c>
      <c r="AT833" t="s">
        <v>1091</v>
      </c>
      <c r="AU833">
        <v>2021</v>
      </c>
      <c r="AV833">
        <v>126</v>
      </c>
      <c r="AW833">
        <v>2</v>
      </c>
      <c r="AX833" t="s">
        <v>74</v>
      </c>
      <c r="AY833" t="s">
        <v>74</v>
      </c>
      <c r="AZ833" t="s">
        <v>74</v>
      </c>
      <c r="BA833" t="s">
        <v>74</v>
      </c>
      <c r="BB833" t="s">
        <v>74</v>
      </c>
      <c r="BC833" t="s">
        <v>74</v>
      </c>
      <c r="BD833" t="s">
        <v>16266</v>
      </c>
      <c r="BE833" t="s">
        <v>16267</v>
      </c>
      <c r="BF833" t="str">
        <f>HYPERLINK("http://dx.doi.org/10.1029/2020JC016550","http://dx.doi.org/10.1029/2020JC016550")</f>
        <v>http://dx.doi.org/10.1029/2020JC016550</v>
      </c>
      <c r="BG833" t="s">
        <v>74</v>
      </c>
      <c r="BH833" t="s">
        <v>74</v>
      </c>
      <c r="BI833">
        <v>22</v>
      </c>
      <c r="BJ833" t="s">
        <v>369</v>
      </c>
      <c r="BK833" t="s">
        <v>101</v>
      </c>
      <c r="BL833" t="s">
        <v>369</v>
      </c>
      <c r="BM833" t="s">
        <v>16268</v>
      </c>
      <c r="BN833" t="s">
        <v>74</v>
      </c>
      <c r="BO833" t="s">
        <v>2543</v>
      </c>
      <c r="BP833" t="s">
        <v>74</v>
      </c>
      <c r="BQ833" t="s">
        <v>74</v>
      </c>
      <c r="BR833" t="s">
        <v>104</v>
      </c>
      <c r="BS833" t="s">
        <v>16269</v>
      </c>
      <c r="BT833" t="str">
        <f>HYPERLINK("https%3A%2F%2Fwww.webofscience.com%2Fwos%2Fwoscc%2Ffull-record%2FWOS:000624429800016","View Full Record in Web of Science")</f>
        <v>View Full Record in Web of Science</v>
      </c>
    </row>
    <row r="834" spans="1:72" x14ac:dyDescent="0.15">
      <c r="A834" t="s">
        <v>72</v>
      </c>
      <c r="B834" t="s">
        <v>16270</v>
      </c>
      <c r="C834" t="s">
        <v>74</v>
      </c>
      <c r="D834" t="s">
        <v>74</v>
      </c>
      <c r="E834" t="s">
        <v>74</v>
      </c>
      <c r="F834" t="s">
        <v>16271</v>
      </c>
      <c r="G834" t="s">
        <v>74</v>
      </c>
      <c r="H834" t="s">
        <v>74</v>
      </c>
      <c r="I834" t="s">
        <v>16272</v>
      </c>
      <c r="J834" t="s">
        <v>4969</v>
      </c>
      <c r="K834" t="s">
        <v>74</v>
      </c>
      <c r="L834" t="s">
        <v>74</v>
      </c>
      <c r="M834" t="s">
        <v>78</v>
      </c>
      <c r="N834" t="s">
        <v>79</v>
      </c>
      <c r="O834" t="s">
        <v>74</v>
      </c>
      <c r="P834" t="s">
        <v>74</v>
      </c>
      <c r="Q834" t="s">
        <v>74</v>
      </c>
      <c r="R834" t="s">
        <v>74</v>
      </c>
      <c r="S834" t="s">
        <v>74</v>
      </c>
      <c r="T834" t="s">
        <v>16273</v>
      </c>
      <c r="U834" t="s">
        <v>16274</v>
      </c>
      <c r="V834" t="s">
        <v>16275</v>
      </c>
      <c r="W834" t="s">
        <v>16276</v>
      </c>
      <c r="X834" t="s">
        <v>16277</v>
      </c>
      <c r="Y834" t="s">
        <v>16278</v>
      </c>
      <c r="Z834" t="s">
        <v>16279</v>
      </c>
      <c r="AA834" t="s">
        <v>16280</v>
      </c>
      <c r="AB834" t="s">
        <v>16281</v>
      </c>
      <c r="AC834" t="s">
        <v>16282</v>
      </c>
      <c r="AD834" t="s">
        <v>16283</v>
      </c>
      <c r="AE834" t="s">
        <v>16284</v>
      </c>
      <c r="AF834" t="s">
        <v>74</v>
      </c>
      <c r="AG834">
        <v>53</v>
      </c>
      <c r="AH834">
        <v>12</v>
      </c>
      <c r="AI834">
        <v>12</v>
      </c>
      <c r="AJ834">
        <v>7</v>
      </c>
      <c r="AK834">
        <v>19</v>
      </c>
      <c r="AL834" t="s">
        <v>917</v>
      </c>
      <c r="AM834" t="s">
        <v>390</v>
      </c>
      <c r="AN834" t="s">
        <v>918</v>
      </c>
      <c r="AO834" t="s">
        <v>4982</v>
      </c>
      <c r="AP834" t="s">
        <v>4983</v>
      </c>
      <c r="AQ834" t="s">
        <v>74</v>
      </c>
      <c r="AR834" t="s">
        <v>4984</v>
      </c>
      <c r="AS834" t="s">
        <v>4985</v>
      </c>
      <c r="AT834" t="s">
        <v>1091</v>
      </c>
      <c r="AU834">
        <v>2021</v>
      </c>
      <c r="AV834">
        <v>126</v>
      </c>
      <c r="AW834">
        <v>2</v>
      </c>
      <c r="AX834" t="s">
        <v>74</v>
      </c>
      <c r="AY834" t="s">
        <v>74</v>
      </c>
      <c r="AZ834" t="s">
        <v>74</v>
      </c>
      <c r="BA834" t="s">
        <v>74</v>
      </c>
      <c r="BB834" t="s">
        <v>74</v>
      </c>
      <c r="BC834" t="s">
        <v>74</v>
      </c>
      <c r="BD834" t="s">
        <v>16285</v>
      </c>
      <c r="BE834" t="s">
        <v>16286</v>
      </c>
      <c r="BF834" t="str">
        <f>HYPERLINK("http://dx.doi.org/10.1029/2020JC016265","http://dx.doi.org/10.1029/2020JC016265")</f>
        <v>http://dx.doi.org/10.1029/2020JC016265</v>
      </c>
      <c r="BG834" t="s">
        <v>74</v>
      </c>
      <c r="BH834" t="s">
        <v>74</v>
      </c>
      <c r="BI834">
        <v>23</v>
      </c>
      <c r="BJ834" t="s">
        <v>369</v>
      </c>
      <c r="BK834" t="s">
        <v>101</v>
      </c>
      <c r="BL834" t="s">
        <v>369</v>
      </c>
      <c r="BM834" t="s">
        <v>16268</v>
      </c>
      <c r="BN834" t="s">
        <v>74</v>
      </c>
      <c r="BO834" t="s">
        <v>74</v>
      </c>
      <c r="BP834" t="s">
        <v>74</v>
      </c>
      <c r="BQ834" t="s">
        <v>74</v>
      </c>
      <c r="BR834" t="s">
        <v>104</v>
      </c>
      <c r="BS834" t="s">
        <v>16287</v>
      </c>
      <c r="BT834" t="str">
        <f>HYPERLINK("https%3A%2F%2Fwww.webofscience.com%2Fwos%2Fwoscc%2Ffull-record%2FWOS:000624429800037","View Full Record in Web of Science")</f>
        <v>View Full Record in Web of Science</v>
      </c>
    </row>
    <row r="835" spans="1:72" x14ac:dyDescent="0.15">
      <c r="A835" t="s">
        <v>72</v>
      </c>
      <c r="B835" t="s">
        <v>16288</v>
      </c>
      <c r="C835" t="s">
        <v>74</v>
      </c>
      <c r="D835" t="s">
        <v>74</v>
      </c>
      <c r="E835" t="s">
        <v>74</v>
      </c>
      <c r="F835" t="s">
        <v>16289</v>
      </c>
      <c r="G835" t="s">
        <v>74</v>
      </c>
      <c r="H835" t="s">
        <v>74</v>
      </c>
      <c r="I835" t="s">
        <v>16290</v>
      </c>
      <c r="J835" t="s">
        <v>4969</v>
      </c>
      <c r="K835" t="s">
        <v>74</v>
      </c>
      <c r="L835" t="s">
        <v>74</v>
      </c>
      <c r="M835" t="s">
        <v>78</v>
      </c>
      <c r="N835" t="s">
        <v>79</v>
      </c>
      <c r="O835" t="s">
        <v>74</v>
      </c>
      <c r="P835" t="s">
        <v>74</v>
      </c>
      <c r="Q835" t="s">
        <v>74</v>
      </c>
      <c r="R835" t="s">
        <v>74</v>
      </c>
      <c r="S835" t="s">
        <v>74</v>
      </c>
      <c r="T835" t="s">
        <v>74</v>
      </c>
      <c r="U835" t="s">
        <v>16291</v>
      </c>
      <c r="V835" t="s">
        <v>16292</v>
      </c>
      <c r="W835" t="s">
        <v>16293</v>
      </c>
      <c r="X835" t="s">
        <v>16294</v>
      </c>
      <c r="Y835" t="s">
        <v>16295</v>
      </c>
      <c r="Z835" t="s">
        <v>16296</v>
      </c>
      <c r="AA835" t="s">
        <v>16297</v>
      </c>
      <c r="AB835" t="s">
        <v>16298</v>
      </c>
      <c r="AC835" t="s">
        <v>16299</v>
      </c>
      <c r="AD835" t="s">
        <v>16300</v>
      </c>
      <c r="AE835" t="s">
        <v>16301</v>
      </c>
      <c r="AF835" t="s">
        <v>74</v>
      </c>
      <c r="AG835">
        <v>106</v>
      </c>
      <c r="AH835">
        <v>10</v>
      </c>
      <c r="AI835">
        <v>10</v>
      </c>
      <c r="AJ835">
        <v>1</v>
      </c>
      <c r="AK835">
        <v>8</v>
      </c>
      <c r="AL835" t="s">
        <v>917</v>
      </c>
      <c r="AM835" t="s">
        <v>390</v>
      </c>
      <c r="AN835" t="s">
        <v>918</v>
      </c>
      <c r="AO835" t="s">
        <v>4982</v>
      </c>
      <c r="AP835" t="s">
        <v>4983</v>
      </c>
      <c r="AQ835" t="s">
        <v>74</v>
      </c>
      <c r="AR835" t="s">
        <v>4984</v>
      </c>
      <c r="AS835" t="s">
        <v>4985</v>
      </c>
      <c r="AT835" t="s">
        <v>1091</v>
      </c>
      <c r="AU835">
        <v>2021</v>
      </c>
      <c r="AV835">
        <v>126</v>
      </c>
      <c r="AW835">
        <v>2</v>
      </c>
      <c r="AX835" t="s">
        <v>74</v>
      </c>
      <c r="AY835" t="s">
        <v>74</v>
      </c>
      <c r="AZ835" t="s">
        <v>74</v>
      </c>
      <c r="BA835" t="s">
        <v>74</v>
      </c>
      <c r="BB835" t="s">
        <v>74</v>
      </c>
      <c r="BC835" t="s">
        <v>74</v>
      </c>
      <c r="BD835" t="s">
        <v>16302</v>
      </c>
      <c r="BE835" t="s">
        <v>16303</v>
      </c>
      <c r="BF835" t="str">
        <f>HYPERLINK("http://dx.doi.org/10.1029/2020JC016962","http://dx.doi.org/10.1029/2020JC016962")</f>
        <v>http://dx.doi.org/10.1029/2020JC016962</v>
      </c>
      <c r="BG835" t="s">
        <v>74</v>
      </c>
      <c r="BH835" t="s">
        <v>74</v>
      </c>
      <c r="BI835">
        <v>25</v>
      </c>
      <c r="BJ835" t="s">
        <v>369</v>
      </c>
      <c r="BK835" t="s">
        <v>101</v>
      </c>
      <c r="BL835" t="s">
        <v>369</v>
      </c>
      <c r="BM835" t="s">
        <v>16268</v>
      </c>
      <c r="BN835" t="s">
        <v>74</v>
      </c>
      <c r="BO835" t="s">
        <v>4113</v>
      </c>
      <c r="BP835" t="s">
        <v>74</v>
      </c>
      <c r="BQ835" t="s">
        <v>74</v>
      </c>
      <c r="BR835" t="s">
        <v>104</v>
      </c>
      <c r="BS835" t="s">
        <v>16304</v>
      </c>
      <c r="BT835" t="str">
        <f>HYPERLINK("https%3A%2F%2Fwww.webofscience.com%2Fwos%2Fwoscc%2Ffull-record%2FWOS:000624429800057","View Full Record in Web of Science")</f>
        <v>View Full Record in Web of Science</v>
      </c>
    </row>
    <row r="836" spans="1:72" x14ac:dyDescent="0.15">
      <c r="A836" t="s">
        <v>72</v>
      </c>
      <c r="B836" t="s">
        <v>16305</v>
      </c>
      <c r="C836" t="s">
        <v>74</v>
      </c>
      <c r="D836" t="s">
        <v>74</v>
      </c>
      <c r="E836" t="s">
        <v>74</v>
      </c>
      <c r="F836" t="s">
        <v>16306</v>
      </c>
      <c r="G836" t="s">
        <v>74</v>
      </c>
      <c r="H836" t="s">
        <v>74</v>
      </c>
      <c r="I836" t="s">
        <v>16307</v>
      </c>
      <c r="J836" t="s">
        <v>4969</v>
      </c>
      <c r="K836" t="s">
        <v>74</v>
      </c>
      <c r="L836" t="s">
        <v>74</v>
      </c>
      <c r="M836" t="s">
        <v>78</v>
      </c>
      <c r="N836" t="s">
        <v>79</v>
      </c>
      <c r="O836" t="s">
        <v>74</v>
      </c>
      <c r="P836" t="s">
        <v>74</v>
      </c>
      <c r="Q836" t="s">
        <v>74</v>
      </c>
      <c r="R836" t="s">
        <v>74</v>
      </c>
      <c r="S836" t="s">
        <v>74</v>
      </c>
      <c r="T836" t="s">
        <v>16308</v>
      </c>
      <c r="U836" t="s">
        <v>16309</v>
      </c>
      <c r="V836" t="s">
        <v>16310</v>
      </c>
      <c r="W836" t="s">
        <v>16311</v>
      </c>
      <c r="X836" t="s">
        <v>16312</v>
      </c>
      <c r="Y836" t="s">
        <v>16313</v>
      </c>
      <c r="Z836" t="s">
        <v>16314</v>
      </c>
      <c r="AA836" t="s">
        <v>16315</v>
      </c>
      <c r="AB836" t="s">
        <v>16316</v>
      </c>
      <c r="AC836" t="s">
        <v>16317</v>
      </c>
      <c r="AD836" t="s">
        <v>16317</v>
      </c>
      <c r="AE836" t="s">
        <v>16318</v>
      </c>
      <c r="AF836" t="s">
        <v>74</v>
      </c>
      <c r="AG836">
        <v>54</v>
      </c>
      <c r="AH836">
        <v>46</v>
      </c>
      <c r="AI836">
        <v>48</v>
      </c>
      <c r="AJ836">
        <v>10</v>
      </c>
      <c r="AK836">
        <v>37</v>
      </c>
      <c r="AL836" t="s">
        <v>917</v>
      </c>
      <c r="AM836" t="s">
        <v>390</v>
      </c>
      <c r="AN836" t="s">
        <v>918</v>
      </c>
      <c r="AO836" t="s">
        <v>4982</v>
      </c>
      <c r="AP836" t="s">
        <v>4983</v>
      </c>
      <c r="AQ836" t="s">
        <v>74</v>
      </c>
      <c r="AR836" t="s">
        <v>4984</v>
      </c>
      <c r="AS836" t="s">
        <v>4985</v>
      </c>
      <c r="AT836" t="s">
        <v>1091</v>
      </c>
      <c r="AU836">
        <v>2021</v>
      </c>
      <c r="AV836">
        <v>126</v>
      </c>
      <c r="AW836">
        <v>2</v>
      </c>
      <c r="AX836" t="s">
        <v>74</v>
      </c>
      <c r="AY836" t="s">
        <v>74</v>
      </c>
      <c r="AZ836" t="s">
        <v>74</v>
      </c>
      <c r="BA836" t="s">
        <v>74</v>
      </c>
      <c r="BB836" t="s">
        <v>74</v>
      </c>
      <c r="BC836" t="s">
        <v>74</v>
      </c>
      <c r="BD836" t="s">
        <v>16319</v>
      </c>
      <c r="BE836" t="s">
        <v>16320</v>
      </c>
      <c r="BF836" t="str">
        <f>HYPERLINK("http://dx.doi.org/10.1029/2020JC016708","http://dx.doi.org/10.1029/2020JC016708")</f>
        <v>http://dx.doi.org/10.1029/2020JC016708</v>
      </c>
      <c r="BG836" t="s">
        <v>74</v>
      </c>
      <c r="BH836" t="s">
        <v>74</v>
      </c>
      <c r="BI836">
        <v>17</v>
      </c>
      <c r="BJ836" t="s">
        <v>369</v>
      </c>
      <c r="BK836" t="s">
        <v>101</v>
      </c>
      <c r="BL836" t="s">
        <v>369</v>
      </c>
      <c r="BM836" t="s">
        <v>16268</v>
      </c>
      <c r="BN836" t="s">
        <v>74</v>
      </c>
      <c r="BO836" t="s">
        <v>398</v>
      </c>
      <c r="BP836" t="s">
        <v>74</v>
      </c>
      <c r="BQ836" t="s">
        <v>74</v>
      </c>
      <c r="BR836" t="s">
        <v>104</v>
      </c>
      <c r="BS836" t="s">
        <v>16321</v>
      </c>
      <c r="BT836" t="str">
        <f>HYPERLINK("https%3A%2F%2Fwww.webofscience.com%2Fwos%2Fwoscc%2Ffull-record%2FWOS:000624429800055","View Full Record in Web of Science")</f>
        <v>View Full Record in Web of Science</v>
      </c>
    </row>
    <row r="837" spans="1:72" x14ac:dyDescent="0.15">
      <c r="A837" t="s">
        <v>72</v>
      </c>
      <c r="B837" t="s">
        <v>16322</v>
      </c>
      <c r="C837" t="s">
        <v>74</v>
      </c>
      <c r="D837" t="s">
        <v>74</v>
      </c>
      <c r="E837" t="s">
        <v>74</v>
      </c>
      <c r="F837" t="s">
        <v>16323</v>
      </c>
      <c r="G837" t="s">
        <v>74</v>
      </c>
      <c r="H837" t="s">
        <v>74</v>
      </c>
      <c r="I837" t="s">
        <v>16324</v>
      </c>
      <c r="J837" t="s">
        <v>4969</v>
      </c>
      <c r="K837" t="s">
        <v>74</v>
      </c>
      <c r="L837" t="s">
        <v>74</v>
      </c>
      <c r="M837" t="s">
        <v>78</v>
      </c>
      <c r="N837" t="s">
        <v>79</v>
      </c>
      <c r="O837" t="s">
        <v>74</v>
      </c>
      <c r="P837" t="s">
        <v>74</v>
      </c>
      <c r="Q837" t="s">
        <v>74</v>
      </c>
      <c r="R837" t="s">
        <v>74</v>
      </c>
      <c r="S837" t="s">
        <v>74</v>
      </c>
      <c r="T837" t="s">
        <v>16325</v>
      </c>
      <c r="U837" t="s">
        <v>74</v>
      </c>
      <c r="V837" t="s">
        <v>16326</v>
      </c>
      <c r="W837" t="s">
        <v>16327</v>
      </c>
      <c r="X837" t="s">
        <v>16328</v>
      </c>
      <c r="Y837" t="s">
        <v>16329</v>
      </c>
      <c r="Z837" t="s">
        <v>16330</v>
      </c>
      <c r="AA837" t="s">
        <v>74</v>
      </c>
      <c r="AB837" t="s">
        <v>16331</v>
      </c>
      <c r="AC837" t="s">
        <v>16332</v>
      </c>
      <c r="AD837" t="s">
        <v>16333</v>
      </c>
      <c r="AE837" t="s">
        <v>16334</v>
      </c>
      <c r="AF837" t="s">
        <v>74</v>
      </c>
      <c r="AG837">
        <v>81</v>
      </c>
      <c r="AH837">
        <v>8</v>
      </c>
      <c r="AI837">
        <v>8</v>
      </c>
      <c r="AJ837">
        <v>1</v>
      </c>
      <c r="AK837">
        <v>6</v>
      </c>
      <c r="AL837" t="s">
        <v>917</v>
      </c>
      <c r="AM837" t="s">
        <v>390</v>
      </c>
      <c r="AN837" t="s">
        <v>918</v>
      </c>
      <c r="AO837" t="s">
        <v>4982</v>
      </c>
      <c r="AP837" t="s">
        <v>4983</v>
      </c>
      <c r="AQ837" t="s">
        <v>74</v>
      </c>
      <c r="AR837" t="s">
        <v>4984</v>
      </c>
      <c r="AS837" t="s">
        <v>4985</v>
      </c>
      <c r="AT837" t="s">
        <v>1091</v>
      </c>
      <c r="AU837">
        <v>2021</v>
      </c>
      <c r="AV837">
        <v>126</v>
      </c>
      <c r="AW837">
        <v>2</v>
      </c>
      <c r="AX837" t="s">
        <v>74</v>
      </c>
      <c r="AY837" t="s">
        <v>74</v>
      </c>
      <c r="AZ837" t="s">
        <v>74</v>
      </c>
      <c r="BA837" t="s">
        <v>74</v>
      </c>
      <c r="BB837" t="s">
        <v>74</v>
      </c>
      <c r="BC837" t="s">
        <v>74</v>
      </c>
      <c r="BD837" t="s">
        <v>16335</v>
      </c>
      <c r="BE837" t="s">
        <v>16336</v>
      </c>
      <c r="BF837" t="str">
        <f>HYPERLINK("http://dx.doi.org/10.1029/2020JC016636","http://dx.doi.org/10.1029/2020JC016636")</f>
        <v>http://dx.doi.org/10.1029/2020JC016636</v>
      </c>
      <c r="BG837" t="s">
        <v>74</v>
      </c>
      <c r="BH837" t="s">
        <v>74</v>
      </c>
      <c r="BI837">
        <v>28</v>
      </c>
      <c r="BJ837" t="s">
        <v>369</v>
      </c>
      <c r="BK837" t="s">
        <v>101</v>
      </c>
      <c r="BL837" t="s">
        <v>369</v>
      </c>
      <c r="BM837" t="s">
        <v>16268</v>
      </c>
      <c r="BN837" t="s">
        <v>74</v>
      </c>
      <c r="BO837" t="s">
        <v>16337</v>
      </c>
      <c r="BP837" t="s">
        <v>74</v>
      </c>
      <c r="BQ837" t="s">
        <v>74</v>
      </c>
      <c r="BR837" t="s">
        <v>104</v>
      </c>
      <c r="BS837" t="s">
        <v>16338</v>
      </c>
      <c r="BT837" t="str">
        <f>HYPERLINK("https%3A%2F%2Fwww.webofscience.com%2Fwos%2Fwoscc%2Ffull-record%2FWOS:000624429800018","View Full Record in Web of Science")</f>
        <v>View Full Record in Web of Science</v>
      </c>
    </row>
    <row r="838" spans="1:72" x14ac:dyDescent="0.15">
      <c r="A838" t="s">
        <v>72</v>
      </c>
      <c r="B838" t="s">
        <v>16339</v>
      </c>
      <c r="C838" t="s">
        <v>74</v>
      </c>
      <c r="D838" t="s">
        <v>74</v>
      </c>
      <c r="E838" t="s">
        <v>74</v>
      </c>
      <c r="F838" t="s">
        <v>16340</v>
      </c>
      <c r="G838" t="s">
        <v>74</v>
      </c>
      <c r="H838" t="s">
        <v>74</v>
      </c>
      <c r="I838" t="s">
        <v>16341</v>
      </c>
      <c r="J838" t="s">
        <v>16342</v>
      </c>
      <c r="K838" t="s">
        <v>74</v>
      </c>
      <c r="L838" t="s">
        <v>74</v>
      </c>
      <c r="M838" t="s">
        <v>78</v>
      </c>
      <c r="N838" t="s">
        <v>79</v>
      </c>
      <c r="O838" t="s">
        <v>74</v>
      </c>
      <c r="P838" t="s">
        <v>74</v>
      </c>
      <c r="Q838" t="s">
        <v>74</v>
      </c>
      <c r="R838" t="s">
        <v>74</v>
      </c>
      <c r="S838" t="s">
        <v>74</v>
      </c>
      <c r="T838" t="s">
        <v>16343</v>
      </c>
      <c r="U838" t="s">
        <v>16344</v>
      </c>
      <c r="V838" t="s">
        <v>16345</v>
      </c>
      <c r="W838" t="s">
        <v>16346</v>
      </c>
      <c r="X838" t="s">
        <v>16347</v>
      </c>
      <c r="Y838" t="s">
        <v>16348</v>
      </c>
      <c r="Z838" t="s">
        <v>16349</v>
      </c>
      <c r="AA838" t="s">
        <v>16350</v>
      </c>
      <c r="AB838" t="s">
        <v>16351</v>
      </c>
      <c r="AC838" t="s">
        <v>16352</v>
      </c>
      <c r="AD838" t="s">
        <v>16353</v>
      </c>
      <c r="AE838" t="s">
        <v>16354</v>
      </c>
      <c r="AF838" t="s">
        <v>74</v>
      </c>
      <c r="AG838">
        <v>44</v>
      </c>
      <c r="AH838">
        <v>8</v>
      </c>
      <c r="AI838">
        <v>8</v>
      </c>
      <c r="AJ838">
        <v>0</v>
      </c>
      <c r="AK838">
        <v>4</v>
      </c>
      <c r="AL838" t="s">
        <v>917</v>
      </c>
      <c r="AM838" t="s">
        <v>390</v>
      </c>
      <c r="AN838" t="s">
        <v>918</v>
      </c>
      <c r="AO838" t="s">
        <v>16355</v>
      </c>
      <c r="AP838" t="s">
        <v>16356</v>
      </c>
      <c r="AQ838" t="s">
        <v>74</v>
      </c>
      <c r="AR838" t="s">
        <v>16357</v>
      </c>
      <c r="AS838" t="s">
        <v>16358</v>
      </c>
      <c r="AT838" t="s">
        <v>1091</v>
      </c>
      <c r="AU838">
        <v>2021</v>
      </c>
      <c r="AV838">
        <v>126</v>
      </c>
      <c r="AW838">
        <v>2</v>
      </c>
      <c r="AX838" t="s">
        <v>74</v>
      </c>
      <c r="AY838" t="s">
        <v>74</v>
      </c>
      <c r="AZ838" t="s">
        <v>74</v>
      </c>
      <c r="BA838" t="s">
        <v>74</v>
      </c>
      <c r="BB838" t="s">
        <v>74</v>
      </c>
      <c r="BC838" t="s">
        <v>74</v>
      </c>
      <c r="BD838" t="s">
        <v>16359</v>
      </c>
      <c r="BE838" t="s">
        <v>16360</v>
      </c>
      <c r="BF838" t="str">
        <f>HYPERLINK("http://dx.doi.org/10.1029/2020JE006624","http://dx.doi.org/10.1029/2020JE006624")</f>
        <v>http://dx.doi.org/10.1029/2020JE006624</v>
      </c>
      <c r="BG838" t="s">
        <v>74</v>
      </c>
      <c r="BH838" t="s">
        <v>74</v>
      </c>
      <c r="BI838">
        <v>20</v>
      </c>
      <c r="BJ838" t="s">
        <v>1066</v>
      </c>
      <c r="BK838" t="s">
        <v>101</v>
      </c>
      <c r="BL838" t="s">
        <v>1066</v>
      </c>
      <c r="BM838" t="s">
        <v>16361</v>
      </c>
      <c r="BN838">
        <v>33777607</v>
      </c>
      <c r="BO838" t="s">
        <v>227</v>
      </c>
      <c r="BP838" t="s">
        <v>74</v>
      </c>
      <c r="BQ838" t="s">
        <v>74</v>
      </c>
      <c r="BR838" t="s">
        <v>104</v>
      </c>
      <c r="BS838" t="s">
        <v>16362</v>
      </c>
      <c r="BT838" t="str">
        <f>HYPERLINK("https%3A%2F%2Fwww.webofscience.com%2Fwos%2Fwoscc%2Ffull-record%2FWOS:000624377600018","View Full Record in Web of Science")</f>
        <v>View Full Record in Web of Science</v>
      </c>
    </row>
    <row r="839" spans="1:72" x14ac:dyDescent="0.15">
      <c r="A839" t="s">
        <v>72</v>
      </c>
      <c r="B839" t="s">
        <v>16363</v>
      </c>
      <c r="C839" t="s">
        <v>74</v>
      </c>
      <c r="D839" t="s">
        <v>74</v>
      </c>
      <c r="E839" t="s">
        <v>74</v>
      </c>
      <c r="F839" t="s">
        <v>16364</v>
      </c>
      <c r="G839" t="s">
        <v>74</v>
      </c>
      <c r="H839" t="s">
        <v>74</v>
      </c>
      <c r="I839" t="s">
        <v>16365</v>
      </c>
      <c r="J839" t="s">
        <v>16366</v>
      </c>
      <c r="K839" t="s">
        <v>74</v>
      </c>
      <c r="L839" t="s">
        <v>74</v>
      </c>
      <c r="M839" t="s">
        <v>78</v>
      </c>
      <c r="N839" t="s">
        <v>79</v>
      </c>
      <c r="O839" t="s">
        <v>74</v>
      </c>
      <c r="P839" t="s">
        <v>74</v>
      </c>
      <c r="Q839" t="s">
        <v>74</v>
      </c>
      <c r="R839" t="s">
        <v>74</v>
      </c>
      <c r="S839" t="s">
        <v>74</v>
      </c>
      <c r="T839" t="s">
        <v>16367</v>
      </c>
      <c r="U839" t="s">
        <v>16368</v>
      </c>
      <c r="V839" t="s">
        <v>16369</v>
      </c>
      <c r="W839" t="s">
        <v>16370</v>
      </c>
      <c r="X839" t="s">
        <v>16371</v>
      </c>
      <c r="Y839" t="s">
        <v>16372</v>
      </c>
      <c r="Z839" t="s">
        <v>16373</v>
      </c>
      <c r="AA839" t="s">
        <v>16374</v>
      </c>
      <c r="AB839" t="s">
        <v>16375</v>
      </c>
      <c r="AC839" t="s">
        <v>16376</v>
      </c>
      <c r="AD839" t="s">
        <v>16377</v>
      </c>
      <c r="AE839" t="s">
        <v>16378</v>
      </c>
      <c r="AF839" t="s">
        <v>74</v>
      </c>
      <c r="AG839">
        <v>45</v>
      </c>
      <c r="AH839">
        <v>8</v>
      </c>
      <c r="AI839">
        <v>9</v>
      </c>
      <c r="AJ839">
        <v>3</v>
      </c>
      <c r="AK839">
        <v>21</v>
      </c>
      <c r="AL839" t="s">
        <v>16379</v>
      </c>
      <c r="AM839" t="s">
        <v>16380</v>
      </c>
      <c r="AN839" t="s">
        <v>16381</v>
      </c>
      <c r="AO839" t="s">
        <v>16382</v>
      </c>
      <c r="AP839" t="s">
        <v>16383</v>
      </c>
      <c r="AQ839" t="s">
        <v>74</v>
      </c>
      <c r="AR839" t="s">
        <v>16366</v>
      </c>
      <c r="AS839" t="s">
        <v>16384</v>
      </c>
      <c r="AT839" t="s">
        <v>1091</v>
      </c>
      <c r="AU839">
        <v>2021</v>
      </c>
      <c r="AV839">
        <v>63</v>
      </c>
      <c r="AW839">
        <v>2</v>
      </c>
      <c r="AX839" t="s">
        <v>74</v>
      </c>
      <c r="AY839" t="s">
        <v>74</v>
      </c>
      <c r="AZ839" t="s">
        <v>74</v>
      </c>
      <c r="BA839" t="s">
        <v>74</v>
      </c>
      <c r="BB839">
        <v>155</v>
      </c>
      <c r="BC839">
        <v>169</v>
      </c>
      <c r="BD839" t="s">
        <v>74</v>
      </c>
      <c r="BE839" t="s">
        <v>16385</v>
      </c>
      <c r="BF839" t="str">
        <f>HYPERLINK("http://dx.doi.org/10.4002/040.063.0201","http://dx.doi.org/10.4002/040.063.0201")</f>
        <v>http://dx.doi.org/10.4002/040.063.0201</v>
      </c>
      <c r="BG839" t="s">
        <v>74</v>
      </c>
      <c r="BH839" t="s">
        <v>74</v>
      </c>
      <c r="BI839">
        <v>15</v>
      </c>
      <c r="BJ839" t="s">
        <v>1229</v>
      </c>
      <c r="BK839" t="s">
        <v>101</v>
      </c>
      <c r="BL839" t="s">
        <v>1229</v>
      </c>
      <c r="BM839" t="s">
        <v>16386</v>
      </c>
      <c r="BN839" t="s">
        <v>74</v>
      </c>
      <c r="BO839" t="s">
        <v>496</v>
      </c>
      <c r="BP839" t="s">
        <v>74</v>
      </c>
      <c r="BQ839" t="s">
        <v>74</v>
      </c>
      <c r="BR839" t="s">
        <v>104</v>
      </c>
      <c r="BS839" t="s">
        <v>16387</v>
      </c>
      <c r="BT839" t="str">
        <f>HYPERLINK("https%3A%2F%2Fwww.webofscience.com%2Fwos%2Fwoscc%2Ffull-record%2FWOS:000624558800001","View Full Record in Web of Science")</f>
        <v>View Full Record in Web of Science</v>
      </c>
    </row>
    <row r="840" spans="1:72" x14ac:dyDescent="0.15">
      <c r="A840" t="s">
        <v>72</v>
      </c>
      <c r="B840" t="s">
        <v>16388</v>
      </c>
      <c r="C840" t="s">
        <v>74</v>
      </c>
      <c r="D840" t="s">
        <v>74</v>
      </c>
      <c r="E840" t="s">
        <v>74</v>
      </c>
      <c r="F840" t="s">
        <v>16389</v>
      </c>
      <c r="G840" t="s">
        <v>74</v>
      </c>
      <c r="H840" t="s">
        <v>74</v>
      </c>
      <c r="I840" t="s">
        <v>16390</v>
      </c>
      <c r="J840" t="s">
        <v>425</v>
      </c>
      <c r="K840" t="s">
        <v>74</v>
      </c>
      <c r="L840" t="s">
        <v>74</v>
      </c>
      <c r="M840" t="s">
        <v>78</v>
      </c>
      <c r="N840" t="s">
        <v>79</v>
      </c>
      <c r="O840" t="s">
        <v>74</v>
      </c>
      <c r="P840" t="s">
        <v>74</v>
      </c>
      <c r="Q840" t="s">
        <v>74</v>
      </c>
      <c r="R840" t="s">
        <v>74</v>
      </c>
      <c r="S840" t="s">
        <v>74</v>
      </c>
      <c r="T840" t="s">
        <v>16391</v>
      </c>
      <c r="U840" t="s">
        <v>16392</v>
      </c>
      <c r="V840" t="s">
        <v>16393</v>
      </c>
      <c r="W840" t="s">
        <v>16394</v>
      </c>
      <c r="X840" t="s">
        <v>16395</v>
      </c>
      <c r="Y840" t="s">
        <v>16396</v>
      </c>
      <c r="Z840" t="s">
        <v>16397</v>
      </c>
      <c r="AA840" t="s">
        <v>16398</v>
      </c>
      <c r="AB840" t="s">
        <v>16399</v>
      </c>
      <c r="AC840" t="s">
        <v>16400</v>
      </c>
      <c r="AD840" t="s">
        <v>16400</v>
      </c>
      <c r="AE840" t="s">
        <v>16401</v>
      </c>
      <c r="AF840" t="s">
        <v>74</v>
      </c>
      <c r="AG840">
        <v>67</v>
      </c>
      <c r="AH840">
        <v>13</v>
      </c>
      <c r="AI840">
        <v>15</v>
      </c>
      <c r="AJ840">
        <v>4</v>
      </c>
      <c r="AK840">
        <v>21</v>
      </c>
      <c r="AL840" t="s">
        <v>335</v>
      </c>
      <c r="AM840" t="s">
        <v>336</v>
      </c>
      <c r="AN840" t="s">
        <v>337</v>
      </c>
      <c r="AO840" t="s">
        <v>74</v>
      </c>
      <c r="AP840" t="s">
        <v>438</v>
      </c>
      <c r="AQ840" t="s">
        <v>74</v>
      </c>
      <c r="AR840" t="s">
        <v>439</v>
      </c>
      <c r="AS840" t="s">
        <v>440</v>
      </c>
      <c r="AT840" t="s">
        <v>1091</v>
      </c>
      <c r="AU840">
        <v>2021</v>
      </c>
      <c r="AV840">
        <v>13</v>
      </c>
      <c r="AW840">
        <v>4</v>
      </c>
      <c r="AX840" t="s">
        <v>74</v>
      </c>
      <c r="AY840" t="s">
        <v>74</v>
      </c>
      <c r="AZ840" t="s">
        <v>74</v>
      </c>
      <c r="BA840" t="s">
        <v>74</v>
      </c>
      <c r="BB840" t="s">
        <v>74</v>
      </c>
      <c r="BC840" t="s">
        <v>74</v>
      </c>
      <c r="BD840">
        <v>799</v>
      </c>
      <c r="BE840" t="s">
        <v>16402</v>
      </c>
      <c r="BF840" t="str">
        <f>HYPERLINK("http://dx.doi.org/10.3390/rs13040799","http://dx.doi.org/10.3390/rs13040799")</f>
        <v>http://dx.doi.org/10.3390/rs13040799</v>
      </c>
      <c r="BG840" t="s">
        <v>74</v>
      </c>
      <c r="BH840" t="s">
        <v>74</v>
      </c>
      <c r="BI840">
        <v>19</v>
      </c>
      <c r="BJ840" t="s">
        <v>442</v>
      </c>
      <c r="BK840" t="s">
        <v>101</v>
      </c>
      <c r="BL840" t="s">
        <v>443</v>
      </c>
      <c r="BM840" t="s">
        <v>16403</v>
      </c>
      <c r="BN840" t="s">
        <v>74</v>
      </c>
      <c r="BO840" t="s">
        <v>558</v>
      </c>
      <c r="BP840" t="s">
        <v>74</v>
      </c>
      <c r="BQ840" t="s">
        <v>74</v>
      </c>
      <c r="BR840" t="s">
        <v>104</v>
      </c>
      <c r="BS840" t="s">
        <v>16404</v>
      </c>
      <c r="BT840" t="str">
        <f>HYPERLINK("https%3A%2F%2Fwww.webofscience.com%2Fwos%2Fwoscc%2Ffull-record%2FWOS:000624429300001","View Full Record in Web of Science")</f>
        <v>View Full Record in Web of Science</v>
      </c>
    </row>
    <row r="841" spans="1:72" x14ac:dyDescent="0.15">
      <c r="A841" t="s">
        <v>72</v>
      </c>
      <c r="B841" t="s">
        <v>16405</v>
      </c>
      <c r="C841" t="s">
        <v>74</v>
      </c>
      <c r="D841" t="s">
        <v>74</v>
      </c>
      <c r="E841" t="s">
        <v>74</v>
      </c>
      <c r="F841" t="s">
        <v>16406</v>
      </c>
      <c r="G841" t="s">
        <v>74</v>
      </c>
      <c r="H841" t="s">
        <v>74</v>
      </c>
      <c r="I841" t="s">
        <v>16407</v>
      </c>
      <c r="J841" t="s">
        <v>11487</v>
      </c>
      <c r="K841" t="s">
        <v>74</v>
      </c>
      <c r="L841" t="s">
        <v>74</v>
      </c>
      <c r="M841" t="s">
        <v>78</v>
      </c>
      <c r="N841" t="s">
        <v>79</v>
      </c>
      <c r="O841" t="s">
        <v>74</v>
      </c>
      <c r="P841" t="s">
        <v>74</v>
      </c>
      <c r="Q841" t="s">
        <v>74</v>
      </c>
      <c r="R841" t="s">
        <v>74</v>
      </c>
      <c r="S841" t="s">
        <v>74</v>
      </c>
      <c r="T841" t="s">
        <v>16408</v>
      </c>
      <c r="U841" t="s">
        <v>74</v>
      </c>
      <c r="V841" t="s">
        <v>16409</v>
      </c>
      <c r="W841" t="s">
        <v>16410</v>
      </c>
      <c r="X841" t="s">
        <v>16411</v>
      </c>
      <c r="Y841" t="s">
        <v>16412</v>
      </c>
      <c r="Z841" t="s">
        <v>16413</v>
      </c>
      <c r="AA841" t="s">
        <v>16414</v>
      </c>
      <c r="AB841" t="s">
        <v>16415</v>
      </c>
      <c r="AC841" t="s">
        <v>74</v>
      </c>
      <c r="AD841" t="s">
        <v>74</v>
      </c>
      <c r="AE841" t="s">
        <v>74</v>
      </c>
      <c r="AF841" t="s">
        <v>74</v>
      </c>
      <c r="AG841">
        <v>28</v>
      </c>
      <c r="AH841">
        <v>4</v>
      </c>
      <c r="AI841">
        <v>5</v>
      </c>
      <c r="AJ841">
        <v>2</v>
      </c>
      <c r="AK841">
        <v>16</v>
      </c>
      <c r="AL841" t="s">
        <v>335</v>
      </c>
      <c r="AM841" t="s">
        <v>336</v>
      </c>
      <c r="AN841" t="s">
        <v>337</v>
      </c>
      <c r="AO841" t="s">
        <v>74</v>
      </c>
      <c r="AP841" t="s">
        <v>11499</v>
      </c>
      <c r="AQ841" t="s">
        <v>74</v>
      </c>
      <c r="AR841" t="s">
        <v>11500</v>
      </c>
      <c r="AS841" t="s">
        <v>11501</v>
      </c>
      <c r="AT841" t="s">
        <v>1091</v>
      </c>
      <c r="AU841">
        <v>2021</v>
      </c>
      <c r="AV841">
        <v>21</v>
      </c>
      <c r="AW841">
        <v>4</v>
      </c>
      <c r="AX841" t="s">
        <v>74</v>
      </c>
      <c r="AY841" t="s">
        <v>74</v>
      </c>
      <c r="AZ841" t="s">
        <v>74</v>
      </c>
      <c r="BA841" t="s">
        <v>74</v>
      </c>
      <c r="BB841" t="s">
        <v>74</v>
      </c>
      <c r="BC841" t="s">
        <v>74</v>
      </c>
      <c r="BD841">
        <v>1551</v>
      </c>
      <c r="BE841" t="s">
        <v>16416</v>
      </c>
      <c r="BF841" t="str">
        <f>HYPERLINK("http://dx.doi.org/10.3390/s21041551","http://dx.doi.org/10.3390/s21041551")</f>
        <v>http://dx.doi.org/10.3390/s21041551</v>
      </c>
      <c r="BG841" t="s">
        <v>74</v>
      </c>
      <c r="BH841" t="s">
        <v>74</v>
      </c>
      <c r="BI841">
        <v>15</v>
      </c>
      <c r="BJ841" t="s">
        <v>11503</v>
      </c>
      <c r="BK841" t="s">
        <v>101</v>
      </c>
      <c r="BL841" t="s">
        <v>11504</v>
      </c>
      <c r="BM841" t="s">
        <v>16417</v>
      </c>
      <c r="BN841">
        <v>33672288</v>
      </c>
      <c r="BO841" t="s">
        <v>298</v>
      </c>
      <c r="BP841" t="s">
        <v>74</v>
      </c>
      <c r="BQ841" t="s">
        <v>74</v>
      </c>
      <c r="BR841" t="s">
        <v>104</v>
      </c>
      <c r="BS841" t="s">
        <v>16418</v>
      </c>
      <c r="BT841" t="str">
        <f>HYPERLINK("https%3A%2F%2Fwww.webofscience.com%2Fwos%2Fwoscc%2Ffull-record%2FWOS:000624643800001","View Full Record in Web of Science")</f>
        <v>View Full Record in Web of Science</v>
      </c>
    </row>
    <row r="842" spans="1:72" x14ac:dyDescent="0.15">
      <c r="A842" t="s">
        <v>72</v>
      </c>
      <c r="B842" t="s">
        <v>16419</v>
      </c>
      <c r="C842" t="s">
        <v>74</v>
      </c>
      <c r="D842" t="s">
        <v>74</v>
      </c>
      <c r="E842" t="s">
        <v>74</v>
      </c>
      <c r="F842" t="s">
        <v>16420</v>
      </c>
      <c r="G842" t="s">
        <v>74</v>
      </c>
      <c r="H842" t="s">
        <v>74</v>
      </c>
      <c r="I842" t="s">
        <v>16421</v>
      </c>
      <c r="J842" t="s">
        <v>11487</v>
      </c>
      <c r="K842" t="s">
        <v>74</v>
      </c>
      <c r="L842" t="s">
        <v>74</v>
      </c>
      <c r="M842" t="s">
        <v>78</v>
      </c>
      <c r="N842" t="s">
        <v>79</v>
      </c>
      <c r="O842" t="s">
        <v>74</v>
      </c>
      <c r="P842" t="s">
        <v>74</v>
      </c>
      <c r="Q842" t="s">
        <v>74</v>
      </c>
      <c r="R842" t="s">
        <v>74</v>
      </c>
      <c r="S842" t="s">
        <v>74</v>
      </c>
      <c r="T842" t="s">
        <v>16422</v>
      </c>
      <c r="U842" t="s">
        <v>74</v>
      </c>
      <c r="V842" t="s">
        <v>16423</v>
      </c>
      <c r="W842" t="s">
        <v>16424</v>
      </c>
      <c r="X842" t="s">
        <v>16425</v>
      </c>
      <c r="Y842" t="s">
        <v>16426</v>
      </c>
      <c r="Z842" t="s">
        <v>16427</v>
      </c>
      <c r="AA842" t="s">
        <v>16428</v>
      </c>
      <c r="AB842" t="s">
        <v>16429</v>
      </c>
      <c r="AC842" t="s">
        <v>16430</v>
      </c>
      <c r="AD842" t="s">
        <v>16431</v>
      </c>
      <c r="AE842" t="s">
        <v>16432</v>
      </c>
      <c r="AF842" t="s">
        <v>74</v>
      </c>
      <c r="AG842">
        <v>42</v>
      </c>
      <c r="AH842">
        <v>7</v>
      </c>
      <c r="AI842">
        <v>7</v>
      </c>
      <c r="AJ842">
        <v>3</v>
      </c>
      <c r="AK842">
        <v>3</v>
      </c>
      <c r="AL842" t="s">
        <v>335</v>
      </c>
      <c r="AM842" t="s">
        <v>336</v>
      </c>
      <c r="AN842" t="s">
        <v>337</v>
      </c>
      <c r="AO842" t="s">
        <v>74</v>
      </c>
      <c r="AP842" t="s">
        <v>11499</v>
      </c>
      <c r="AQ842" t="s">
        <v>74</v>
      </c>
      <c r="AR842" t="s">
        <v>11500</v>
      </c>
      <c r="AS842" t="s">
        <v>11501</v>
      </c>
      <c r="AT842" t="s">
        <v>1091</v>
      </c>
      <c r="AU842">
        <v>2021</v>
      </c>
      <c r="AV842">
        <v>21</v>
      </c>
      <c r="AW842">
        <v>4</v>
      </c>
      <c r="AX842" t="s">
        <v>74</v>
      </c>
      <c r="AY842" t="s">
        <v>74</v>
      </c>
      <c r="AZ842" t="s">
        <v>74</v>
      </c>
      <c r="BA842" t="s">
        <v>74</v>
      </c>
      <c r="BB842" t="s">
        <v>74</v>
      </c>
      <c r="BC842" t="s">
        <v>74</v>
      </c>
      <c r="BD842">
        <v>1532</v>
      </c>
      <c r="BE842" t="s">
        <v>16433</v>
      </c>
      <c r="BF842" t="str">
        <f>HYPERLINK("http://dx.doi.org/10.3390/s21041532","http://dx.doi.org/10.3390/s21041532")</f>
        <v>http://dx.doi.org/10.3390/s21041532</v>
      </c>
      <c r="BG842" t="s">
        <v>74</v>
      </c>
      <c r="BH842" t="s">
        <v>74</v>
      </c>
      <c r="BI842">
        <v>25</v>
      </c>
      <c r="BJ842" t="s">
        <v>11503</v>
      </c>
      <c r="BK842" t="s">
        <v>101</v>
      </c>
      <c r="BL842" t="s">
        <v>11504</v>
      </c>
      <c r="BM842" t="s">
        <v>16434</v>
      </c>
      <c r="BN842">
        <v>33672173</v>
      </c>
      <c r="BO842" t="s">
        <v>298</v>
      </c>
      <c r="BP842" t="s">
        <v>74</v>
      </c>
      <c r="BQ842" t="s">
        <v>74</v>
      </c>
      <c r="BR842" t="s">
        <v>104</v>
      </c>
      <c r="BS842" t="s">
        <v>16435</v>
      </c>
      <c r="BT842" t="str">
        <f>HYPERLINK("https%3A%2F%2Fwww.webofscience.com%2Fwos%2Fwoscc%2Ffull-record%2FWOS:000624670700001","View Full Record in Web of Science")</f>
        <v>View Full Record in Web of Science</v>
      </c>
    </row>
    <row r="843" spans="1:72" x14ac:dyDescent="0.15">
      <c r="A843" t="s">
        <v>72</v>
      </c>
      <c r="B843" t="s">
        <v>16436</v>
      </c>
      <c r="C843" t="s">
        <v>74</v>
      </c>
      <c r="D843" t="s">
        <v>74</v>
      </c>
      <c r="E843" t="s">
        <v>74</v>
      </c>
      <c r="F843" t="s">
        <v>16437</v>
      </c>
      <c r="G843" t="s">
        <v>74</v>
      </c>
      <c r="H843" t="s">
        <v>74</v>
      </c>
      <c r="I843" t="s">
        <v>16438</v>
      </c>
      <c r="J843" t="s">
        <v>4202</v>
      </c>
      <c r="K843" t="s">
        <v>74</v>
      </c>
      <c r="L843" t="s">
        <v>74</v>
      </c>
      <c r="M843" t="s">
        <v>78</v>
      </c>
      <c r="N843" t="s">
        <v>79</v>
      </c>
      <c r="O843" t="s">
        <v>74</v>
      </c>
      <c r="P843" t="s">
        <v>74</v>
      </c>
      <c r="Q843" t="s">
        <v>74</v>
      </c>
      <c r="R843" t="s">
        <v>74</v>
      </c>
      <c r="S843" t="s">
        <v>74</v>
      </c>
      <c r="T843" t="s">
        <v>16439</v>
      </c>
      <c r="U843" t="s">
        <v>16440</v>
      </c>
      <c r="V843" t="s">
        <v>16441</v>
      </c>
      <c r="W843" t="s">
        <v>16442</v>
      </c>
      <c r="X843" t="s">
        <v>16443</v>
      </c>
      <c r="Y843" t="s">
        <v>16444</v>
      </c>
      <c r="Z843" t="s">
        <v>16445</v>
      </c>
      <c r="AA843" t="s">
        <v>16446</v>
      </c>
      <c r="AB843" t="s">
        <v>16447</v>
      </c>
      <c r="AC843" t="s">
        <v>16448</v>
      </c>
      <c r="AD843" t="s">
        <v>16449</v>
      </c>
      <c r="AE843" t="s">
        <v>16450</v>
      </c>
      <c r="AF843" t="s">
        <v>74</v>
      </c>
      <c r="AG843">
        <v>37</v>
      </c>
      <c r="AH843">
        <v>4</v>
      </c>
      <c r="AI843">
        <v>4</v>
      </c>
      <c r="AJ843">
        <v>0</v>
      </c>
      <c r="AK843">
        <v>12</v>
      </c>
      <c r="AL843" t="s">
        <v>625</v>
      </c>
      <c r="AM843" t="s">
        <v>167</v>
      </c>
      <c r="AN843" t="s">
        <v>626</v>
      </c>
      <c r="AO843" t="s">
        <v>4213</v>
      </c>
      <c r="AP843" t="s">
        <v>4214</v>
      </c>
      <c r="AQ843" t="s">
        <v>74</v>
      </c>
      <c r="AR843" t="s">
        <v>4215</v>
      </c>
      <c r="AS843" t="s">
        <v>4216</v>
      </c>
      <c r="AT843" t="s">
        <v>1091</v>
      </c>
      <c r="AU843">
        <v>2021</v>
      </c>
      <c r="AV843">
        <v>33</v>
      </c>
      <c r="AW843">
        <v>1</v>
      </c>
      <c r="AX843" t="s">
        <v>74</v>
      </c>
      <c r="AY843" t="s">
        <v>74</v>
      </c>
      <c r="AZ843" t="s">
        <v>74</v>
      </c>
      <c r="BA843" t="s">
        <v>74</v>
      </c>
      <c r="BB843">
        <v>1</v>
      </c>
      <c r="BC843">
        <v>9</v>
      </c>
      <c r="BD843" t="s">
        <v>16451</v>
      </c>
      <c r="BE843" t="s">
        <v>16452</v>
      </c>
      <c r="BF843" t="str">
        <f>HYPERLINK("http://dx.doi.org/10.1017/S0954102020000413","http://dx.doi.org/10.1017/S0954102020000413")</f>
        <v>http://dx.doi.org/10.1017/S0954102020000413</v>
      </c>
      <c r="BG843" t="s">
        <v>74</v>
      </c>
      <c r="BH843" t="s">
        <v>74</v>
      </c>
      <c r="BI843">
        <v>9</v>
      </c>
      <c r="BJ843" t="s">
        <v>4219</v>
      </c>
      <c r="BK843" t="s">
        <v>101</v>
      </c>
      <c r="BL843" t="s">
        <v>4220</v>
      </c>
      <c r="BM843" t="s">
        <v>16453</v>
      </c>
      <c r="BN843" t="s">
        <v>74</v>
      </c>
      <c r="BO843" t="s">
        <v>398</v>
      </c>
      <c r="BP843" t="s">
        <v>74</v>
      </c>
      <c r="BQ843" t="s">
        <v>74</v>
      </c>
      <c r="BR843" t="s">
        <v>104</v>
      </c>
      <c r="BS843" t="s">
        <v>16454</v>
      </c>
      <c r="BT843" t="str">
        <f>HYPERLINK("https%3A%2F%2Fwww.webofscience.com%2Fwos%2Fwoscc%2Ffull-record%2FWOS:000623420200001","View Full Record in Web of Science")</f>
        <v>View Full Record in Web of Science</v>
      </c>
    </row>
    <row r="844" spans="1:72" x14ac:dyDescent="0.15">
      <c r="A844" t="s">
        <v>72</v>
      </c>
      <c r="B844" t="s">
        <v>16455</v>
      </c>
      <c r="C844" t="s">
        <v>74</v>
      </c>
      <c r="D844" t="s">
        <v>74</v>
      </c>
      <c r="E844" t="s">
        <v>74</v>
      </c>
      <c r="F844" t="s">
        <v>16456</v>
      </c>
      <c r="G844" t="s">
        <v>74</v>
      </c>
      <c r="H844" t="s">
        <v>74</v>
      </c>
      <c r="I844" t="s">
        <v>16457</v>
      </c>
      <c r="J844" t="s">
        <v>4202</v>
      </c>
      <c r="K844" t="s">
        <v>74</v>
      </c>
      <c r="L844" t="s">
        <v>74</v>
      </c>
      <c r="M844" t="s">
        <v>78</v>
      </c>
      <c r="N844" t="s">
        <v>79</v>
      </c>
      <c r="O844" t="s">
        <v>74</v>
      </c>
      <c r="P844" t="s">
        <v>74</v>
      </c>
      <c r="Q844" t="s">
        <v>74</v>
      </c>
      <c r="R844" t="s">
        <v>74</v>
      </c>
      <c r="S844" t="s">
        <v>74</v>
      </c>
      <c r="T844" t="s">
        <v>16458</v>
      </c>
      <c r="U844" t="s">
        <v>16459</v>
      </c>
      <c r="V844" t="s">
        <v>16460</v>
      </c>
      <c r="W844" t="s">
        <v>16461</v>
      </c>
      <c r="X844" t="s">
        <v>16462</v>
      </c>
      <c r="Y844" t="s">
        <v>16463</v>
      </c>
      <c r="Z844" t="s">
        <v>16464</v>
      </c>
      <c r="AA844" t="s">
        <v>16465</v>
      </c>
      <c r="AB844" t="s">
        <v>16466</v>
      </c>
      <c r="AC844" t="s">
        <v>74</v>
      </c>
      <c r="AD844" t="s">
        <v>74</v>
      </c>
      <c r="AE844" t="s">
        <v>74</v>
      </c>
      <c r="AF844" t="s">
        <v>74</v>
      </c>
      <c r="AG844">
        <v>34</v>
      </c>
      <c r="AH844">
        <v>4</v>
      </c>
      <c r="AI844">
        <v>4</v>
      </c>
      <c r="AJ844">
        <v>2</v>
      </c>
      <c r="AK844">
        <v>12</v>
      </c>
      <c r="AL844" t="s">
        <v>625</v>
      </c>
      <c r="AM844" t="s">
        <v>167</v>
      </c>
      <c r="AN844" t="s">
        <v>626</v>
      </c>
      <c r="AO844" t="s">
        <v>4213</v>
      </c>
      <c r="AP844" t="s">
        <v>4214</v>
      </c>
      <c r="AQ844" t="s">
        <v>74</v>
      </c>
      <c r="AR844" t="s">
        <v>4215</v>
      </c>
      <c r="AS844" t="s">
        <v>4216</v>
      </c>
      <c r="AT844" t="s">
        <v>1091</v>
      </c>
      <c r="AU844">
        <v>2021</v>
      </c>
      <c r="AV844">
        <v>33</v>
      </c>
      <c r="AW844">
        <v>1</v>
      </c>
      <c r="AX844" t="s">
        <v>74</v>
      </c>
      <c r="AY844" t="s">
        <v>74</v>
      </c>
      <c r="AZ844" t="s">
        <v>74</v>
      </c>
      <c r="BA844" t="s">
        <v>74</v>
      </c>
      <c r="BB844">
        <v>10</v>
      </c>
      <c r="BC844">
        <v>16</v>
      </c>
      <c r="BD844" t="s">
        <v>16467</v>
      </c>
      <c r="BE844" t="s">
        <v>16468</v>
      </c>
      <c r="BF844" t="str">
        <f>HYPERLINK("http://dx.doi.org/10.1017/S0954102020000425","http://dx.doi.org/10.1017/S0954102020000425")</f>
        <v>http://dx.doi.org/10.1017/S0954102020000425</v>
      </c>
      <c r="BG844" t="s">
        <v>74</v>
      </c>
      <c r="BH844" t="s">
        <v>74</v>
      </c>
      <c r="BI844">
        <v>7</v>
      </c>
      <c r="BJ844" t="s">
        <v>4219</v>
      </c>
      <c r="BK844" t="s">
        <v>101</v>
      </c>
      <c r="BL844" t="s">
        <v>4220</v>
      </c>
      <c r="BM844" t="s">
        <v>16453</v>
      </c>
      <c r="BN844" t="s">
        <v>74</v>
      </c>
      <c r="BO844" t="s">
        <v>74</v>
      </c>
      <c r="BP844" t="s">
        <v>74</v>
      </c>
      <c r="BQ844" t="s">
        <v>74</v>
      </c>
      <c r="BR844" t="s">
        <v>104</v>
      </c>
      <c r="BS844" t="s">
        <v>16469</v>
      </c>
      <c r="BT844" t="str">
        <f>HYPERLINK("https%3A%2F%2Fwww.webofscience.com%2Fwos%2Fwoscc%2Ffull-record%2FWOS:000623420200002","View Full Record in Web of Science")</f>
        <v>View Full Record in Web of Science</v>
      </c>
    </row>
    <row r="845" spans="1:72" x14ac:dyDescent="0.15">
      <c r="A845" t="s">
        <v>72</v>
      </c>
      <c r="B845" t="s">
        <v>16470</v>
      </c>
      <c r="C845" t="s">
        <v>74</v>
      </c>
      <c r="D845" t="s">
        <v>74</v>
      </c>
      <c r="E845" t="s">
        <v>74</v>
      </c>
      <c r="F845" t="s">
        <v>16471</v>
      </c>
      <c r="G845" t="s">
        <v>74</v>
      </c>
      <c r="H845" t="s">
        <v>74</v>
      </c>
      <c r="I845" t="s">
        <v>16472</v>
      </c>
      <c r="J845" t="s">
        <v>4202</v>
      </c>
      <c r="K845" t="s">
        <v>74</v>
      </c>
      <c r="L845" t="s">
        <v>74</v>
      </c>
      <c r="M845" t="s">
        <v>78</v>
      </c>
      <c r="N845" t="s">
        <v>79</v>
      </c>
      <c r="O845" t="s">
        <v>74</v>
      </c>
      <c r="P845" t="s">
        <v>74</v>
      </c>
      <c r="Q845" t="s">
        <v>74</v>
      </c>
      <c r="R845" t="s">
        <v>74</v>
      </c>
      <c r="S845" t="s">
        <v>74</v>
      </c>
      <c r="T845" t="s">
        <v>16473</v>
      </c>
      <c r="U845" t="s">
        <v>74</v>
      </c>
      <c r="V845" t="s">
        <v>16474</v>
      </c>
      <c r="W845" t="s">
        <v>16475</v>
      </c>
      <c r="X845" t="s">
        <v>16476</v>
      </c>
      <c r="Y845" t="s">
        <v>10174</v>
      </c>
      <c r="Z845" t="s">
        <v>16477</v>
      </c>
      <c r="AA845" t="s">
        <v>16478</v>
      </c>
      <c r="AB845" t="s">
        <v>16479</v>
      </c>
      <c r="AC845" t="s">
        <v>16480</v>
      </c>
      <c r="AD845" t="s">
        <v>16481</v>
      </c>
      <c r="AE845" t="s">
        <v>16482</v>
      </c>
      <c r="AF845" t="s">
        <v>74</v>
      </c>
      <c r="AG845">
        <v>55</v>
      </c>
      <c r="AH845">
        <v>9</v>
      </c>
      <c r="AI845">
        <v>9</v>
      </c>
      <c r="AJ845">
        <v>1</v>
      </c>
      <c r="AK845">
        <v>10</v>
      </c>
      <c r="AL845" t="s">
        <v>625</v>
      </c>
      <c r="AM845" t="s">
        <v>167</v>
      </c>
      <c r="AN845" t="s">
        <v>626</v>
      </c>
      <c r="AO845" t="s">
        <v>4213</v>
      </c>
      <c r="AP845" t="s">
        <v>4214</v>
      </c>
      <c r="AQ845" t="s">
        <v>74</v>
      </c>
      <c r="AR845" t="s">
        <v>4215</v>
      </c>
      <c r="AS845" t="s">
        <v>4216</v>
      </c>
      <c r="AT845" t="s">
        <v>1091</v>
      </c>
      <c r="AU845">
        <v>2021</v>
      </c>
      <c r="AV845">
        <v>33</v>
      </c>
      <c r="AW845">
        <v>1</v>
      </c>
      <c r="AX845" t="s">
        <v>74</v>
      </c>
      <c r="AY845" t="s">
        <v>74</v>
      </c>
      <c r="AZ845" t="s">
        <v>74</v>
      </c>
      <c r="BA845" t="s">
        <v>74</v>
      </c>
      <c r="BB845">
        <v>17</v>
      </c>
      <c r="BC845">
        <v>29</v>
      </c>
      <c r="BD845" t="s">
        <v>16483</v>
      </c>
      <c r="BE845" t="s">
        <v>16484</v>
      </c>
      <c r="BF845" t="str">
        <f>HYPERLINK("http://dx.doi.org/10.1017/S0954102020000437","http://dx.doi.org/10.1017/S0954102020000437")</f>
        <v>http://dx.doi.org/10.1017/S0954102020000437</v>
      </c>
      <c r="BG845" t="s">
        <v>74</v>
      </c>
      <c r="BH845" t="s">
        <v>74</v>
      </c>
      <c r="BI845">
        <v>13</v>
      </c>
      <c r="BJ845" t="s">
        <v>4219</v>
      </c>
      <c r="BK845" t="s">
        <v>101</v>
      </c>
      <c r="BL845" t="s">
        <v>4220</v>
      </c>
      <c r="BM845" t="s">
        <v>16453</v>
      </c>
      <c r="BN845" t="s">
        <v>74</v>
      </c>
      <c r="BO845" t="s">
        <v>496</v>
      </c>
      <c r="BP845" t="s">
        <v>74</v>
      </c>
      <c r="BQ845" t="s">
        <v>74</v>
      </c>
      <c r="BR845" t="s">
        <v>104</v>
      </c>
      <c r="BS845" t="s">
        <v>16485</v>
      </c>
      <c r="BT845" t="str">
        <f>HYPERLINK("https%3A%2F%2Fwww.webofscience.com%2Fwos%2Fwoscc%2Ffull-record%2FWOS:000623420200003","View Full Record in Web of Science")</f>
        <v>View Full Record in Web of Science</v>
      </c>
    </row>
    <row r="846" spans="1:72" x14ac:dyDescent="0.15">
      <c r="A846" t="s">
        <v>72</v>
      </c>
      <c r="B846" t="s">
        <v>16486</v>
      </c>
      <c r="C846" t="s">
        <v>74</v>
      </c>
      <c r="D846" t="s">
        <v>74</v>
      </c>
      <c r="E846" t="s">
        <v>74</v>
      </c>
      <c r="F846" t="s">
        <v>16487</v>
      </c>
      <c r="G846" t="s">
        <v>74</v>
      </c>
      <c r="H846" t="s">
        <v>74</v>
      </c>
      <c r="I846" t="s">
        <v>16488</v>
      </c>
      <c r="J846" t="s">
        <v>4202</v>
      </c>
      <c r="K846" t="s">
        <v>74</v>
      </c>
      <c r="L846" t="s">
        <v>74</v>
      </c>
      <c r="M846" t="s">
        <v>78</v>
      </c>
      <c r="N846" t="s">
        <v>79</v>
      </c>
      <c r="O846" t="s">
        <v>74</v>
      </c>
      <c r="P846" t="s">
        <v>74</v>
      </c>
      <c r="Q846" t="s">
        <v>74</v>
      </c>
      <c r="R846" t="s">
        <v>74</v>
      </c>
      <c r="S846" t="s">
        <v>74</v>
      </c>
      <c r="T846" t="s">
        <v>16489</v>
      </c>
      <c r="U846" t="s">
        <v>74</v>
      </c>
      <c r="V846" t="s">
        <v>16490</v>
      </c>
      <c r="W846" t="s">
        <v>16491</v>
      </c>
      <c r="X846" t="s">
        <v>16492</v>
      </c>
      <c r="Y846" t="s">
        <v>16493</v>
      </c>
      <c r="Z846" t="s">
        <v>16494</v>
      </c>
      <c r="AA846" t="s">
        <v>16495</v>
      </c>
      <c r="AB846" t="s">
        <v>16496</v>
      </c>
      <c r="AC846" t="s">
        <v>16497</v>
      </c>
      <c r="AD846" t="s">
        <v>16498</v>
      </c>
      <c r="AE846" t="s">
        <v>16499</v>
      </c>
      <c r="AF846" t="s">
        <v>74</v>
      </c>
      <c r="AG846">
        <v>33</v>
      </c>
      <c r="AH846">
        <v>2</v>
      </c>
      <c r="AI846">
        <v>2</v>
      </c>
      <c r="AJ846">
        <v>2</v>
      </c>
      <c r="AK846">
        <v>5</v>
      </c>
      <c r="AL846" t="s">
        <v>625</v>
      </c>
      <c r="AM846" t="s">
        <v>167</v>
      </c>
      <c r="AN846" t="s">
        <v>626</v>
      </c>
      <c r="AO846" t="s">
        <v>4213</v>
      </c>
      <c r="AP846" t="s">
        <v>4214</v>
      </c>
      <c r="AQ846" t="s">
        <v>74</v>
      </c>
      <c r="AR846" t="s">
        <v>4215</v>
      </c>
      <c r="AS846" t="s">
        <v>4216</v>
      </c>
      <c r="AT846" t="s">
        <v>1091</v>
      </c>
      <c r="AU846">
        <v>2021</v>
      </c>
      <c r="AV846">
        <v>33</v>
      </c>
      <c r="AW846">
        <v>1</v>
      </c>
      <c r="AX846" t="s">
        <v>74</v>
      </c>
      <c r="AY846" t="s">
        <v>74</v>
      </c>
      <c r="AZ846" t="s">
        <v>74</v>
      </c>
      <c r="BA846" t="s">
        <v>74</v>
      </c>
      <c r="BB846">
        <v>30</v>
      </c>
      <c r="BC846">
        <v>38</v>
      </c>
      <c r="BD846" t="s">
        <v>16500</v>
      </c>
      <c r="BE846" t="s">
        <v>16501</v>
      </c>
      <c r="BF846" t="str">
        <f>HYPERLINK("http://dx.doi.org/10.1017/S0954102020000449","http://dx.doi.org/10.1017/S0954102020000449")</f>
        <v>http://dx.doi.org/10.1017/S0954102020000449</v>
      </c>
      <c r="BG846" t="s">
        <v>74</v>
      </c>
      <c r="BH846" t="s">
        <v>74</v>
      </c>
      <c r="BI846">
        <v>9</v>
      </c>
      <c r="BJ846" t="s">
        <v>4219</v>
      </c>
      <c r="BK846" t="s">
        <v>101</v>
      </c>
      <c r="BL846" t="s">
        <v>4220</v>
      </c>
      <c r="BM846" t="s">
        <v>16453</v>
      </c>
      <c r="BN846" t="s">
        <v>74</v>
      </c>
      <c r="BO846" t="s">
        <v>74</v>
      </c>
      <c r="BP846" t="s">
        <v>74</v>
      </c>
      <c r="BQ846" t="s">
        <v>74</v>
      </c>
      <c r="BR846" t="s">
        <v>104</v>
      </c>
      <c r="BS846" t="s">
        <v>16502</v>
      </c>
      <c r="BT846" t="str">
        <f>HYPERLINK("https%3A%2F%2Fwww.webofscience.com%2Fwos%2Fwoscc%2Ffull-record%2FWOS:000623420200004","View Full Record in Web of Science")</f>
        <v>View Full Record in Web of Science</v>
      </c>
    </row>
    <row r="847" spans="1:72" x14ac:dyDescent="0.15">
      <c r="A847" t="s">
        <v>72</v>
      </c>
      <c r="B847" t="s">
        <v>16503</v>
      </c>
      <c r="C847" t="s">
        <v>74</v>
      </c>
      <c r="D847" t="s">
        <v>74</v>
      </c>
      <c r="E847" t="s">
        <v>74</v>
      </c>
      <c r="F847" t="s">
        <v>16504</v>
      </c>
      <c r="G847" t="s">
        <v>74</v>
      </c>
      <c r="H847" t="s">
        <v>74</v>
      </c>
      <c r="I847" t="s">
        <v>16505</v>
      </c>
      <c r="J847" t="s">
        <v>4202</v>
      </c>
      <c r="K847" t="s">
        <v>74</v>
      </c>
      <c r="L847" t="s">
        <v>74</v>
      </c>
      <c r="M847" t="s">
        <v>78</v>
      </c>
      <c r="N847" t="s">
        <v>79</v>
      </c>
      <c r="O847" t="s">
        <v>74</v>
      </c>
      <c r="P847" t="s">
        <v>74</v>
      </c>
      <c r="Q847" t="s">
        <v>74</v>
      </c>
      <c r="R847" t="s">
        <v>74</v>
      </c>
      <c r="S847" t="s">
        <v>74</v>
      </c>
      <c r="T847" t="s">
        <v>16506</v>
      </c>
      <c r="U847" t="s">
        <v>16507</v>
      </c>
      <c r="V847" t="s">
        <v>16508</v>
      </c>
      <c r="W847" t="s">
        <v>16509</v>
      </c>
      <c r="X847" t="s">
        <v>16510</v>
      </c>
      <c r="Y847" t="s">
        <v>16511</v>
      </c>
      <c r="Z847" t="s">
        <v>16512</v>
      </c>
      <c r="AA847" t="s">
        <v>16513</v>
      </c>
      <c r="AB847" t="s">
        <v>16514</v>
      </c>
      <c r="AC847" t="s">
        <v>16515</v>
      </c>
      <c r="AD847" t="s">
        <v>16516</v>
      </c>
      <c r="AE847" t="s">
        <v>16517</v>
      </c>
      <c r="AF847" t="s">
        <v>74</v>
      </c>
      <c r="AG847">
        <v>100</v>
      </c>
      <c r="AH847">
        <v>5</v>
      </c>
      <c r="AI847">
        <v>6</v>
      </c>
      <c r="AJ847">
        <v>0</v>
      </c>
      <c r="AK847">
        <v>6</v>
      </c>
      <c r="AL847" t="s">
        <v>625</v>
      </c>
      <c r="AM847" t="s">
        <v>167</v>
      </c>
      <c r="AN847" t="s">
        <v>626</v>
      </c>
      <c r="AO847" t="s">
        <v>4213</v>
      </c>
      <c r="AP847" t="s">
        <v>4214</v>
      </c>
      <c r="AQ847" t="s">
        <v>74</v>
      </c>
      <c r="AR847" t="s">
        <v>4215</v>
      </c>
      <c r="AS847" t="s">
        <v>4216</v>
      </c>
      <c r="AT847" t="s">
        <v>1091</v>
      </c>
      <c r="AU847">
        <v>2021</v>
      </c>
      <c r="AV847">
        <v>33</v>
      </c>
      <c r="AW847">
        <v>1</v>
      </c>
      <c r="AX847" t="s">
        <v>74</v>
      </c>
      <c r="AY847" t="s">
        <v>74</v>
      </c>
      <c r="AZ847" t="s">
        <v>74</v>
      </c>
      <c r="BA847" t="s">
        <v>74</v>
      </c>
      <c r="BB847">
        <v>39</v>
      </c>
      <c r="BC847">
        <v>51</v>
      </c>
      <c r="BD847" t="s">
        <v>16518</v>
      </c>
      <c r="BE847" t="s">
        <v>16519</v>
      </c>
      <c r="BF847" t="str">
        <f>HYPERLINK("http://dx.doi.org/10.1017/S0954102020000462","http://dx.doi.org/10.1017/S0954102020000462")</f>
        <v>http://dx.doi.org/10.1017/S0954102020000462</v>
      </c>
      <c r="BG847" t="s">
        <v>74</v>
      </c>
      <c r="BH847" t="s">
        <v>74</v>
      </c>
      <c r="BI847">
        <v>13</v>
      </c>
      <c r="BJ847" t="s">
        <v>4219</v>
      </c>
      <c r="BK847" t="s">
        <v>101</v>
      </c>
      <c r="BL847" t="s">
        <v>4220</v>
      </c>
      <c r="BM847" t="s">
        <v>16453</v>
      </c>
      <c r="BN847" t="s">
        <v>74</v>
      </c>
      <c r="BO847" t="s">
        <v>496</v>
      </c>
      <c r="BP847" t="s">
        <v>74</v>
      </c>
      <c r="BQ847" t="s">
        <v>74</v>
      </c>
      <c r="BR847" t="s">
        <v>104</v>
      </c>
      <c r="BS847" t="s">
        <v>16520</v>
      </c>
      <c r="BT847" t="str">
        <f>HYPERLINK("https%3A%2F%2Fwww.webofscience.com%2Fwos%2Fwoscc%2Ffull-record%2FWOS:000623420200005","View Full Record in Web of Science")</f>
        <v>View Full Record in Web of Science</v>
      </c>
    </row>
    <row r="848" spans="1:72" x14ac:dyDescent="0.15">
      <c r="A848" t="s">
        <v>72</v>
      </c>
      <c r="B848" t="s">
        <v>16521</v>
      </c>
      <c r="C848" t="s">
        <v>74</v>
      </c>
      <c r="D848" t="s">
        <v>74</v>
      </c>
      <c r="E848" t="s">
        <v>74</v>
      </c>
      <c r="F848" t="s">
        <v>16522</v>
      </c>
      <c r="G848" t="s">
        <v>74</v>
      </c>
      <c r="H848" t="s">
        <v>74</v>
      </c>
      <c r="I848" t="s">
        <v>16523</v>
      </c>
      <c r="J848" t="s">
        <v>4202</v>
      </c>
      <c r="K848" t="s">
        <v>74</v>
      </c>
      <c r="L848" t="s">
        <v>74</v>
      </c>
      <c r="M848" t="s">
        <v>78</v>
      </c>
      <c r="N848" t="s">
        <v>79</v>
      </c>
      <c r="O848" t="s">
        <v>74</v>
      </c>
      <c r="P848" t="s">
        <v>74</v>
      </c>
      <c r="Q848" t="s">
        <v>74</v>
      </c>
      <c r="R848" t="s">
        <v>74</v>
      </c>
      <c r="S848" t="s">
        <v>74</v>
      </c>
      <c r="T848" t="s">
        <v>16524</v>
      </c>
      <c r="U848" t="s">
        <v>16525</v>
      </c>
      <c r="V848" t="s">
        <v>16526</v>
      </c>
      <c r="W848" t="s">
        <v>16527</v>
      </c>
      <c r="X848" t="s">
        <v>16528</v>
      </c>
      <c r="Y848" t="s">
        <v>16529</v>
      </c>
      <c r="Z848" t="s">
        <v>16530</v>
      </c>
      <c r="AA848" t="s">
        <v>16531</v>
      </c>
      <c r="AB848" t="s">
        <v>16532</v>
      </c>
      <c r="AC848" t="s">
        <v>16533</v>
      </c>
      <c r="AD848" t="s">
        <v>16534</v>
      </c>
      <c r="AE848" t="s">
        <v>16535</v>
      </c>
      <c r="AF848" t="s">
        <v>74</v>
      </c>
      <c r="AG848">
        <v>41</v>
      </c>
      <c r="AH848">
        <v>3</v>
      </c>
      <c r="AI848">
        <v>3</v>
      </c>
      <c r="AJ848">
        <v>1</v>
      </c>
      <c r="AK848">
        <v>11</v>
      </c>
      <c r="AL848" t="s">
        <v>625</v>
      </c>
      <c r="AM848" t="s">
        <v>167</v>
      </c>
      <c r="AN848" t="s">
        <v>626</v>
      </c>
      <c r="AO848" t="s">
        <v>4213</v>
      </c>
      <c r="AP848" t="s">
        <v>4214</v>
      </c>
      <c r="AQ848" t="s">
        <v>74</v>
      </c>
      <c r="AR848" t="s">
        <v>4215</v>
      </c>
      <c r="AS848" t="s">
        <v>4216</v>
      </c>
      <c r="AT848" t="s">
        <v>1091</v>
      </c>
      <c r="AU848">
        <v>2021</v>
      </c>
      <c r="AV848">
        <v>33</v>
      </c>
      <c r="AW848">
        <v>1</v>
      </c>
      <c r="AX848" t="s">
        <v>74</v>
      </c>
      <c r="AY848" t="s">
        <v>74</v>
      </c>
      <c r="AZ848" t="s">
        <v>74</v>
      </c>
      <c r="BA848" t="s">
        <v>74</v>
      </c>
      <c r="BB848">
        <v>52</v>
      </c>
      <c r="BC848">
        <v>72</v>
      </c>
      <c r="BD848" t="s">
        <v>74</v>
      </c>
      <c r="BE848" t="s">
        <v>16536</v>
      </c>
      <c r="BF848" t="str">
        <f>HYPERLINK("http://dx.doi.org/10.1017/S0954102020000450","http://dx.doi.org/10.1017/S0954102020000450")</f>
        <v>http://dx.doi.org/10.1017/S0954102020000450</v>
      </c>
      <c r="BG848" t="s">
        <v>74</v>
      </c>
      <c r="BH848" t="s">
        <v>74</v>
      </c>
      <c r="BI848">
        <v>21</v>
      </c>
      <c r="BJ848" t="s">
        <v>4219</v>
      </c>
      <c r="BK848" t="s">
        <v>101</v>
      </c>
      <c r="BL848" t="s">
        <v>4220</v>
      </c>
      <c r="BM848" t="s">
        <v>16453</v>
      </c>
      <c r="BN848" t="s">
        <v>74</v>
      </c>
      <c r="BO848" t="s">
        <v>74</v>
      </c>
      <c r="BP848" t="s">
        <v>74</v>
      </c>
      <c r="BQ848" t="s">
        <v>74</v>
      </c>
      <c r="BR848" t="s">
        <v>104</v>
      </c>
      <c r="BS848" t="s">
        <v>16537</v>
      </c>
      <c r="BT848" t="str">
        <f>HYPERLINK("https%3A%2F%2Fwww.webofscience.com%2Fwos%2Fwoscc%2Ffull-record%2FWOS:000623420200006","View Full Record in Web of Science")</f>
        <v>View Full Record in Web of Science</v>
      </c>
    </row>
    <row r="849" spans="1:72" x14ac:dyDescent="0.15">
      <c r="A849" t="s">
        <v>72</v>
      </c>
      <c r="B849" t="s">
        <v>16538</v>
      </c>
      <c r="C849" t="s">
        <v>74</v>
      </c>
      <c r="D849" t="s">
        <v>74</v>
      </c>
      <c r="E849" t="s">
        <v>74</v>
      </c>
      <c r="F849" t="s">
        <v>16539</v>
      </c>
      <c r="G849" t="s">
        <v>74</v>
      </c>
      <c r="H849" t="s">
        <v>74</v>
      </c>
      <c r="I849" t="s">
        <v>16540</v>
      </c>
      <c r="J849" t="s">
        <v>4202</v>
      </c>
      <c r="K849" t="s">
        <v>74</v>
      </c>
      <c r="L849" t="s">
        <v>74</v>
      </c>
      <c r="M849" t="s">
        <v>78</v>
      </c>
      <c r="N849" t="s">
        <v>79</v>
      </c>
      <c r="O849" t="s">
        <v>74</v>
      </c>
      <c r="P849" t="s">
        <v>74</v>
      </c>
      <c r="Q849" t="s">
        <v>74</v>
      </c>
      <c r="R849" t="s">
        <v>74</v>
      </c>
      <c r="S849" t="s">
        <v>74</v>
      </c>
      <c r="T849" t="s">
        <v>16541</v>
      </c>
      <c r="U849" t="s">
        <v>74</v>
      </c>
      <c r="V849" t="s">
        <v>16542</v>
      </c>
      <c r="W849" t="s">
        <v>16543</v>
      </c>
      <c r="X849" t="s">
        <v>16544</v>
      </c>
      <c r="Y849" t="s">
        <v>16545</v>
      </c>
      <c r="Z849" t="s">
        <v>16546</v>
      </c>
      <c r="AA849" t="s">
        <v>16547</v>
      </c>
      <c r="AB849" t="s">
        <v>16548</v>
      </c>
      <c r="AC849" t="s">
        <v>16549</v>
      </c>
      <c r="AD849" t="s">
        <v>16550</v>
      </c>
      <c r="AE849" t="s">
        <v>16551</v>
      </c>
      <c r="AF849" t="s">
        <v>74</v>
      </c>
      <c r="AG849">
        <v>12</v>
      </c>
      <c r="AH849">
        <v>3</v>
      </c>
      <c r="AI849">
        <v>3</v>
      </c>
      <c r="AJ849">
        <v>0</v>
      </c>
      <c r="AK849">
        <v>2</v>
      </c>
      <c r="AL849" t="s">
        <v>625</v>
      </c>
      <c r="AM849" t="s">
        <v>167</v>
      </c>
      <c r="AN849" t="s">
        <v>626</v>
      </c>
      <c r="AO849" t="s">
        <v>4213</v>
      </c>
      <c r="AP849" t="s">
        <v>4214</v>
      </c>
      <c r="AQ849" t="s">
        <v>74</v>
      </c>
      <c r="AR849" t="s">
        <v>4215</v>
      </c>
      <c r="AS849" t="s">
        <v>4216</v>
      </c>
      <c r="AT849" t="s">
        <v>1091</v>
      </c>
      <c r="AU849">
        <v>2021</v>
      </c>
      <c r="AV849">
        <v>33</v>
      </c>
      <c r="AW849">
        <v>1</v>
      </c>
      <c r="AX849" t="s">
        <v>74</v>
      </c>
      <c r="AY849" t="s">
        <v>74</v>
      </c>
      <c r="AZ849" t="s">
        <v>74</v>
      </c>
      <c r="BA849" t="s">
        <v>74</v>
      </c>
      <c r="BB849">
        <v>73</v>
      </c>
      <c r="BC849">
        <v>80</v>
      </c>
      <c r="BD849" t="s">
        <v>16552</v>
      </c>
      <c r="BE849" t="s">
        <v>16553</v>
      </c>
      <c r="BF849" t="str">
        <f>HYPERLINK("http://dx.doi.org/10.1017/S0954102020000553","http://dx.doi.org/10.1017/S0954102020000553")</f>
        <v>http://dx.doi.org/10.1017/S0954102020000553</v>
      </c>
      <c r="BG849" t="s">
        <v>74</v>
      </c>
      <c r="BH849" t="s">
        <v>74</v>
      </c>
      <c r="BI849">
        <v>8</v>
      </c>
      <c r="BJ849" t="s">
        <v>4219</v>
      </c>
      <c r="BK849" t="s">
        <v>101</v>
      </c>
      <c r="BL849" t="s">
        <v>4220</v>
      </c>
      <c r="BM849" t="s">
        <v>16453</v>
      </c>
      <c r="BN849" t="s">
        <v>74</v>
      </c>
      <c r="BO849" t="s">
        <v>2543</v>
      </c>
      <c r="BP849" t="s">
        <v>74</v>
      </c>
      <c r="BQ849" t="s">
        <v>74</v>
      </c>
      <c r="BR849" t="s">
        <v>104</v>
      </c>
      <c r="BS849" t="s">
        <v>16554</v>
      </c>
      <c r="BT849" t="str">
        <f>HYPERLINK("https%3A%2F%2Fwww.webofscience.com%2Fwos%2Fwoscc%2Ffull-record%2FWOS:000623420200007","View Full Record in Web of Science")</f>
        <v>View Full Record in Web of Science</v>
      </c>
    </row>
    <row r="850" spans="1:72" x14ac:dyDescent="0.15">
      <c r="A850" t="s">
        <v>72</v>
      </c>
      <c r="B850" t="s">
        <v>16555</v>
      </c>
      <c r="C850" t="s">
        <v>74</v>
      </c>
      <c r="D850" t="s">
        <v>74</v>
      </c>
      <c r="E850" t="s">
        <v>74</v>
      </c>
      <c r="F850" t="s">
        <v>16556</v>
      </c>
      <c r="G850" t="s">
        <v>74</v>
      </c>
      <c r="H850" t="s">
        <v>74</v>
      </c>
      <c r="I850" t="s">
        <v>16557</v>
      </c>
      <c r="J850" t="s">
        <v>4202</v>
      </c>
      <c r="K850" t="s">
        <v>74</v>
      </c>
      <c r="L850" t="s">
        <v>74</v>
      </c>
      <c r="M850" t="s">
        <v>78</v>
      </c>
      <c r="N850" t="s">
        <v>79</v>
      </c>
      <c r="O850" t="s">
        <v>74</v>
      </c>
      <c r="P850" t="s">
        <v>74</v>
      </c>
      <c r="Q850" t="s">
        <v>74</v>
      </c>
      <c r="R850" t="s">
        <v>74</v>
      </c>
      <c r="S850" t="s">
        <v>74</v>
      </c>
      <c r="T850" t="s">
        <v>16558</v>
      </c>
      <c r="U850" t="s">
        <v>74</v>
      </c>
      <c r="V850" t="s">
        <v>16559</v>
      </c>
      <c r="W850" t="s">
        <v>16560</v>
      </c>
      <c r="X850" t="s">
        <v>16561</v>
      </c>
      <c r="Y850" t="s">
        <v>16562</v>
      </c>
      <c r="Z850" t="s">
        <v>16563</v>
      </c>
      <c r="AA850" t="s">
        <v>16564</v>
      </c>
      <c r="AB850" t="s">
        <v>16565</v>
      </c>
      <c r="AC850" t="s">
        <v>16566</v>
      </c>
      <c r="AD850" t="s">
        <v>16567</v>
      </c>
      <c r="AE850" t="s">
        <v>16568</v>
      </c>
      <c r="AF850" t="s">
        <v>74</v>
      </c>
      <c r="AG850">
        <v>39</v>
      </c>
      <c r="AH850">
        <v>1</v>
      </c>
      <c r="AI850">
        <v>2</v>
      </c>
      <c r="AJ850">
        <v>1</v>
      </c>
      <c r="AK850">
        <v>5</v>
      </c>
      <c r="AL850" t="s">
        <v>625</v>
      </c>
      <c r="AM850" t="s">
        <v>167</v>
      </c>
      <c r="AN850" t="s">
        <v>626</v>
      </c>
      <c r="AO850" t="s">
        <v>4213</v>
      </c>
      <c r="AP850" t="s">
        <v>4214</v>
      </c>
      <c r="AQ850" t="s">
        <v>74</v>
      </c>
      <c r="AR850" t="s">
        <v>4215</v>
      </c>
      <c r="AS850" t="s">
        <v>4216</v>
      </c>
      <c r="AT850" t="s">
        <v>1091</v>
      </c>
      <c r="AU850">
        <v>2021</v>
      </c>
      <c r="AV850">
        <v>33</v>
      </c>
      <c r="AW850">
        <v>1</v>
      </c>
      <c r="AX850" t="s">
        <v>74</v>
      </c>
      <c r="AY850" t="s">
        <v>74</v>
      </c>
      <c r="AZ850" t="s">
        <v>74</v>
      </c>
      <c r="BA850" t="s">
        <v>74</v>
      </c>
      <c r="BB850">
        <v>81</v>
      </c>
      <c r="BC850">
        <v>88</v>
      </c>
      <c r="BD850" t="s">
        <v>16569</v>
      </c>
      <c r="BE850" t="s">
        <v>16570</v>
      </c>
      <c r="BF850" t="str">
        <f>HYPERLINK("http://dx.doi.org/10.1017/S0954102020000516","http://dx.doi.org/10.1017/S0954102020000516")</f>
        <v>http://dx.doi.org/10.1017/S0954102020000516</v>
      </c>
      <c r="BG850" t="s">
        <v>74</v>
      </c>
      <c r="BH850" t="s">
        <v>74</v>
      </c>
      <c r="BI850">
        <v>8</v>
      </c>
      <c r="BJ850" t="s">
        <v>4219</v>
      </c>
      <c r="BK850" t="s">
        <v>101</v>
      </c>
      <c r="BL850" t="s">
        <v>4220</v>
      </c>
      <c r="BM850" t="s">
        <v>16453</v>
      </c>
      <c r="BN850" t="s">
        <v>74</v>
      </c>
      <c r="BO850" t="s">
        <v>227</v>
      </c>
      <c r="BP850" t="s">
        <v>74</v>
      </c>
      <c r="BQ850" t="s">
        <v>74</v>
      </c>
      <c r="BR850" t="s">
        <v>104</v>
      </c>
      <c r="BS850" t="s">
        <v>16571</v>
      </c>
      <c r="BT850" t="str">
        <f>HYPERLINK("https%3A%2F%2Fwww.webofscience.com%2Fwos%2Fwoscc%2Ffull-record%2FWOS:000623420200008","View Full Record in Web of Science")</f>
        <v>View Full Record in Web of Science</v>
      </c>
    </row>
    <row r="851" spans="1:72" x14ac:dyDescent="0.15">
      <c r="A851" t="s">
        <v>72</v>
      </c>
      <c r="B851" t="s">
        <v>16572</v>
      </c>
      <c r="C851" t="s">
        <v>74</v>
      </c>
      <c r="D851" t="s">
        <v>74</v>
      </c>
      <c r="E851" t="s">
        <v>74</v>
      </c>
      <c r="F851" t="s">
        <v>16573</v>
      </c>
      <c r="G851" t="s">
        <v>74</v>
      </c>
      <c r="H851" t="s">
        <v>74</v>
      </c>
      <c r="I851" t="s">
        <v>16574</v>
      </c>
      <c r="J851" t="s">
        <v>4202</v>
      </c>
      <c r="K851" t="s">
        <v>74</v>
      </c>
      <c r="L851" t="s">
        <v>74</v>
      </c>
      <c r="M851" t="s">
        <v>78</v>
      </c>
      <c r="N851" t="s">
        <v>79</v>
      </c>
      <c r="O851" t="s">
        <v>74</v>
      </c>
      <c r="P851" t="s">
        <v>74</v>
      </c>
      <c r="Q851" t="s">
        <v>74</v>
      </c>
      <c r="R851" t="s">
        <v>74</v>
      </c>
      <c r="S851" t="s">
        <v>74</v>
      </c>
      <c r="T851" t="s">
        <v>16575</v>
      </c>
      <c r="U851" t="s">
        <v>74</v>
      </c>
      <c r="V851" t="s">
        <v>16576</v>
      </c>
      <c r="W851" t="s">
        <v>16577</v>
      </c>
      <c r="X851" t="s">
        <v>16578</v>
      </c>
      <c r="Y851" t="s">
        <v>16579</v>
      </c>
      <c r="Z851" t="s">
        <v>16580</v>
      </c>
      <c r="AA851" t="s">
        <v>16581</v>
      </c>
      <c r="AB851" t="s">
        <v>16582</v>
      </c>
      <c r="AC851" t="s">
        <v>16583</v>
      </c>
      <c r="AD851" t="s">
        <v>16584</v>
      </c>
      <c r="AE851" t="s">
        <v>16585</v>
      </c>
      <c r="AF851" t="s">
        <v>74</v>
      </c>
      <c r="AG851">
        <v>46</v>
      </c>
      <c r="AH851">
        <v>5</v>
      </c>
      <c r="AI851">
        <v>5</v>
      </c>
      <c r="AJ851">
        <v>1</v>
      </c>
      <c r="AK851">
        <v>7</v>
      </c>
      <c r="AL851" t="s">
        <v>625</v>
      </c>
      <c r="AM851" t="s">
        <v>167</v>
      </c>
      <c r="AN851" t="s">
        <v>626</v>
      </c>
      <c r="AO851" t="s">
        <v>4213</v>
      </c>
      <c r="AP851" t="s">
        <v>4214</v>
      </c>
      <c r="AQ851" t="s">
        <v>74</v>
      </c>
      <c r="AR851" t="s">
        <v>4215</v>
      </c>
      <c r="AS851" t="s">
        <v>4216</v>
      </c>
      <c r="AT851" t="s">
        <v>1091</v>
      </c>
      <c r="AU851">
        <v>2021</v>
      </c>
      <c r="AV851">
        <v>33</v>
      </c>
      <c r="AW851">
        <v>1</v>
      </c>
      <c r="AX851" t="s">
        <v>74</v>
      </c>
      <c r="AY851" t="s">
        <v>74</v>
      </c>
      <c r="AZ851" t="s">
        <v>74</v>
      </c>
      <c r="BA851" t="s">
        <v>74</v>
      </c>
      <c r="BB851">
        <v>89</v>
      </c>
      <c r="BC851">
        <v>102</v>
      </c>
      <c r="BD851" t="s">
        <v>16586</v>
      </c>
      <c r="BE851" t="s">
        <v>16587</v>
      </c>
      <c r="BF851" t="str">
        <f>HYPERLINK("http://dx.doi.org/10.1017/S0954102020000498","http://dx.doi.org/10.1017/S0954102020000498")</f>
        <v>http://dx.doi.org/10.1017/S0954102020000498</v>
      </c>
      <c r="BG851" t="s">
        <v>74</v>
      </c>
      <c r="BH851" t="s">
        <v>74</v>
      </c>
      <c r="BI851">
        <v>14</v>
      </c>
      <c r="BJ851" t="s">
        <v>4219</v>
      </c>
      <c r="BK851" t="s">
        <v>101</v>
      </c>
      <c r="BL851" t="s">
        <v>4220</v>
      </c>
      <c r="BM851" t="s">
        <v>16453</v>
      </c>
      <c r="BN851" t="s">
        <v>74</v>
      </c>
      <c r="BO851" t="s">
        <v>74</v>
      </c>
      <c r="BP851" t="s">
        <v>74</v>
      </c>
      <c r="BQ851" t="s">
        <v>74</v>
      </c>
      <c r="BR851" t="s">
        <v>104</v>
      </c>
      <c r="BS851" t="s">
        <v>16588</v>
      </c>
      <c r="BT851" t="str">
        <f>HYPERLINK("https%3A%2F%2Fwww.webofscience.com%2Fwos%2Fwoscc%2Ffull-record%2FWOS:000623420200009","View Full Record in Web of Science")</f>
        <v>View Full Record in Web of Science</v>
      </c>
    </row>
    <row r="852" spans="1:72" x14ac:dyDescent="0.15">
      <c r="A852" t="s">
        <v>72</v>
      </c>
      <c r="B852" t="s">
        <v>16589</v>
      </c>
      <c r="C852" t="s">
        <v>74</v>
      </c>
      <c r="D852" t="s">
        <v>74</v>
      </c>
      <c r="E852" t="s">
        <v>74</v>
      </c>
      <c r="F852" t="s">
        <v>16590</v>
      </c>
      <c r="G852" t="s">
        <v>74</v>
      </c>
      <c r="H852" t="s">
        <v>74</v>
      </c>
      <c r="I852" t="s">
        <v>16591</v>
      </c>
      <c r="J852" t="s">
        <v>4202</v>
      </c>
      <c r="K852" t="s">
        <v>74</v>
      </c>
      <c r="L852" t="s">
        <v>74</v>
      </c>
      <c r="M852" t="s">
        <v>78</v>
      </c>
      <c r="N852" t="s">
        <v>79</v>
      </c>
      <c r="O852" t="s">
        <v>74</v>
      </c>
      <c r="P852" t="s">
        <v>74</v>
      </c>
      <c r="Q852" t="s">
        <v>74</v>
      </c>
      <c r="R852" t="s">
        <v>74</v>
      </c>
      <c r="S852" t="s">
        <v>74</v>
      </c>
      <c r="T852" t="s">
        <v>16592</v>
      </c>
      <c r="U852" t="s">
        <v>74</v>
      </c>
      <c r="V852" t="s">
        <v>16593</v>
      </c>
      <c r="W852" t="s">
        <v>16594</v>
      </c>
      <c r="X852" t="s">
        <v>16595</v>
      </c>
      <c r="Y852" t="s">
        <v>16596</v>
      </c>
      <c r="Z852" t="s">
        <v>16597</v>
      </c>
      <c r="AA852" t="s">
        <v>16598</v>
      </c>
      <c r="AB852" t="s">
        <v>16599</v>
      </c>
      <c r="AC852" t="s">
        <v>16600</v>
      </c>
      <c r="AD852" t="s">
        <v>16601</v>
      </c>
      <c r="AE852" t="s">
        <v>16602</v>
      </c>
      <c r="AF852" t="s">
        <v>74</v>
      </c>
      <c r="AG852">
        <v>33</v>
      </c>
      <c r="AH852">
        <v>13</v>
      </c>
      <c r="AI852">
        <v>13</v>
      </c>
      <c r="AJ852">
        <v>1</v>
      </c>
      <c r="AK852">
        <v>8</v>
      </c>
      <c r="AL852" t="s">
        <v>625</v>
      </c>
      <c r="AM852" t="s">
        <v>167</v>
      </c>
      <c r="AN852" t="s">
        <v>626</v>
      </c>
      <c r="AO852" t="s">
        <v>4213</v>
      </c>
      <c r="AP852" t="s">
        <v>4214</v>
      </c>
      <c r="AQ852" t="s">
        <v>74</v>
      </c>
      <c r="AR852" t="s">
        <v>4215</v>
      </c>
      <c r="AS852" t="s">
        <v>4216</v>
      </c>
      <c r="AT852" t="s">
        <v>1091</v>
      </c>
      <c r="AU852">
        <v>2021</v>
      </c>
      <c r="AV852">
        <v>33</v>
      </c>
      <c r="AW852">
        <v>1</v>
      </c>
      <c r="AX852" t="s">
        <v>74</v>
      </c>
      <c r="AY852" t="s">
        <v>74</v>
      </c>
      <c r="AZ852" t="s">
        <v>74</v>
      </c>
      <c r="BA852" t="s">
        <v>74</v>
      </c>
      <c r="BB852">
        <v>103</v>
      </c>
      <c r="BC852">
        <v>115</v>
      </c>
      <c r="BD852" t="s">
        <v>74</v>
      </c>
      <c r="BE852" t="s">
        <v>16603</v>
      </c>
      <c r="BF852" t="str">
        <f>HYPERLINK("http://dx.doi.org/10.1017/S0954102020000541","http://dx.doi.org/10.1017/S0954102020000541")</f>
        <v>http://dx.doi.org/10.1017/S0954102020000541</v>
      </c>
      <c r="BG852" t="s">
        <v>74</v>
      </c>
      <c r="BH852" t="s">
        <v>74</v>
      </c>
      <c r="BI852">
        <v>13</v>
      </c>
      <c r="BJ852" t="s">
        <v>4219</v>
      </c>
      <c r="BK852" t="s">
        <v>101</v>
      </c>
      <c r="BL852" t="s">
        <v>4220</v>
      </c>
      <c r="BM852" t="s">
        <v>16453</v>
      </c>
      <c r="BN852" t="s">
        <v>74</v>
      </c>
      <c r="BO852" t="s">
        <v>5118</v>
      </c>
      <c r="BP852" t="s">
        <v>74</v>
      </c>
      <c r="BQ852" t="s">
        <v>74</v>
      </c>
      <c r="BR852" t="s">
        <v>104</v>
      </c>
      <c r="BS852" t="s">
        <v>16604</v>
      </c>
      <c r="BT852" t="str">
        <f>HYPERLINK("https%3A%2F%2Fwww.webofscience.com%2Fwos%2Fwoscc%2Ffull-record%2FWOS:000623420200010","View Full Record in Web of Science")</f>
        <v>View Full Record in Web of Science</v>
      </c>
    </row>
    <row r="853" spans="1:72" x14ac:dyDescent="0.15">
      <c r="A853" t="s">
        <v>72</v>
      </c>
      <c r="B853" t="s">
        <v>16605</v>
      </c>
      <c r="C853" t="s">
        <v>74</v>
      </c>
      <c r="D853" t="s">
        <v>74</v>
      </c>
      <c r="E853" t="s">
        <v>74</v>
      </c>
      <c r="F853" t="s">
        <v>16606</v>
      </c>
      <c r="G853" t="s">
        <v>74</v>
      </c>
      <c r="H853" t="s">
        <v>74</v>
      </c>
      <c r="I853" t="s">
        <v>16607</v>
      </c>
      <c r="J853" t="s">
        <v>16608</v>
      </c>
      <c r="K853" t="s">
        <v>74</v>
      </c>
      <c r="L853" t="s">
        <v>74</v>
      </c>
      <c r="M853" t="s">
        <v>78</v>
      </c>
      <c r="N853" t="s">
        <v>79</v>
      </c>
      <c r="O853" t="s">
        <v>74</v>
      </c>
      <c r="P853" t="s">
        <v>74</v>
      </c>
      <c r="Q853" t="s">
        <v>74</v>
      </c>
      <c r="R853" t="s">
        <v>74</v>
      </c>
      <c r="S853" t="s">
        <v>74</v>
      </c>
      <c r="T853" t="s">
        <v>16609</v>
      </c>
      <c r="U853" t="s">
        <v>16610</v>
      </c>
      <c r="V853" t="s">
        <v>16611</v>
      </c>
      <c r="W853" t="s">
        <v>16612</v>
      </c>
      <c r="X853" t="s">
        <v>16613</v>
      </c>
      <c r="Y853" t="s">
        <v>16614</v>
      </c>
      <c r="Z853" t="s">
        <v>16615</v>
      </c>
      <c r="AA853" t="s">
        <v>16616</v>
      </c>
      <c r="AB853" t="s">
        <v>16617</v>
      </c>
      <c r="AC853" t="s">
        <v>16618</v>
      </c>
      <c r="AD853" t="s">
        <v>16619</v>
      </c>
      <c r="AE853" t="s">
        <v>16620</v>
      </c>
      <c r="AF853" t="s">
        <v>74</v>
      </c>
      <c r="AG853">
        <v>37</v>
      </c>
      <c r="AH853">
        <v>7</v>
      </c>
      <c r="AI853">
        <v>7</v>
      </c>
      <c r="AJ853">
        <v>1</v>
      </c>
      <c r="AK853">
        <v>13</v>
      </c>
      <c r="AL853" t="s">
        <v>917</v>
      </c>
      <c r="AM853" t="s">
        <v>390</v>
      </c>
      <c r="AN853" t="s">
        <v>918</v>
      </c>
      <c r="AO853" t="s">
        <v>74</v>
      </c>
      <c r="AP853" t="s">
        <v>16621</v>
      </c>
      <c r="AQ853" t="s">
        <v>74</v>
      </c>
      <c r="AR853" t="s">
        <v>16608</v>
      </c>
      <c r="AS853" t="s">
        <v>16622</v>
      </c>
      <c r="AT853" t="s">
        <v>1091</v>
      </c>
      <c r="AU853">
        <v>2021</v>
      </c>
      <c r="AV853">
        <v>9</v>
      </c>
      <c r="AW853">
        <v>2</v>
      </c>
      <c r="AX853" t="s">
        <v>74</v>
      </c>
      <c r="AY853" t="s">
        <v>74</v>
      </c>
      <c r="AZ853" t="s">
        <v>74</v>
      </c>
      <c r="BA853" t="s">
        <v>74</v>
      </c>
      <c r="BB853" t="s">
        <v>74</v>
      </c>
      <c r="BC853" t="s">
        <v>74</v>
      </c>
      <c r="BD853" t="s">
        <v>16623</v>
      </c>
      <c r="BE853" t="s">
        <v>16624</v>
      </c>
      <c r="BF853" t="str">
        <f>HYPERLINK("http://dx.doi.org/10.1029/2020EF001825","http://dx.doi.org/10.1029/2020EF001825")</f>
        <v>http://dx.doi.org/10.1029/2020EF001825</v>
      </c>
      <c r="BG853" t="s">
        <v>74</v>
      </c>
      <c r="BH853" t="s">
        <v>74</v>
      </c>
      <c r="BI853">
        <v>17</v>
      </c>
      <c r="BJ853" t="s">
        <v>6147</v>
      </c>
      <c r="BK853" t="s">
        <v>101</v>
      </c>
      <c r="BL853" t="s">
        <v>6148</v>
      </c>
      <c r="BM853" t="s">
        <v>16625</v>
      </c>
      <c r="BN853" t="s">
        <v>74</v>
      </c>
      <c r="BO853" t="s">
        <v>398</v>
      </c>
      <c r="BP853" t="s">
        <v>74</v>
      </c>
      <c r="BQ853" t="s">
        <v>74</v>
      </c>
      <c r="BR853" t="s">
        <v>104</v>
      </c>
      <c r="BS853" t="s">
        <v>16626</v>
      </c>
      <c r="BT853" t="str">
        <f>HYPERLINK("https%3A%2F%2Fwww.webofscience.com%2Fwos%2Fwoscc%2Ffull-record%2FWOS:000623816500006","View Full Record in Web of Science")</f>
        <v>View Full Record in Web of Science</v>
      </c>
    </row>
    <row r="854" spans="1:72" x14ac:dyDescent="0.15">
      <c r="A854" t="s">
        <v>72</v>
      </c>
      <c r="B854" t="s">
        <v>16627</v>
      </c>
      <c r="C854" t="s">
        <v>74</v>
      </c>
      <c r="D854" t="s">
        <v>74</v>
      </c>
      <c r="E854" t="s">
        <v>74</v>
      </c>
      <c r="F854" t="s">
        <v>16628</v>
      </c>
      <c r="G854" t="s">
        <v>74</v>
      </c>
      <c r="H854" t="s">
        <v>74</v>
      </c>
      <c r="I854" t="s">
        <v>16629</v>
      </c>
      <c r="J854" t="s">
        <v>11452</v>
      </c>
      <c r="K854" t="s">
        <v>74</v>
      </c>
      <c r="L854" t="s">
        <v>74</v>
      </c>
      <c r="M854" t="s">
        <v>78</v>
      </c>
      <c r="N854" t="s">
        <v>79</v>
      </c>
      <c r="O854" t="s">
        <v>74</v>
      </c>
      <c r="P854" t="s">
        <v>74</v>
      </c>
      <c r="Q854" t="s">
        <v>74</v>
      </c>
      <c r="R854" t="s">
        <v>74</v>
      </c>
      <c r="S854" t="s">
        <v>74</v>
      </c>
      <c r="T854" t="s">
        <v>74</v>
      </c>
      <c r="U854" t="s">
        <v>74</v>
      </c>
      <c r="V854" t="s">
        <v>16630</v>
      </c>
      <c r="W854" t="s">
        <v>16631</v>
      </c>
      <c r="X854" t="s">
        <v>16632</v>
      </c>
      <c r="Y854" t="s">
        <v>16633</v>
      </c>
      <c r="Z854" t="s">
        <v>16634</v>
      </c>
      <c r="AA854" t="s">
        <v>16635</v>
      </c>
      <c r="AB854" t="s">
        <v>16636</v>
      </c>
      <c r="AC854" t="s">
        <v>16637</v>
      </c>
      <c r="AD854" t="s">
        <v>16638</v>
      </c>
      <c r="AE854" t="s">
        <v>16639</v>
      </c>
      <c r="AF854" t="s">
        <v>74</v>
      </c>
      <c r="AG854">
        <v>11</v>
      </c>
      <c r="AH854">
        <v>2</v>
      </c>
      <c r="AI854">
        <v>2</v>
      </c>
      <c r="AJ854">
        <v>0</v>
      </c>
      <c r="AK854">
        <v>1</v>
      </c>
      <c r="AL854" t="s">
        <v>389</v>
      </c>
      <c r="AM854" t="s">
        <v>390</v>
      </c>
      <c r="AN854" t="s">
        <v>391</v>
      </c>
      <c r="AO854" t="s">
        <v>11462</v>
      </c>
      <c r="AP854" t="s">
        <v>74</v>
      </c>
      <c r="AQ854" t="s">
        <v>74</v>
      </c>
      <c r="AR854" t="s">
        <v>11463</v>
      </c>
      <c r="AS854" t="s">
        <v>11464</v>
      </c>
      <c r="AT854" t="s">
        <v>1091</v>
      </c>
      <c r="AU854">
        <v>2021</v>
      </c>
      <c r="AV854">
        <v>10</v>
      </c>
      <c r="AW854">
        <v>8</v>
      </c>
      <c r="AX854" t="s">
        <v>74</v>
      </c>
      <c r="AY854" t="s">
        <v>74</v>
      </c>
      <c r="AZ854" t="s">
        <v>74</v>
      </c>
      <c r="BA854" t="s">
        <v>74</v>
      </c>
      <c r="BB854" t="s">
        <v>74</v>
      </c>
      <c r="BC854" t="s">
        <v>74</v>
      </c>
      <c r="BD854" t="s">
        <v>16640</v>
      </c>
      <c r="BE854" t="s">
        <v>16641</v>
      </c>
      <c r="BF854" t="str">
        <f>HYPERLINK("http://dx.doi.org/10.1128/MRA.00063-21","http://dx.doi.org/10.1128/MRA.00063-21")</f>
        <v>http://dx.doi.org/10.1128/MRA.00063-21</v>
      </c>
      <c r="BG854" t="s">
        <v>74</v>
      </c>
      <c r="BH854" t="s">
        <v>74</v>
      </c>
      <c r="BI854">
        <v>2</v>
      </c>
      <c r="BJ854" t="s">
        <v>396</v>
      </c>
      <c r="BK854" t="s">
        <v>342</v>
      </c>
      <c r="BL854" t="s">
        <v>396</v>
      </c>
      <c r="BM854" t="s">
        <v>16642</v>
      </c>
      <c r="BN854">
        <v>33632855</v>
      </c>
      <c r="BO854" t="s">
        <v>398</v>
      </c>
      <c r="BP854" t="s">
        <v>74</v>
      </c>
      <c r="BQ854" t="s">
        <v>74</v>
      </c>
      <c r="BR854" t="s">
        <v>104</v>
      </c>
      <c r="BS854" t="s">
        <v>16643</v>
      </c>
      <c r="BT854" t="str">
        <f>HYPERLINK("https%3A%2F%2Fwww.webofscience.com%2Fwos%2Fwoscc%2Ffull-record%2FWOS:000623676400004","View Full Record in Web of Science")</f>
        <v>View Full Record in Web of Science</v>
      </c>
    </row>
    <row r="855" spans="1:72" x14ac:dyDescent="0.15">
      <c r="A855" t="s">
        <v>72</v>
      </c>
      <c r="B855" t="s">
        <v>16644</v>
      </c>
      <c r="C855" t="s">
        <v>74</v>
      </c>
      <c r="D855" t="s">
        <v>74</v>
      </c>
      <c r="E855" t="s">
        <v>74</v>
      </c>
      <c r="F855" t="s">
        <v>16645</v>
      </c>
      <c r="G855" t="s">
        <v>74</v>
      </c>
      <c r="H855" t="s">
        <v>74</v>
      </c>
      <c r="I855" t="s">
        <v>16646</v>
      </c>
      <c r="J855" t="s">
        <v>4669</v>
      </c>
      <c r="K855" t="s">
        <v>74</v>
      </c>
      <c r="L855" t="s">
        <v>74</v>
      </c>
      <c r="M855" t="s">
        <v>78</v>
      </c>
      <c r="N855" t="s">
        <v>79</v>
      </c>
      <c r="O855" t="s">
        <v>74</v>
      </c>
      <c r="P855" t="s">
        <v>74</v>
      </c>
      <c r="Q855" t="s">
        <v>74</v>
      </c>
      <c r="R855" t="s">
        <v>74</v>
      </c>
      <c r="S855" t="s">
        <v>74</v>
      </c>
      <c r="T855" t="s">
        <v>16647</v>
      </c>
      <c r="U855" t="s">
        <v>74</v>
      </c>
      <c r="V855" t="s">
        <v>16648</v>
      </c>
      <c r="W855" t="s">
        <v>16649</v>
      </c>
      <c r="X855" t="s">
        <v>16650</v>
      </c>
      <c r="Y855" t="s">
        <v>16651</v>
      </c>
      <c r="Z855" t="s">
        <v>16652</v>
      </c>
      <c r="AA855" t="s">
        <v>16653</v>
      </c>
      <c r="AB855" t="s">
        <v>16654</v>
      </c>
      <c r="AC855" t="s">
        <v>16655</v>
      </c>
      <c r="AD855" t="s">
        <v>16656</v>
      </c>
      <c r="AE855" t="s">
        <v>16657</v>
      </c>
      <c r="AF855" t="s">
        <v>74</v>
      </c>
      <c r="AG855">
        <v>81</v>
      </c>
      <c r="AH855">
        <v>7</v>
      </c>
      <c r="AI855">
        <v>7</v>
      </c>
      <c r="AJ855">
        <v>4</v>
      </c>
      <c r="AK855">
        <v>18</v>
      </c>
      <c r="AL855" t="s">
        <v>917</v>
      </c>
      <c r="AM855" t="s">
        <v>390</v>
      </c>
      <c r="AN855" t="s">
        <v>918</v>
      </c>
      <c r="AO855" t="s">
        <v>4681</v>
      </c>
      <c r="AP855" t="s">
        <v>4682</v>
      </c>
      <c r="AQ855" t="s">
        <v>74</v>
      </c>
      <c r="AR855" t="s">
        <v>4683</v>
      </c>
      <c r="AS855" t="s">
        <v>4684</v>
      </c>
      <c r="AT855" t="s">
        <v>1091</v>
      </c>
      <c r="AU855">
        <v>2021</v>
      </c>
      <c r="AV855">
        <v>36</v>
      </c>
      <c r="AW855">
        <v>2</v>
      </c>
      <c r="AX855" t="s">
        <v>74</v>
      </c>
      <c r="AY855" t="s">
        <v>74</v>
      </c>
      <c r="AZ855" t="s">
        <v>74</v>
      </c>
      <c r="BA855" t="s">
        <v>74</v>
      </c>
      <c r="BB855" t="s">
        <v>74</v>
      </c>
      <c r="BC855" t="s">
        <v>74</v>
      </c>
      <c r="BD855" t="s">
        <v>16658</v>
      </c>
      <c r="BE855" t="s">
        <v>16659</v>
      </c>
      <c r="BF855" t="str">
        <f>HYPERLINK("http://dx.doi.org/10.1029/2020PA004172","http://dx.doi.org/10.1029/2020PA004172")</f>
        <v>http://dx.doi.org/10.1029/2020PA004172</v>
      </c>
      <c r="BG855" t="s">
        <v>74</v>
      </c>
      <c r="BH855" t="s">
        <v>74</v>
      </c>
      <c r="BI855">
        <v>11</v>
      </c>
      <c r="BJ855" t="s">
        <v>4687</v>
      </c>
      <c r="BK855" t="s">
        <v>101</v>
      </c>
      <c r="BL855" t="s">
        <v>4688</v>
      </c>
      <c r="BM855" t="s">
        <v>16660</v>
      </c>
      <c r="BN855" t="s">
        <v>74</v>
      </c>
      <c r="BO855" t="s">
        <v>4573</v>
      </c>
      <c r="BP855" t="s">
        <v>74</v>
      </c>
      <c r="BQ855" t="s">
        <v>74</v>
      </c>
      <c r="BR855" t="s">
        <v>104</v>
      </c>
      <c r="BS855" t="s">
        <v>16661</v>
      </c>
      <c r="BT855" t="str">
        <f>HYPERLINK("https%3A%2F%2Fwww.webofscience.com%2Fwos%2Fwoscc%2Ffull-record%2FWOS:000624116800008","View Full Record in Web of Science")</f>
        <v>View Full Record in Web of Science</v>
      </c>
    </row>
    <row r="856" spans="1:72" x14ac:dyDescent="0.15">
      <c r="A856" t="s">
        <v>72</v>
      </c>
      <c r="B856" t="s">
        <v>16662</v>
      </c>
      <c r="C856" t="s">
        <v>74</v>
      </c>
      <c r="D856" t="s">
        <v>74</v>
      </c>
      <c r="E856" t="s">
        <v>74</v>
      </c>
      <c r="F856" t="s">
        <v>16663</v>
      </c>
      <c r="G856" t="s">
        <v>74</v>
      </c>
      <c r="H856" t="s">
        <v>74</v>
      </c>
      <c r="I856" t="s">
        <v>16664</v>
      </c>
      <c r="J856" t="s">
        <v>4669</v>
      </c>
      <c r="K856" t="s">
        <v>74</v>
      </c>
      <c r="L856" t="s">
        <v>74</v>
      </c>
      <c r="M856" t="s">
        <v>78</v>
      </c>
      <c r="N856" t="s">
        <v>79</v>
      </c>
      <c r="O856" t="s">
        <v>74</v>
      </c>
      <c r="P856" t="s">
        <v>74</v>
      </c>
      <c r="Q856" t="s">
        <v>74</v>
      </c>
      <c r="R856" t="s">
        <v>74</v>
      </c>
      <c r="S856" t="s">
        <v>74</v>
      </c>
      <c r="T856" t="s">
        <v>16665</v>
      </c>
      <c r="U856" t="s">
        <v>74</v>
      </c>
      <c r="V856" t="s">
        <v>16666</v>
      </c>
      <c r="W856" t="s">
        <v>16667</v>
      </c>
      <c r="X856" t="s">
        <v>16668</v>
      </c>
      <c r="Y856" t="s">
        <v>16669</v>
      </c>
      <c r="Z856" t="s">
        <v>16670</v>
      </c>
      <c r="AA856" t="s">
        <v>16671</v>
      </c>
      <c r="AB856" t="s">
        <v>16672</v>
      </c>
      <c r="AC856" t="s">
        <v>16673</v>
      </c>
      <c r="AD856" t="s">
        <v>16674</v>
      </c>
      <c r="AE856" t="s">
        <v>16675</v>
      </c>
      <c r="AF856" t="s">
        <v>74</v>
      </c>
      <c r="AG856">
        <v>98</v>
      </c>
      <c r="AH856">
        <v>10</v>
      </c>
      <c r="AI856">
        <v>11</v>
      </c>
      <c r="AJ856">
        <v>2</v>
      </c>
      <c r="AK856">
        <v>25</v>
      </c>
      <c r="AL856" t="s">
        <v>917</v>
      </c>
      <c r="AM856" t="s">
        <v>390</v>
      </c>
      <c r="AN856" t="s">
        <v>918</v>
      </c>
      <c r="AO856" t="s">
        <v>4681</v>
      </c>
      <c r="AP856" t="s">
        <v>4682</v>
      </c>
      <c r="AQ856" t="s">
        <v>74</v>
      </c>
      <c r="AR856" t="s">
        <v>4683</v>
      </c>
      <c r="AS856" t="s">
        <v>4684</v>
      </c>
      <c r="AT856" t="s">
        <v>1091</v>
      </c>
      <c r="AU856">
        <v>2021</v>
      </c>
      <c r="AV856">
        <v>36</v>
      </c>
      <c r="AW856">
        <v>2</v>
      </c>
      <c r="AX856" t="s">
        <v>74</v>
      </c>
      <c r="AY856" t="s">
        <v>74</v>
      </c>
      <c r="AZ856" t="s">
        <v>74</v>
      </c>
      <c r="BA856" t="s">
        <v>74</v>
      </c>
      <c r="BB856" t="s">
        <v>74</v>
      </c>
      <c r="BC856" t="s">
        <v>74</v>
      </c>
      <c r="BD856" t="s">
        <v>16676</v>
      </c>
      <c r="BE856" t="s">
        <v>16677</v>
      </c>
      <c r="BF856" t="str">
        <f>HYPERLINK("http://dx.doi.org/10.1029/2020PA003994","http://dx.doi.org/10.1029/2020PA003994")</f>
        <v>http://dx.doi.org/10.1029/2020PA003994</v>
      </c>
      <c r="BG856" t="s">
        <v>74</v>
      </c>
      <c r="BH856" t="s">
        <v>74</v>
      </c>
      <c r="BI856">
        <v>27</v>
      </c>
      <c r="BJ856" t="s">
        <v>4687</v>
      </c>
      <c r="BK856" t="s">
        <v>101</v>
      </c>
      <c r="BL856" t="s">
        <v>4688</v>
      </c>
      <c r="BM856" t="s">
        <v>16660</v>
      </c>
      <c r="BN856" t="s">
        <v>74</v>
      </c>
      <c r="BO856" t="s">
        <v>16678</v>
      </c>
      <c r="BP856" t="s">
        <v>74</v>
      </c>
      <c r="BQ856" t="s">
        <v>74</v>
      </c>
      <c r="BR856" t="s">
        <v>104</v>
      </c>
      <c r="BS856" t="s">
        <v>16679</v>
      </c>
      <c r="BT856" t="str">
        <f>HYPERLINK("https%3A%2F%2Fwww.webofscience.com%2Fwos%2Fwoscc%2Ffull-record%2FWOS:000624116800011","View Full Record in Web of Science")</f>
        <v>View Full Record in Web of Science</v>
      </c>
    </row>
    <row r="857" spans="1:72" x14ac:dyDescent="0.15">
      <c r="A857" t="s">
        <v>72</v>
      </c>
      <c r="B857" t="s">
        <v>16680</v>
      </c>
      <c r="C857" t="s">
        <v>74</v>
      </c>
      <c r="D857" t="s">
        <v>74</v>
      </c>
      <c r="E857" t="s">
        <v>74</v>
      </c>
      <c r="F857" t="s">
        <v>16681</v>
      </c>
      <c r="G857" t="s">
        <v>74</v>
      </c>
      <c r="H857" t="s">
        <v>74</v>
      </c>
      <c r="I857" t="s">
        <v>16682</v>
      </c>
      <c r="J857" t="s">
        <v>11550</v>
      </c>
      <c r="K857" t="s">
        <v>74</v>
      </c>
      <c r="L857" t="s">
        <v>74</v>
      </c>
      <c r="M857" t="s">
        <v>78</v>
      </c>
      <c r="N857" t="s">
        <v>79</v>
      </c>
      <c r="O857" t="s">
        <v>74</v>
      </c>
      <c r="P857" t="s">
        <v>74</v>
      </c>
      <c r="Q857" t="s">
        <v>74</v>
      </c>
      <c r="R857" t="s">
        <v>74</v>
      </c>
      <c r="S857" t="s">
        <v>74</v>
      </c>
      <c r="T857" t="s">
        <v>16683</v>
      </c>
      <c r="U857" t="s">
        <v>74</v>
      </c>
      <c r="V857" t="s">
        <v>16684</v>
      </c>
      <c r="W857" t="s">
        <v>16685</v>
      </c>
      <c r="X857" t="s">
        <v>16686</v>
      </c>
      <c r="Y857" t="s">
        <v>16687</v>
      </c>
      <c r="Z857" t="s">
        <v>16688</v>
      </c>
      <c r="AA857" t="s">
        <v>16689</v>
      </c>
      <c r="AB857" t="s">
        <v>16690</v>
      </c>
      <c r="AC857" t="s">
        <v>16691</v>
      </c>
      <c r="AD857" t="s">
        <v>16692</v>
      </c>
      <c r="AE857" t="s">
        <v>16693</v>
      </c>
      <c r="AF857" t="s">
        <v>74</v>
      </c>
      <c r="AG857">
        <v>103</v>
      </c>
      <c r="AH857">
        <v>6</v>
      </c>
      <c r="AI857">
        <v>7</v>
      </c>
      <c r="AJ857">
        <v>1</v>
      </c>
      <c r="AK857">
        <v>7</v>
      </c>
      <c r="AL857" t="s">
        <v>335</v>
      </c>
      <c r="AM857" t="s">
        <v>336</v>
      </c>
      <c r="AN857" t="s">
        <v>337</v>
      </c>
      <c r="AO857" t="s">
        <v>74</v>
      </c>
      <c r="AP857" t="s">
        <v>11562</v>
      </c>
      <c r="AQ857" t="s">
        <v>74</v>
      </c>
      <c r="AR857" t="s">
        <v>11563</v>
      </c>
      <c r="AS857" t="s">
        <v>11564</v>
      </c>
      <c r="AT857" t="s">
        <v>1091</v>
      </c>
      <c r="AU857">
        <v>2021</v>
      </c>
      <c r="AV857">
        <v>13</v>
      </c>
      <c r="AW857">
        <v>4</v>
      </c>
      <c r="AX857" t="s">
        <v>74</v>
      </c>
      <c r="AY857" t="s">
        <v>74</v>
      </c>
      <c r="AZ857" t="s">
        <v>74</v>
      </c>
      <c r="BA857" t="s">
        <v>74</v>
      </c>
      <c r="BB857" t="s">
        <v>74</v>
      </c>
      <c r="BC857" t="s">
        <v>74</v>
      </c>
      <c r="BD857">
        <v>515</v>
      </c>
      <c r="BE857" t="s">
        <v>16694</v>
      </c>
      <c r="BF857" t="str">
        <f>HYPERLINK("http://dx.doi.org/10.3390/w13040515","http://dx.doi.org/10.3390/w13040515")</f>
        <v>http://dx.doi.org/10.3390/w13040515</v>
      </c>
      <c r="BG857" t="s">
        <v>74</v>
      </c>
      <c r="BH857" t="s">
        <v>74</v>
      </c>
      <c r="BI857">
        <v>17</v>
      </c>
      <c r="BJ857" t="s">
        <v>11566</v>
      </c>
      <c r="BK857" t="s">
        <v>101</v>
      </c>
      <c r="BL857" t="s">
        <v>11567</v>
      </c>
      <c r="BM857" t="s">
        <v>16695</v>
      </c>
      <c r="BN857" t="s">
        <v>74</v>
      </c>
      <c r="BO857" t="s">
        <v>2089</v>
      </c>
      <c r="BP857" t="s">
        <v>74</v>
      </c>
      <c r="BQ857" t="s">
        <v>74</v>
      </c>
      <c r="BR857" t="s">
        <v>104</v>
      </c>
      <c r="BS857" t="s">
        <v>16696</v>
      </c>
      <c r="BT857" t="str">
        <f>HYPERLINK("https%3A%2F%2Fwww.webofscience.com%2Fwos%2Fwoscc%2Ffull-record%2FWOS:000624877000001","View Full Record in Web of Science")</f>
        <v>View Full Record in Web of Science</v>
      </c>
    </row>
    <row r="858" spans="1:72" x14ac:dyDescent="0.15">
      <c r="A858" t="s">
        <v>72</v>
      </c>
      <c r="B858" t="s">
        <v>16697</v>
      </c>
      <c r="C858" t="s">
        <v>74</v>
      </c>
      <c r="D858" t="s">
        <v>74</v>
      </c>
      <c r="E858" t="s">
        <v>74</v>
      </c>
      <c r="F858" t="s">
        <v>16698</v>
      </c>
      <c r="G858" t="s">
        <v>74</v>
      </c>
      <c r="H858" t="s">
        <v>74</v>
      </c>
      <c r="I858" t="s">
        <v>16699</v>
      </c>
      <c r="J858" t="s">
        <v>5727</v>
      </c>
      <c r="K858" t="s">
        <v>74</v>
      </c>
      <c r="L858" t="s">
        <v>74</v>
      </c>
      <c r="M858" t="s">
        <v>78</v>
      </c>
      <c r="N858" t="s">
        <v>79</v>
      </c>
      <c r="O858" t="s">
        <v>74</v>
      </c>
      <c r="P858" t="s">
        <v>74</v>
      </c>
      <c r="Q858" t="s">
        <v>74</v>
      </c>
      <c r="R858" t="s">
        <v>74</v>
      </c>
      <c r="S858" t="s">
        <v>74</v>
      </c>
      <c r="T858" t="s">
        <v>16700</v>
      </c>
      <c r="U858" t="s">
        <v>74</v>
      </c>
      <c r="V858" t="s">
        <v>16701</v>
      </c>
      <c r="W858" t="s">
        <v>16702</v>
      </c>
      <c r="X858" t="s">
        <v>16703</v>
      </c>
      <c r="Y858" t="s">
        <v>16704</v>
      </c>
      <c r="Z858" t="s">
        <v>16705</v>
      </c>
      <c r="AA858" t="s">
        <v>16706</v>
      </c>
      <c r="AB858" t="s">
        <v>16707</v>
      </c>
      <c r="AC858" t="s">
        <v>16708</v>
      </c>
      <c r="AD858" t="s">
        <v>16709</v>
      </c>
      <c r="AE858" t="s">
        <v>16710</v>
      </c>
      <c r="AF858" t="s">
        <v>74</v>
      </c>
      <c r="AG858">
        <v>43</v>
      </c>
      <c r="AH858">
        <v>10</v>
      </c>
      <c r="AI858">
        <v>10</v>
      </c>
      <c r="AJ858">
        <v>0</v>
      </c>
      <c r="AK858">
        <v>6</v>
      </c>
      <c r="AL858" t="s">
        <v>335</v>
      </c>
      <c r="AM858" t="s">
        <v>336</v>
      </c>
      <c r="AN858" t="s">
        <v>337</v>
      </c>
      <c r="AO858" t="s">
        <v>74</v>
      </c>
      <c r="AP858" t="s">
        <v>5740</v>
      </c>
      <c r="AQ858" t="s">
        <v>74</v>
      </c>
      <c r="AR858" t="s">
        <v>5727</v>
      </c>
      <c r="AS858" t="s">
        <v>5741</v>
      </c>
      <c r="AT858" t="s">
        <v>1091</v>
      </c>
      <c r="AU858">
        <v>2021</v>
      </c>
      <c r="AV858">
        <v>26</v>
      </c>
      <c r="AW858">
        <v>4</v>
      </c>
      <c r="AX858" t="s">
        <v>74</v>
      </c>
      <c r="AY858" t="s">
        <v>74</v>
      </c>
      <c r="AZ858" t="s">
        <v>74</v>
      </c>
      <c r="BA858" t="s">
        <v>74</v>
      </c>
      <c r="BB858" t="s">
        <v>74</v>
      </c>
      <c r="BC858" t="s">
        <v>74</v>
      </c>
      <c r="BD858">
        <v>1182</v>
      </c>
      <c r="BE858" t="s">
        <v>16711</v>
      </c>
      <c r="BF858" t="str">
        <f>HYPERLINK("http://dx.doi.org/10.3390/molecules26041182","http://dx.doi.org/10.3390/molecules26041182")</f>
        <v>http://dx.doi.org/10.3390/molecules26041182</v>
      </c>
      <c r="BG858" t="s">
        <v>74</v>
      </c>
      <c r="BH858" t="s">
        <v>74</v>
      </c>
      <c r="BI858">
        <v>13</v>
      </c>
      <c r="BJ858" t="s">
        <v>5550</v>
      </c>
      <c r="BK858" t="s">
        <v>101</v>
      </c>
      <c r="BL858" t="s">
        <v>5551</v>
      </c>
      <c r="BM858" t="s">
        <v>16712</v>
      </c>
      <c r="BN858">
        <v>33672102</v>
      </c>
      <c r="BO858" t="s">
        <v>558</v>
      </c>
      <c r="BP858" t="s">
        <v>74</v>
      </c>
      <c r="BQ858" t="s">
        <v>74</v>
      </c>
      <c r="BR858" t="s">
        <v>104</v>
      </c>
      <c r="BS858" t="s">
        <v>16713</v>
      </c>
      <c r="BT858" t="str">
        <f>HYPERLINK("https%3A%2F%2Fwww.webofscience.com%2Fwos%2Fwoscc%2Ffull-record%2FWOS:000624170400001","View Full Record in Web of Science")</f>
        <v>View Full Record in Web of Science</v>
      </c>
    </row>
    <row r="859" spans="1:72" x14ac:dyDescent="0.15">
      <c r="A859" t="s">
        <v>72</v>
      </c>
      <c r="B859" t="s">
        <v>16714</v>
      </c>
      <c r="C859" t="s">
        <v>74</v>
      </c>
      <c r="D859" t="s">
        <v>74</v>
      </c>
      <c r="E859" t="s">
        <v>74</v>
      </c>
      <c r="F859" t="s">
        <v>16715</v>
      </c>
      <c r="G859" t="s">
        <v>74</v>
      </c>
      <c r="H859" t="s">
        <v>74</v>
      </c>
      <c r="I859" t="s">
        <v>16716</v>
      </c>
      <c r="J859" t="s">
        <v>11487</v>
      </c>
      <c r="K859" t="s">
        <v>74</v>
      </c>
      <c r="L859" t="s">
        <v>74</v>
      </c>
      <c r="M859" t="s">
        <v>78</v>
      </c>
      <c r="N859" t="s">
        <v>79</v>
      </c>
      <c r="O859" t="s">
        <v>74</v>
      </c>
      <c r="P859" t="s">
        <v>74</v>
      </c>
      <c r="Q859" t="s">
        <v>74</v>
      </c>
      <c r="R859" t="s">
        <v>74</v>
      </c>
      <c r="S859" t="s">
        <v>74</v>
      </c>
      <c r="T859" t="s">
        <v>16717</v>
      </c>
      <c r="U859" t="s">
        <v>74</v>
      </c>
      <c r="V859" t="s">
        <v>16718</v>
      </c>
      <c r="W859" t="s">
        <v>16719</v>
      </c>
      <c r="X859" t="s">
        <v>16720</v>
      </c>
      <c r="Y859" t="s">
        <v>16721</v>
      </c>
      <c r="Z859" t="s">
        <v>16722</v>
      </c>
      <c r="AA859" t="s">
        <v>16723</v>
      </c>
      <c r="AB859" t="s">
        <v>16724</v>
      </c>
      <c r="AC859" t="s">
        <v>16725</v>
      </c>
      <c r="AD859" t="s">
        <v>16726</v>
      </c>
      <c r="AE859" t="s">
        <v>16727</v>
      </c>
      <c r="AF859" t="s">
        <v>74</v>
      </c>
      <c r="AG859">
        <v>31</v>
      </c>
      <c r="AH859">
        <v>5</v>
      </c>
      <c r="AI859">
        <v>6</v>
      </c>
      <c r="AJ859">
        <v>1</v>
      </c>
      <c r="AK859">
        <v>11</v>
      </c>
      <c r="AL859" t="s">
        <v>335</v>
      </c>
      <c r="AM859" t="s">
        <v>336</v>
      </c>
      <c r="AN859" t="s">
        <v>337</v>
      </c>
      <c r="AO859" t="s">
        <v>74</v>
      </c>
      <c r="AP859" t="s">
        <v>11499</v>
      </c>
      <c r="AQ859" t="s">
        <v>74</v>
      </c>
      <c r="AR859" t="s">
        <v>11500</v>
      </c>
      <c r="AS859" t="s">
        <v>11501</v>
      </c>
      <c r="AT859" t="s">
        <v>1091</v>
      </c>
      <c r="AU859">
        <v>2021</v>
      </c>
      <c r="AV859">
        <v>21</v>
      </c>
      <c r="AW859">
        <v>4</v>
      </c>
      <c r="AX859" t="s">
        <v>74</v>
      </c>
      <c r="AY859" t="s">
        <v>74</v>
      </c>
      <c r="AZ859" t="s">
        <v>74</v>
      </c>
      <c r="BA859" t="s">
        <v>74</v>
      </c>
      <c r="BB859" t="s">
        <v>74</v>
      </c>
      <c r="BC859" t="s">
        <v>74</v>
      </c>
      <c r="BD859">
        <v>1303</v>
      </c>
      <c r="BE859" t="s">
        <v>16728</v>
      </c>
      <c r="BF859" t="str">
        <f>HYPERLINK("http://dx.doi.org/10.3390/s21041303","http://dx.doi.org/10.3390/s21041303")</f>
        <v>http://dx.doi.org/10.3390/s21041303</v>
      </c>
      <c r="BG859" t="s">
        <v>74</v>
      </c>
      <c r="BH859" t="s">
        <v>74</v>
      </c>
      <c r="BI859">
        <v>6</v>
      </c>
      <c r="BJ859" t="s">
        <v>11503</v>
      </c>
      <c r="BK859" t="s">
        <v>101</v>
      </c>
      <c r="BL859" t="s">
        <v>11504</v>
      </c>
      <c r="BM859" t="s">
        <v>16729</v>
      </c>
      <c r="BN859">
        <v>33670324</v>
      </c>
      <c r="BO859" t="s">
        <v>558</v>
      </c>
      <c r="BP859" t="s">
        <v>74</v>
      </c>
      <c r="BQ859" t="s">
        <v>74</v>
      </c>
      <c r="BR859" t="s">
        <v>104</v>
      </c>
      <c r="BS859" t="s">
        <v>16730</v>
      </c>
      <c r="BT859" t="str">
        <f>HYPERLINK("https%3A%2F%2Fwww.webofscience.com%2Fwos%2Fwoscc%2Ffull-record%2FWOS:000624698500001","View Full Record in Web of Science")</f>
        <v>View Full Record in Web of Science</v>
      </c>
    </row>
    <row r="860" spans="1:72" x14ac:dyDescent="0.15">
      <c r="A860" t="s">
        <v>72</v>
      </c>
      <c r="B860" t="s">
        <v>16731</v>
      </c>
      <c r="C860" t="s">
        <v>74</v>
      </c>
      <c r="D860" t="s">
        <v>74</v>
      </c>
      <c r="E860" t="s">
        <v>74</v>
      </c>
      <c r="F860" t="s">
        <v>16732</v>
      </c>
      <c r="G860" t="s">
        <v>74</v>
      </c>
      <c r="H860" t="s">
        <v>74</v>
      </c>
      <c r="I860" t="s">
        <v>16733</v>
      </c>
      <c r="J860" t="s">
        <v>16734</v>
      </c>
      <c r="K860" t="s">
        <v>74</v>
      </c>
      <c r="L860" t="s">
        <v>74</v>
      </c>
      <c r="M860" t="s">
        <v>78</v>
      </c>
      <c r="N860" t="s">
        <v>79</v>
      </c>
      <c r="O860" t="s">
        <v>74</v>
      </c>
      <c r="P860" t="s">
        <v>74</v>
      </c>
      <c r="Q860" t="s">
        <v>74</v>
      </c>
      <c r="R860" t="s">
        <v>74</v>
      </c>
      <c r="S860" t="s">
        <v>74</v>
      </c>
      <c r="T860" t="s">
        <v>16735</v>
      </c>
      <c r="U860" t="s">
        <v>16736</v>
      </c>
      <c r="V860" t="s">
        <v>16737</v>
      </c>
      <c r="W860" t="s">
        <v>16738</v>
      </c>
      <c r="X860" t="s">
        <v>16739</v>
      </c>
      <c r="Y860" t="s">
        <v>16740</v>
      </c>
      <c r="Z860" t="s">
        <v>16741</v>
      </c>
      <c r="AA860" t="s">
        <v>74</v>
      </c>
      <c r="AB860" t="s">
        <v>16742</v>
      </c>
      <c r="AC860" t="s">
        <v>16743</v>
      </c>
      <c r="AD860" t="s">
        <v>16744</v>
      </c>
      <c r="AE860" t="s">
        <v>16745</v>
      </c>
      <c r="AF860" t="s">
        <v>74</v>
      </c>
      <c r="AG860">
        <v>87</v>
      </c>
      <c r="AH860">
        <v>4</v>
      </c>
      <c r="AI860">
        <v>5</v>
      </c>
      <c r="AJ860">
        <v>2</v>
      </c>
      <c r="AK860">
        <v>10</v>
      </c>
      <c r="AL860" t="s">
        <v>16746</v>
      </c>
      <c r="AM860" t="s">
        <v>16747</v>
      </c>
      <c r="AN860" t="s">
        <v>16748</v>
      </c>
      <c r="AO860" t="s">
        <v>16749</v>
      </c>
      <c r="AP860" t="s">
        <v>16750</v>
      </c>
      <c r="AQ860" t="s">
        <v>74</v>
      </c>
      <c r="AR860" t="s">
        <v>16751</v>
      </c>
      <c r="AS860" t="s">
        <v>16752</v>
      </c>
      <c r="AT860" t="s">
        <v>1091</v>
      </c>
      <c r="AU860">
        <v>2021</v>
      </c>
      <c r="AV860">
        <v>42</v>
      </c>
      <c r="AW860">
        <v>2</v>
      </c>
      <c r="AX860" t="s">
        <v>74</v>
      </c>
      <c r="AY860" t="s">
        <v>74</v>
      </c>
      <c r="AZ860" t="s">
        <v>74</v>
      </c>
      <c r="BA860" t="s">
        <v>74</v>
      </c>
      <c r="BB860">
        <v>21</v>
      </c>
      <c r="BC860">
        <v>37</v>
      </c>
      <c r="BD860" t="s">
        <v>74</v>
      </c>
      <c r="BE860" t="s">
        <v>16753</v>
      </c>
      <c r="BF860" t="str">
        <f>HYPERLINK("http://dx.doi.org/10.5252/cryptogamie-algologie2021v42a2","http://dx.doi.org/10.5252/cryptogamie-algologie2021v42a2")</f>
        <v>http://dx.doi.org/10.5252/cryptogamie-algologie2021v42a2</v>
      </c>
      <c r="BG860" t="s">
        <v>74</v>
      </c>
      <c r="BH860" t="s">
        <v>74</v>
      </c>
      <c r="BI860">
        <v>17</v>
      </c>
      <c r="BJ860" t="s">
        <v>6897</v>
      </c>
      <c r="BK860" t="s">
        <v>101</v>
      </c>
      <c r="BL860" t="s">
        <v>6897</v>
      </c>
      <c r="BM860" t="s">
        <v>16754</v>
      </c>
      <c r="BN860" t="s">
        <v>74</v>
      </c>
      <c r="BO860" t="s">
        <v>496</v>
      </c>
      <c r="BP860" t="s">
        <v>74</v>
      </c>
      <c r="BQ860" t="s">
        <v>74</v>
      </c>
      <c r="BR860" t="s">
        <v>104</v>
      </c>
      <c r="BS860" t="s">
        <v>16755</v>
      </c>
      <c r="BT860" t="str">
        <f>HYPERLINK("https%3A%2F%2Fwww.webofscience.com%2Fwos%2Fwoscc%2Ffull-record%2FWOS:000620938200001","View Full Record in Web of Science")</f>
        <v>View Full Record in Web of Science</v>
      </c>
    </row>
    <row r="861" spans="1:72" x14ac:dyDescent="0.15">
      <c r="A861" t="s">
        <v>72</v>
      </c>
      <c r="B861" t="s">
        <v>16756</v>
      </c>
      <c r="C861" t="s">
        <v>74</v>
      </c>
      <c r="D861" t="s">
        <v>74</v>
      </c>
      <c r="E861" t="s">
        <v>74</v>
      </c>
      <c r="F861" t="s">
        <v>16757</v>
      </c>
      <c r="G861" t="s">
        <v>74</v>
      </c>
      <c r="H861" t="s">
        <v>74</v>
      </c>
      <c r="I861" t="s">
        <v>16758</v>
      </c>
      <c r="J861" t="s">
        <v>16759</v>
      </c>
      <c r="K861" t="s">
        <v>74</v>
      </c>
      <c r="L861" t="s">
        <v>74</v>
      </c>
      <c r="M861" t="s">
        <v>78</v>
      </c>
      <c r="N861" t="s">
        <v>1074</v>
      </c>
      <c r="O861" t="s">
        <v>74</v>
      </c>
      <c r="P861" t="s">
        <v>74</v>
      </c>
      <c r="Q861" t="s">
        <v>74</v>
      </c>
      <c r="R861" t="s">
        <v>74</v>
      </c>
      <c r="S861" t="s">
        <v>74</v>
      </c>
      <c r="T861" t="s">
        <v>16760</v>
      </c>
      <c r="U861" t="s">
        <v>16761</v>
      </c>
      <c r="V861" t="s">
        <v>16762</v>
      </c>
      <c r="W861" t="s">
        <v>16763</v>
      </c>
      <c r="X861" t="s">
        <v>16764</v>
      </c>
      <c r="Y861" t="s">
        <v>16765</v>
      </c>
      <c r="Z861" t="s">
        <v>16766</v>
      </c>
      <c r="AA861" t="s">
        <v>16767</v>
      </c>
      <c r="AB861" t="s">
        <v>16768</v>
      </c>
      <c r="AC861" t="s">
        <v>16769</v>
      </c>
      <c r="AD861" t="s">
        <v>16770</v>
      </c>
      <c r="AE861" t="s">
        <v>16771</v>
      </c>
      <c r="AF861" t="s">
        <v>74</v>
      </c>
      <c r="AG861">
        <v>141</v>
      </c>
      <c r="AH861">
        <v>9</v>
      </c>
      <c r="AI861">
        <v>9</v>
      </c>
      <c r="AJ861">
        <v>8</v>
      </c>
      <c r="AK861">
        <v>55</v>
      </c>
      <c r="AL861" t="s">
        <v>335</v>
      </c>
      <c r="AM861" t="s">
        <v>336</v>
      </c>
      <c r="AN861" t="s">
        <v>337</v>
      </c>
      <c r="AO861" t="s">
        <v>74</v>
      </c>
      <c r="AP861" t="s">
        <v>16772</v>
      </c>
      <c r="AQ861" t="s">
        <v>74</v>
      </c>
      <c r="AR861" t="s">
        <v>16773</v>
      </c>
      <c r="AS861" t="s">
        <v>16774</v>
      </c>
      <c r="AT861" t="s">
        <v>1091</v>
      </c>
      <c r="AU861">
        <v>2021</v>
      </c>
      <c r="AV861">
        <v>18</v>
      </c>
      <c r="AW861">
        <v>4</v>
      </c>
      <c r="AX861" t="s">
        <v>74</v>
      </c>
      <c r="AY861" t="s">
        <v>74</v>
      </c>
      <c r="AZ861" t="s">
        <v>74</v>
      </c>
      <c r="BA861" t="s">
        <v>74</v>
      </c>
      <c r="BB861" t="s">
        <v>74</v>
      </c>
      <c r="BC861" t="s">
        <v>74</v>
      </c>
      <c r="BD861">
        <v>1671</v>
      </c>
      <c r="BE861" t="s">
        <v>16775</v>
      </c>
      <c r="BF861" t="str">
        <f>HYPERLINK("http://dx.doi.org/10.3390/ijerph18041671","http://dx.doi.org/10.3390/ijerph18041671")</f>
        <v>http://dx.doi.org/10.3390/ijerph18041671</v>
      </c>
      <c r="BG861" t="s">
        <v>74</v>
      </c>
      <c r="BH861" t="s">
        <v>74</v>
      </c>
      <c r="BI861">
        <v>30</v>
      </c>
      <c r="BJ861" t="s">
        <v>16776</v>
      </c>
      <c r="BK861" t="s">
        <v>1038</v>
      </c>
      <c r="BL861" t="s">
        <v>16777</v>
      </c>
      <c r="BM861" t="s">
        <v>16778</v>
      </c>
      <c r="BN861">
        <v>33572432</v>
      </c>
      <c r="BO861" t="s">
        <v>558</v>
      </c>
      <c r="BP861" t="s">
        <v>74</v>
      </c>
      <c r="BQ861" t="s">
        <v>74</v>
      </c>
      <c r="BR861" t="s">
        <v>104</v>
      </c>
      <c r="BS861" t="s">
        <v>16779</v>
      </c>
      <c r="BT861" t="str">
        <f>HYPERLINK("https%3A%2F%2Fwww.webofscience.com%2Fwos%2Fwoscc%2Ffull-record%2FWOS:000623567000001","View Full Record in Web of Science")</f>
        <v>View Full Record in Web of Science</v>
      </c>
    </row>
    <row r="862" spans="1:72" x14ac:dyDescent="0.15">
      <c r="A862" t="s">
        <v>72</v>
      </c>
      <c r="B862" t="s">
        <v>16780</v>
      </c>
      <c r="C862" t="s">
        <v>74</v>
      </c>
      <c r="D862" t="s">
        <v>74</v>
      </c>
      <c r="E862" t="s">
        <v>74</v>
      </c>
      <c r="F862" t="s">
        <v>16781</v>
      </c>
      <c r="G862" t="s">
        <v>74</v>
      </c>
      <c r="H862" t="s">
        <v>74</v>
      </c>
      <c r="I862" t="s">
        <v>16782</v>
      </c>
      <c r="J862" t="s">
        <v>16759</v>
      </c>
      <c r="K862" t="s">
        <v>74</v>
      </c>
      <c r="L862" t="s">
        <v>74</v>
      </c>
      <c r="M862" t="s">
        <v>78</v>
      </c>
      <c r="N862" t="s">
        <v>1074</v>
      </c>
      <c r="O862" t="s">
        <v>74</v>
      </c>
      <c r="P862" t="s">
        <v>74</v>
      </c>
      <c r="Q862" t="s">
        <v>74</v>
      </c>
      <c r="R862" t="s">
        <v>74</v>
      </c>
      <c r="S862" t="s">
        <v>74</v>
      </c>
      <c r="T862" t="s">
        <v>16783</v>
      </c>
      <c r="U862" t="s">
        <v>16784</v>
      </c>
      <c r="V862" t="s">
        <v>16785</v>
      </c>
      <c r="W862" t="s">
        <v>16786</v>
      </c>
      <c r="X862" t="s">
        <v>16787</v>
      </c>
      <c r="Y862" t="s">
        <v>16788</v>
      </c>
      <c r="Z862" t="s">
        <v>16789</v>
      </c>
      <c r="AA862" t="s">
        <v>74</v>
      </c>
      <c r="AB862" t="s">
        <v>16790</v>
      </c>
      <c r="AC862" t="s">
        <v>16791</v>
      </c>
      <c r="AD862" t="s">
        <v>16792</v>
      </c>
      <c r="AE862" t="s">
        <v>16793</v>
      </c>
      <c r="AF862" t="s">
        <v>74</v>
      </c>
      <c r="AG862">
        <v>118</v>
      </c>
      <c r="AH862">
        <v>12</v>
      </c>
      <c r="AI862">
        <v>13</v>
      </c>
      <c r="AJ862">
        <v>1</v>
      </c>
      <c r="AK862">
        <v>14</v>
      </c>
      <c r="AL862" t="s">
        <v>335</v>
      </c>
      <c r="AM862" t="s">
        <v>336</v>
      </c>
      <c r="AN862" t="s">
        <v>337</v>
      </c>
      <c r="AO862" t="s">
        <v>74</v>
      </c>
      <c r="AP862" t="s">
        <v>16772</v>
      </c>
      <c r="AQ862" t="s">
        <v>74</v>
      </c>
      <c r="AR862" t="s">
        <v>16773</v>
      </c>
      <c r="AS862" t="s">
        <v>16774</v>
      </c>
      <c r="AT862" t="s">
        <v>1091</v>
      </c>
      <c r="AU862">
        <v>2021</v>
      </c>
      <c r="AV862">
        <v>18</v>
      </c>
      <c r="AW862">
        <v>4</v>
      </c>
      <c r="AX862" t="s">
        <v>74</v>
      </c>
      <c r="AY862" t="s">
        <v>74</v>
      </c>
      <c r="AZ862" t="s">
        <v>74</v>
      </c>
      <c r="BA862" t="s">
        <v>74</v>
      </c>
      <c r="BB862" t="s">
        <v>74</v>
      </c>
      <c r="BC862" t="s">
        <v>74</v>
      </c>
      <c r="BD862">
        <v>1512</v>
      </c>
      <c r="BE862" t="s">
        <v>16794</v>
      </c>
      <c r="BF862" t="str">
        <f>HYPERLINK("http://dx.doi.org/10.3390/ijerph18041512","http://dx.doi.org/10.3390/ijerph18041512")</f>
        <v>http://dx.doi.org/10.3390/ijerph18041512</v>
      </c>
      <c r="BG862" t="s">
        <v>74</v>
      </c>
      <c r="BH862" t="s">
        <v>74</v>
      </c>
      <c r="BI862">
        <v>18</v>
      </c>
      <c r="BJ862" t="s">
        <v>16776</v>
      </c>
      <c r="BK862" t="s">
        <v>1038</v>
      </c>
      <c r="BL862" t="s">
        <v>16777</v>
      </c>
      <c r="BM862" t="s">
        <v>16795</v>
      </c>
      <c r="BN862">
        <v>33562609</v>
      </c>
      <c r="BO862" t="s">
        <v>1872</v>
      </c>
      <c r="BP862" t="s">
        <v>74</v>
      </c>
      <c r="BQ862" t="s">
        <v>74</v>
      </c>
      <c r="BR862" t="s">
        <v>104</v>
      </c>
      <c r="BS862" t="s">
        <v>16796</v>
      </c>
      <c r="BT862" t="str">
        <f>HYPERLINK("https%3A%2F%2Fwww.webofscience.com%2Fwos%2Fwoscc%2Ffull-record%2FWOS:000623626300001","View Full Record in Web of Science")</f>
        <v>View Full Record in Web of Science</v>
      </c>
    </row>
    <row r="863" spans="1:72" x14ac:dyDescent="0.15">
      <c r="A863" t="s">
        <v>72</v>
      </c>
      <c r="B863" t="s">
        <v>16797</v>
      </c>
      <c r="C863" t="s">
        <v>74</v>
      </c>
      <c r="D863" t="s">
        <v>74</v>
      </c>
      <c r="E863" t="s">
        <v>74</v>
      </c>
      <c r="F863" t="s">
        <v>16798</v>
      </c>
      <c r="G863" t="s">
        <v>74</v>
      </c>
      <c r="H863" t="s">
        <v>74</v>
      </c>
      <c r="I863" t="s">
        <v>16799</v>
      </c>
      <c r="J863" t="s">
        <v>4783</v>
      </c>
      <c r="K863" t="s">
        <v>74</v>
      </c>
      <c r="L863" t="s">
        <v>74</v>
      </c>
      <c r="M863" t="s">
        <v>78</v>
      </c>
      <c r="N863" t="s">
        <v>79</v>
      </c>
      <c r="O863" t="s">
        <v>74</v>
      </c>
      <c r="P863" t="s">
        <v>74</v>
      </c>
      <c r="Q863" t="s">
        <v>74</v>
      </c>
      <c r="R863" t="s">
        <v>74</v>
      </c>
      <c r="S863" t="s">
        <v>74</v>
      </c>
      <c r="T863" t="s">
        <v>16800</v>
      </c>
      <c r="U863" t="s">
        <v>74</v>
      </c>
      <c r="V863" t="s">
        <v>16801</v>
      </c>
      <c r="W863" t="s">
        <v>16802</v>
      </c>
      <c r="X863" t="s">
        <v>16803</v>
      </c>
      <c r="Y863" t="s">
        <v>16804</v>
      </c>
      <c r="Z863" t="s">
        <v>16805</v>
      </c>
      <c r="AA863" t="s">
        <v>16806</v>
      </c>
      <c r="AB863" t="s">
        <v>16807</v>
      </c>
      <c r="AC863" t="s">
        <v>16808</v>
      </c>
      <c r="AD863" t="s">
        <v>16809</v>
      </c>
      <c r="AE863" t="s">
        <v>16810</v>
      </c>
      <c r="AF863" t="s">
        <v>74</v>
      </c>
      <c r="AG863">
        <v>83</v>
      </c>
      <c r="AH863">
        <v>20</v>
      </c>
      <c r="AI863">
        <v>20</v>
      </c>
      <c r="AJ863">
        <v>4</v>
      </c>
      <c r="AK863">
        <v>14</v>
      </c>
      <c r="AL863" t="s">
        <v>917</v>
      </c>
      <c r="AM863" t="s">
        <v>390</v>
      </c>
      <c r="AN863" t="s">
        <v>918</v>
      </c>
      <c r="AO863" t="s">
        <v>4796</v>
      </c>
      <c r="AP863" t="s">
        <v>4797</v>
      </c>
      <c r="AQ863" t="s">
        <v>74</v>
      </c>
      <c r="AR863" t="s">
        <v>4798</v>
      </c>
      <c r="AS863" t="s">
        <v>4799</v>
      </c>
      <c r="AT863" t="s">
        <v>1091</v>
      </c>
      <c r="AU863">
        <v>2021</v>
      </c>
      <c r="AV863">
        <v>126</v>
      </c>
      <c r="AW863">
        <v>2</v>
      </c>
      <c r="AX863" t="s">
        <v>74</v>
      </c>
      <c r="AY863" t="s">
        <v>74</v>
      </c>
      <c r="AZ863" t="s">
        <v>74</v>
      </c>
      <c r="BA863" t="s">
        <v>74</v>
      </c>
      <c r="BB863" t="s">
        <v>74</v>
      </c>
      <c r="BC863" t="s">
        <v>74</v>
      </c>
      <c r="BD863" t="s">
        <v>16811</v>
      </c>
      <c r="BE863" t="s">
        <v>16812</v>
      </c>
      <c r="BF863" t="str">
        <f>HYPERLINK("http://dx.doi.org/10.1029/2020JF005598","http://dx.doi.org/10.1029/2020JF005598")</f>
        <v>http://dx.doi.org/10.1029/2020JF005598</v>
      </c>
      <c r="BG863" t="s">
        <v>74</v>
      </c>
      <c r="BH863" t="s">
        <v>74</v>
      </c>
      <c r="BI863">
        <v>26</v>
      </c>
      <c r="BJ863" t="s">
        <v>100</v>
      </c>
      <c r="BK863" t="s">
        <v>101</v>
      </c>
      <c r="BL863" t="s">
        <v>102</v>
      </c>
      <c r="BM863" t="s">
        <v>16813</v>
      </c>
      <c r="BN863" t="s">
        <v>74</v>
      </c>
      <c r="BO863" t="s">
        <v>712</v>
      </c>
      <c r="BP863" t="s">
        <v>74</v>
      </c>
      <c r="BQ863" t="s">
        <v>74</v>
      </c>
      <c r="BR863" t="s">
        <v>104</v>
      </c>
      <c r="BS863" t="s">
        <v>16814</v>
      </c>
      <c r="BT863" t="str">
        <f>HYPERLINK("https%3A%2F%2Fwww.webofscience.com%2Fwos%2Fwoscc%2Ffull-record%2FWOS:000623809800005","View Full Record in Web of Science")</f>
        <v>View Full Record in Web of Science</v>
      </c>
    </row>
    <row r="864" spans="1:72" x14ac:dyDescent="0.15">
      <c r="A864" t="s">
        <v>72</v>
      </c>
      <c r="B864" t="s">
        <v>16815</v>
      </c>
      <c r="C864" t="s">
        <v>74</v>
      </c>
      <c r="D864" t="s">
        <v>74</v>
      </c>
      <c r="E864" t="s">
        <v>74</v>
      </c>
      <c r="F864" t="s">
        <v>16816</v>
      </c>
      <c r="G864" t="s">
        <v>74</v>
      </c>
      <c r="H864" t="s">
        <v>74</v>
      </c>
      <c r="I864" t="s">
        <v>16817</v>
      </c>
      <c r="J864" t="s">
        <v>4783</v>
      </c>
      <c r="K864" t="s">
        <v>74</v>
      </c>
      <c r="L864" t="s">
        <v>74</v>
      </c>
      <c r="M864" t="s">
        <v>78</v>
      </c>
      <c r="N864" t="s">
        <v>79</v>
      </c>
      <c r="O864" t="s">
        <v>74</v>
      </c>
      <c r="P864" t="s">
        <v>74</v>
      </c>
      <c r="Q864" t="s">
        <v>74</v>
      </c>
      <c r="R864" t="s">
        <v>74</v>
      </c>
      <c r="S864" t="s">
        <v>74</v>
      </c>
      <c r="T864" t="s">
        <v>16818</v>
      </c>
      <c r="U864" t="s">
        <v>74</v>
      </c>
      <c r="V864" t="s">
        <v>16819</v>
      </c>
      <c r="W864" t="s">
        <v>16820</v>
      </c>
      <c r="X864" t="s">
        <v>5785</v>
      </c>
      <c r="Y864" t="s">
        <v>16821</v>
      </c>
      <c r="Z864" t="s">
        <v>16822</v>
      </c>
      <c r="AA864" t="s">
        <v>16823</v>
      </c>
      <c r="AB864" t="s">
        <v>16824</v>
      </c>
      <c r="AC864" t="s">
        <v>16825</v>
      </c>
      <c r="AD864" t="s">
        <v>16826</v>
      </c>
      <c r="AE864" t="s">
        <v>16827</v>
      </c>
      <c r="AF864" t="s">
        <v>74</v>
      </c>
      <c r="AG864">
        <v>49</v>
      </c>
      <c r="AH864">
        <v>16</v>
      </c>
      <c r="AI864">
        <v>17</v>
      </c>
      <c r="AJ864">
        <v>5</v>
      </c>
      <c r="AK864">
        <v>24</v>
      </c>
      <c r="AL864" t="s">
        <v>917</v>
      </c>
      <c r="AM864" t="s">
        <v>390</v>
      </c>
      <c r="AN864" t="s">
        <v>918</v>
      </c>
      <c r="AO864" t="s">
        <v>4796</v>
      </c>
      <c r="AP864" t="s">
        <v>4797</v>
      </c>
      <c r="AQ864" t="s">
        <v>74</v>
      </c>
      <c r="AR864" t="s">
        <v>4798</v>
      </c>
      <c r="AS864" t="s">
        <v>4799</v>
      </c>
      <c r="AT864" t="s">
        <v>1091</v>
      </c>
      <c r="AU864">
        <v>2021</v>
      </c>
      <c r="AV864">
        <v>126</v>
      </c>
      <c r="AW864">
        <v>2</v>
      </c>
      <c r="AX864" t="s">
        <v>74</v>
      </c>
      <c r="AY864" t="s">
        <v>74</v>
      </c>
      <c r="AZ864" t="s">
        <v>74</v>
      </c>
      <c r="BA864" t="s">
        <v>74</v>
      </c>
      <c r="BB864" t="s">
        <v>74</v>
      </c>
      <c r="BC864" t="s">
        <v>74</v>
      </c>
      <c r="BD864" t="s">
        <v>16828</v>
      </c>
      <c r="BE864" t="s">
        <v>16829</v>
      </c>
      <c r="BF864" t="str">
        <f>HYPERLINK("http://dx.doi.org/10.1029/2020JF005696","http://dx.doi.org/10.1029/2020JF005696")</f>
        <v>http://dx.doi.org/10.1029/2020JF005696</v>
      </c>
      <c r="BG864" t="s">
        <v>74</v>
      </c>
      <c r="BH864" t="s">
        <v>74</v>
      </c>
      <c r="BI864">
        <v>17</v>
      </c>
      <c r="BJ864" t="s">
        <v>100</v>
      </c>
      <c r="BK864" t="s">
        <v>101</v>
      </c>
      <c r="BL864" t="s">
        <v>102</v>
      </c>
      <c r="BM864" t="s">
        <v>16813</v>
      </c>
      <c r="BN864" t="s">
        <v>74</v>
      </c>
      <c r="BO864" t="s">
        <v>398</v>
      </c>
      <c r="BP864" t="s">
        <v>74</v>
      </c>
      <c r="BQ864" t="s">
        <v>74</v>
      </c>
      <c r="BR864" t="s">
        <v>104</v>
      </c>
      <c r="BS864" t="s">
        <v>16830</v>
      </c>
      <c r="BT864" t="str">
        <f>HYPERLINK("https%3A%2F%2Fwww.webofscience.com%2Fwos%2Fwoscc%2Ffull-record%2FWOS:000623809800001","View Full Record in Web of Science")</f>
        <v>View Full Record in Web of Science</v>
      </c>
    </row>
    <row r="865" spans="1:72" x14ac:dyDescent="0.15">
      <c r="A865" t="s">
        <v>72</v>
      </c>
      <c r="B865" t="s">
        <v>16831</v>
      </c>
      <c r="C865" t="s">
        <v>74</v>
      </c>
      <c r="D865" t="s">
        <v>74</v>
      </c>
      <c r="E865" t="s">
        <v>74</v>
      </c>
      <c r="F865" t="s">
        <v>16832</v>
      </c>
      <c r="G865" t="s">
        <v>74</v>
      </c>
      <c r="H865" t="s">
        <v>74</v>
      </c>
      <c r="I865" t="s">
        <v>16833</v>
      </c>
      <c r="J865" t="s">
        <v>4969</v>
      </c>
      <c r="K865" t="s">
        <v>74</v>
      </c>
      <c r="L865" t="s">
        <v>74</v>
      </c>
      <c r="M865" t="s">
        <v>78</v>
      </c>
      <c r="N865" t="s">
        <v>79</v>
      </c>
      <c r="O865" t="s">
        <v>74</v>
      </c>
      <c r="P865" t="s">
        <v>74</v>
      </c>
      <c r="Q865" t="s">
        <v>74</v>
      </c>
      <c r="R865" t="s">
        <v>74</v>
      </c>
      <c r="S865" t="s">
        <v>74</v>
      </c>
      <c r="T865" t="s">
        <v>16834</v>
      </c>
      <c r="U865" t="s">
        <v>16835</v>
      </c>
      <c r="V865" t="s">
        <v>16836</v>
      </c>
      <c r="W865" t="s">
        <v>16837</v>
      </c>
      <c r="X865" t="s">
        <v>16838</v>
      </c>
      <c r="Y865" t="s">
        <v>16839</v>
      </c>
      <c r="Z865" t="s">
        <v>16840</v>
      </c>
      <c r="AA865" t="s">
        <v>74</v>
      </c>
      <c r="AB865" t="s">
        <v>16841</v>
      </c>
      <c r="AC865" t="s">
        <v>16842</v>
      </c>
      <c r="AD865" t="s">
        <v>16843</v>
      </c>
      <c r="AE865" t="s">
        <v>16844</v>
      </c>
      <c r="AF865" t="s">
        <v>74</v>
      </c>
      <c r="AG865">
        <v>42</v>
      </c>
      <c r="AH865">
        <v>38</v>
      </c>
      <c r="AI865">
        <v>40</v>
      </c>
      <c r="AJ865">
        <v>17</v>
      </c>
      <c r="AK865">
        <v>111</v>
      </c>
      <c r="AL865" t="s">
        <v>917</v>
      </c>
      <c r="AM865" t="s">
        <v>390</v>
      </c>
      <c r="AN865" t="s">
        <v>918</v>
      </c>
      <c r="AO865" t="s">
        <v>4982</v>
      </c>
      <c r="AP865" t="s">
        <v>4983</v>
      </c>
      <c r="AQ865" t="s">
        <v>74</v>
      </c>
      <c r="AR865" t="s">
        <v>4984</v>
      </c>
      <c r="AS865" t="s">
        <v>4985</v>
      </c>
      <c r="AT865" t="s">
        <v>1091</v>
      </c>
      <c r="AU865">
        <v>2021</v>
      </c>
      <c r="AV865">
        <v>126</v>
      </c>
      <c r="AW865">
        <v>2</v>
      </c>
      <c r="AX865" t="s">
        <v>74</v>
      </c>
      <c r="AY865" t="s">
        <v>74</v>
      </c>
      <c r="AZ865" t="s">
        <v>74</v>
      </c>
      <c r="BA865" t="s">
        <v>74</v>
      </c>
      <c r="BB865" t="s">
        <v>74</v>
      </c>
      <c r="BC865" t="s">
        <v>74</v>
      </c>
      <c r="BD865" t="s">
        <v>16845</v>
      </c>
      <c r="BE865" t="s">
        <v>16846</v>
      </c>
      <c r="BF865" t="str">
        <f>HYPERLINK("http://dx.doi.org/10.1029/2020JC016826","http://dx.doi.org/10.1029/2020JC016826")</f>
        <v>http://dx.doi.org/10.1029/2020JC016826</v>
      </c>
      <c r="BG865" t="s">
        <v>74</v>
      </c>
      <c r="BH865" t="s">
        <v>74</v>
      </c>
      <c r="BI865">
        <v>19</v>
      </c>
      <c r="BJ865" t="s">
        <v>369</v>
      </c>
      <c r="BK865" t="s">
        <v>101</v>
      </c>
      <c r="BL865" t="s">
        <v>369</v>
      </c>
      <c r="BM865" t="s">
        <v>16847</v>
      </c>
      <c r="BN865" t="s">
        <v>74</v>
      </c>
      <c r="BO865" t="s">
        <v>899</v>
      </c>
      <c r="BP865" t="s">
        <v>74</v>
      </c>
      <c r="BQ865" t="s">
        <v>74</v>
      </c>
      <c r="BR865" t="s">
        <v>104</v>
      </c>
      <c r="BS865" t="s">
        <v>16848</v>
      </c>
      <c r="BT865" t="str">
        <f>HYPERLINK("https%3A%2F%2Fwww.webofscience.com%2Fwos%2Fwoscc%2Ffull-record%2FWOS:000624432800001","View Full Record in Web of Science")</f>
        <v>View Full Record in Web of Science</v>
      </c>
    </row>
    <row r="866" spans="1:72" x14ac:dyDescent="0.15">
      <c r="A866" t="s">
        <v>72</v>
      </c>
      <c r="B866" t="s">
        <v>16849</v>
      </c>
      <c r="C866" t="s">
        <v>74</v>
      </c>
      <c r="D866" t="s">
        <v>74</v>
      </c>
      <c r="E866" t="s">
        <v>74</v>
      </c>
      <c r="F866" t="s">
        <v>16850</v>
      </c>
      <c r="G866" t="s">
        <v>74</v>
      </c>
      <c r="H866" t="s">
        <v>74</v>
      </c>
      <c r="I866" t="s">
        <v>16851</v>
      </c>
      <c r="J866" t="s">
        <v>5557</v>
      </c>
      <c r="K866" t="s">
        <v>74</v>
      </c>
      <c r="L866" t="s">
        <v>74</v>
      </c>
      <c r="M866" t="s">
        <v>78</v>
      </c>
      <c r="N866" t="s">
        <v>1074</v>
      </c>
      <c r="O866" t="s">
        <v>74</v>
      </c>
      <c r="P866" t="s">
        <v>74</v>
      </c>
      <c r="Q866" t="s">
        <v>74</v>
      </c>
      <c r="R866" t="s">
        <v>74</v>
      </c>
      <c r="S866" t="s">
        <v>74</v>
      </c>
      <c r="T866" t="s">
        <v>16852</v>
      </c>
      <c r="U866" t="s">
        <v>16853</v>
      </c>
      <c r="V866" t="s">
        <v>16854</v>
      </c>
      <c r="W866" t="s">
        <v>16855</v>
      </c>
      <c r="X866" t="s">
        <v>16856</v>
      </c>
      <c r="Y866" t="s">
        <v>16857</v>
      </c>
      <c r="Z866" t="s">
        <v>16858</v>
      </c>
      <c r="AA866" t="s">
        <v>16859</v>
      </c>
      <c r="AB866" t="s">
        <v>16860</v>
      </c>
      <c r="AC866" t="s">
        <v>16861</v>
      </c>
      <c r="AD866" t="s">
        <v>16862</v>
      </c>
      <c r="AE866" t="s">
        <v>16863</v>
      </c>
      <c r="AF866" t="s">
        <v>74</v>
      </c>
      <c r="AG866">
        <v>132</v>
      </c>
      <c r="AH866">
        <v>17</v>
      </c>
      <c r="AI866">
        <v>18</v>
      </c>
      <c r="AJ866">
        <v>5</v>
      </c>
      <c r="AK866">
        <v>44</v>
      </c>
      <c r="AL866" t="s">
        <v>335</v>
      </c>
      <c r="AM866" t="s">
        <v>336</v>
      </c>
      <c r="AN866" t="s">
        <v>337</v>
      </c>
      <c r="AO866" t="s">
        <v>74</v>
      </c>
      <c r="AP866" t="s">
        <v>5566</v>
      </c>
      <c r="AQ866" t="s">
        <v>74</v>
      </c>
      <c r="AR866" t="s">
        <v>5557</v>
      </c>
      <c r="AS866" t="s">
        <v>5567</v>
      </c>
      <c r="AT866" t="s">
        <v>1091</v>
      </c>
      <c r="AU866">
        <v>2021</v>
      </c>
      <c r="AV866">
        <v>9</v>
      </c>
      <c r="AW866">
        <v>2</v>
      </c>
      <c r="AX866" t="s">
        <v>74</v>
      </c>
      <c r="AY866" t="s">
        <v>74</v>
      </c>
      <c r="AZ866" t="s">
        <v>74</v>
      </c>
      <c r="BA866" t="s">
        <v>74</v>
      </c>
      <c r="BB866" t="s">
        <v>74</v>
      </c>
      <c r="BC866" t="s">
        <v>74</v>
      </c>
      <c r="BD866">
        <v>419</v>
      </c>
      <c r="BE866" t="s">
        <v>16864</v>
      </c>
      <c r="BF866" t="str">
        <f>HYPERLINK("http://dx.doi.org/10.3390/microorganisms9020419","http://dx.doi.org/10.3390/microorganisms9020419")</f>
        <v>http://dx.doi.org/10.3390/microorganisms9020419</v>
      </c>
      <c r="BG866" t="s">
        <v>74</v>
      </c>
      <c r="BH866" t="s">
        <v>74</v>
      </c>
      <c r="BI866">
        <v>26</v>
      </c>
      <c r="BJ866" t="s">
        <v>396</v>
      </c>
      <c r="BK866" t="s">
        <v>101</v>
      </c>
      <c r="BL866" t="s">
        <v>396</v>
      </c>
      <c r="BM866" t="s">
        <v>16865</v>
      </c>
      <c r="BN866">
        <v>33671443</v>
      </c>
      <c r="BO866" t="s">
        <v>445</v>
      </c>
      <c r="BP866" t="s">
        <v>74</v>
      </c>
      <c r="BQ866" t="s">
        <v>74</v>
      </c>
      <c r="BR866" t="s">
        <v>104</v>
      </c>
      <c r="BS866" t="s">
        <v>16866</v>
      </c>
      <c r="BT866" t="str">
        <f>HYPERLINK("https%3A%2F%2Fwww.webofscience.com%2Fwos%2Fwoscc%2Ffull-record%2FWOS:000622829200001","View Full Record in Web of Science")</f>
        <v>View Full Record in Web of Science</v>
      </c>
    </row>
    <row r="867" spans="1:72" x14ac:dyDescent="0.15">
      <c r="A867" t="s">
        <v>72</v>
      </c>
      <c r="B867" t="s">
        <v>16867</v>
      </c>
      <c r="C867" t="s">
        <v>74</v>
      </c>
      <c r="D867" t="s">
        <v>74</v>
      </c>
      <c r="E867" t="s">
        <v>74</v>
      </c>
      <c r="F867" t="s">
        <v>16868</v>
      </c>
      <c r="G867" t="s">
        <v>74</v>
      </c>
      <c r="H867" t="s">
        <v>74</v>
      </c>
      <c r="I867" t="s">
        <v>16869</v>
      </c>
      <c r="J867" t="s">
        <v>425</v>
      </c>
      <c r="K867" t="s">
        <v>74</v>
      </c>
      <c r="L867" t="s">
        <v>74</v>
      </c>
      <c r="M867" t="s">
        <v>78</v>
      </c>
      <c r="N867" t="s">
        <v>79</v>
      </c>
      <c r="O867" t="s">
        <v>74</v>
      </c>
      <c r="P867" t="s">
        <v>74</v>
      </c>
      <c r="Q867" t="s">
        <v>74</v>
      </c>
      <c r="R867" t="s">
        <v>74</v>
      </c>
      <c r="S867" t="s">
        <v>74</v>
      </c>
      <c r="T867" t="s">
        <v>16870</v>
      </c>
      <c r="U867" t="s">
        <v>74</v>
      </c>
      <c r="V867" t="s">
        <v>16871</v>
      </c>
      <c r="W867" t="s">
        <v>16872</v>
      </c>
      <c r="X867" t="s">
        <v>16873</v>
      </c>
      <c r="Y867" t="s">
        <v>16874</v>
      </c>
      <c r="Z867" t="s">
        <v>16875</v>
      </c>
      <c r="AA867" t="s">
        <v>16876</v>
      </c>
      <c r="AB867" t="s">
        <v>16877</v>
      </c>
      <c r="AC867" t="s">
        <v>16878</v>
      </c>
      <c r="AD867" t="s">
        <v>16879</v>
      </c>
      <c r="AE867" t="s">
        <v>16880</v>
      </c>
      <c r="AF867" t="s">
        <v>74</v>
      </c>
      <c r="AG867">
        <v>44</v>
      </c>
      <c r="AH867">
        <v>8</v>
      </c>
      <c r="AI867">
        <v>8</v>
      </c>
      <c r="AJ867">
        <v>5</v>
      </c>
      <c r="AK867">
        <v>36</v>
      </c>
      <c r="AL867" t="s">
        <v>335</v>
      </c>
      <c r="AM867" t="s">
        <v>336</v>
      </c>
      <c r="AN867" t="s">
        <v>337</v>
      </c>
      <c r="AO867" t="s">
        <v>74</v>
      </c>
      <c r="AP867" t="s">
        <v>438</v>
      </c>
      <c r="AQ867" t="s">
        <v>74</v>
      </c>
      <c r="AR867" t="s">
        <v>439</v>
      </c>
      <c r="AS867" t="s">
        <v>440</v>
      </c>
      <c r="AT867" t="s">
        <v>1091</v>
      </c>
      <c r="AU867">
        <v>2021</v>
      </c>
      <c r="AV867">
        <v>13</v>
      </c>
      <c r="AW867">
        <v>4</v>
      </c>
      <c r="AX867" t="s">
        <v>74</v>
      </c>
      <c r="AY867" t="s">
        <v>74</v>
      </c>
      <c r="AZ867" t="s">
        <v>74</v>
      </c>
      <c r="BA867" t="s">
        <v>74</v>
      </c>
      <c r="BB867" t="s">
        <v>74</v>
      </c>
      <c r="BC867" t="s">
        <v>74</v>
      </c>
      <c r="BD867">
        <v>643</v>
      </c>
      <c r="BE867" t="s">
        <v>16881</v>
      </c>
      <c r="BF867" t="str">
        <f>HYPERLINK("http://dx.doi.org/10.3390/rs13040643","http://dx.doi.org/10.3390/rs13040643")</f>
        <v>http://dx.doi.org/10.3390/rs13040643</v>
      </c>
      <c r="BG867" t="s">
        <v>74</v>
      </c>
      <c r="BH867" t="s">
        <v>74</v>
      </c>
      <c r="BI867">
        <v>20</v>
      </c>
      <c r="BJ867" t="s">
        <v>442</v>
      </c>
      <c r="BK867" t="s">
        <v>101</v>
      </c>
      <c r="BL867" t="s">
        <v>443</v>
      </c>
      <c r="BM867" t="s">
        <v>16882</v>
      </c>
      <c r="BN867" t="s">
        <v>74</v>
      </c>
      <c r="BO867" t="s">
        <v>317</v>
      </c>
      <c r="BP867" t="s">
        <v>74</v>
      </c>
      <c r="BQ867" t="s">
        <v>74</v>
      </c>
      <c r="BR867" t="s">
        <v>104</v>
      </c>
      <c r="BS867" t="s">
        <v>16883</v>
      </c>
      <c r="BT867" t="str">
        <f>HYPERLINK("https%3A%2F%2Fwww.webofscience.com%2Fwos%2Fwoscc%2Ffull-record%2FWOS:000624444400001","View Full Record in Web of Science")</f>
        <v>View Full Record in Web of Science</v>
      </c>
    </row>
    <row r="868" spans="1:72" x14ac:dyDescent="0.15">
      <c r="A868" t="s">
        <v>72</v>
      </c>
      <c r="B868" t="s">
        <v>16884</v>
      </c>
      <c r="C868" t="s">
        <v>74</v>
      </c>
      <c r="D868" t="s">
        <v>74</v>
      </c>
      <c r="E868" t="s">
        <v>74</v>
      </c>
      <c r="F868" t="s">
        <v>16885</v>
      </c>
      <c r="G868" t="s">
        <v>74</v>
      </c>
      <c r="H868" t="s">
        <v>74</v>
      </c>
      <c r="I868" t="s">
        <v>16886</v>
      </c>
      <c r="J868" t="s">
        <v>16759</v>
      </c>
      <c r="K868" t="s">
        <v>74</v>
      </c>
      <c r="L868" t="s">
        <v>74</v>
      </c>
      <c r="M868" t="s">
        <v>78</v>
      </c>
      <c r="N868" t="s">
        <v>1074</v>
      </c>
      <c r="O868" t="s">
        <v>74</v>
      </c>
      <c r="P868" t="s">
        <v>74</v>
      </c>
      <c r="Q868" t="s">
        <v>74</v>
      </c>
      <c r="R868" t="s">
        <v>74</v>
      </c>
      <c r="S868" t="s">
        <v>74</v>
      </c>
      <c r="T868" t="s">
        <v>16887</v>
      </c>
      <c r="U868" t="s">
        <v>74</v>
      </c>
      <c r="V868" t="s">
        <v>16888</v>
      </c>
      <c r="W868" t="s">
        <v>16889</v>
      </c>
      <c r="X868" t="s">
        <v>16890</v>
      </c>
      <c r="Y868" t="s">
        <v>16891</v>
      </c>
      <c r="Z868" t="s">
        <v>16892</v>
      </c>
      <c r="AA868" t="s">
        <v>16893</v>
      </c>
      <c r="AB868" t="s">
        <v>16894</v>
      </c>
      <c r="AC868" t="s">
        <v>16895</v>
      </c>
      <c r="AD868" t="s">
        <v>16896</v>
      </c>
      <c r="AE868" t="s">
        <v>16897</v>
      </c>
      <c r="AF868" t="s">
        <v>74</v>
      </c>
      <c r="AG868">
        <v>61</v>
      </c>
      <c r="AH868">
        <v>11</v>
      </c>
      <c r="AI868">
        <v>11</v>
      </c>
      <c r="AJ868">
        <v>1</v>
      </c>
      <c r="AK868">
        <v>12</v>
      </c>
      <c r="AL868" t="s">
        <v>335</v>
      </c>
      <c r="AM868" t="s">
        <v>336</v>
      </c>
      <c r="AN868" t="s">
        <v>337</v>
      </c>
      <c r="AO868" t="s">
        <v>74</v>
      </c>
      <c r="AP868" t="s">
        <v>16772</v>
      </c>
      <c r="AQ868" t="s">
        <v>74</v>
      </c>
      <c r="AR868" t="s">
        <v>16773</v>
      </c>
      <c r="AS868" t="s">
        <v>16774</v>
      </c>
      <c r="AT868" t="s">
        <v>1091</v>
      </c>
      <c r="AU868">
        <v>2021</v>
      </c>
      <c r="AV868">
        <v>18</v>
      </c>
      <c r="AW868">
        <v>4</v>
      </c>
      <c r="AX868" t="s">
        <v>74</v>
      </c>
      <c r="AY868" t="s">
        <v>74</v>
      </c>
      <c r="AZ868" t="s">
        <v>74</v>
      </c>
      <c r="BA868" t="s">
        <v>74</v>
      </c>
      <c r="BB868" t="s">
        <v>74</v>
      </c>
      <c r="BC868" t="s">
        <v>74</v>
      </c>
      <c r="BD868">
        <v>2050</v>
      </c>
      <c r="BE868" t="s">
        <v>16898</v>
      </c>
      <c r="BF868" t="str">
        <f>HYPERLINK("http://dx.doi.org/10.3390/ijerph18042050","http://dx.doi.org/10.3390/ijerph18042050")</f>
        <v>http://dx.doi.org/10.3390/ijerph18042050</v>
      </c>
      <c r="BG868" t="s">
        <v>74</v>
      </c>
      <c r="BH868" t="s">
        <v>74</v>
      </c>
      <c r="BI868">
        <v>15</v>
      </c>
      <c r="BJ868" t="s">
        <v>16776</v>
      </c>
      <c r="BK868" t="s">
        <v>1038</v>
      </c>
      <c r="BL868" t="s">
        <v>16777</v>
      </c>
      <c r="BM868" t="s">
        <v>16899</v>
      </c>
      <c r="BN868">
        <v>33669826</v>
      </c>
      <c r="BO868" t="s">
        <v>558</v>
      </c>
      <c r="BP868" t="s">
        <v>74</v>
      </c>
      <c r="BQ868" t="s">
        <v>74</v>
      </c>
      <c r="BR868" t="s">
        <v>104</v>
      </c>
      <c r="BS868" t="s">
        <v>16900</v>
      </c>
      <c r="BT868" t="str">
        <f>HYPERLINK("https%3A%2F%2Fwww.webofscience.com%2Fwos%2Fwoscc%2Ffull-record%2FWOS:000623560300001","View Full Record in Web of Science")</f>
        <v>View Full Record in Web of Science</v>
      </c>
    </row>
    <row r="869" spans="1:72" x14ac:dyDescent="0.15">
      <c r="A869" t="s">
        <v>72</v>
      </c>
      <c r="B869" t="s">
        <v>16901</v>
      </c>
      <c r="C869" t="s">
        <v>74</v>
      </c>
      <c r="D869" t="s">
        <v>74</v>
      </c>
      <c r="E869" t="s">
        <v>74</v>
      </c>
      <c r="F869" t="s">
        <v>16902</v>
      </c>
      <c r="G869" t="s">
        <v>74</v>
      </c>
      <c r="H869" t="s">
        <v>74</v>
      </c>
      <c r="I869" t="s">
        <v>16903</v>
      </c>
      <c r="J869" t="s">
        <v>16904</v>
      </c>
      <c r="K869" t="s">
        <v>74</v>
      </c>
      <c r="L869" t="s">
        <v>74</v>
      </c>
      <c r="M869" t="s">
        <v>78</v>
      </c>
      <c r="N869" t="s">
        <v>79</v>
      </c>
      <c r="O869" t="s">
        <v>74</v>
      </c>
      <c r="P869" t="s">
        <v>74</v>
      </c>
      <c r="Q869" t="s">
        <v>74</v>
      </c>
      <c r="R869" t="s">
        <v>74</v>
      </c>
      <c r="S869" t="s">
        <v>74</v>
      </c>
      <c r="T869" t="s">
        <v>16905</v>
      </c>
      <c r="U869" t="s">
        <v>16906</v>
      </c>
      <c r="V869" t="s">
        <v>16907</v>
      </c>
      <c r="W869" t="s">
        <v>16908</v>
      </c>
      <c r="X869" t="s">
        <v>16909</v>
      </c>
      <c r="Y869" t="s">
        <v>16910</v>
      </c>
      <c r="Z869" t="s">
        <v>16911</v>
      </c>
      <c r="AA869" t="s">
        <v>16912</v>
      </c>
      <c r="AB869" t="s">
        <v>16913</v>
      </c>
      <c r="AC869" t="s">
        <v>16914</v>
      </c>
      <c r="AD869" t="s">
        <v>511</v>
      </c>
      <c r="AE869" t="s">
        <v>16915</v>
      </c>
      <c r="AF869" t="s">
        <v>74</v>
      </c>
      <c r="AG869">
        <v>48</v>
      </c>
      <c r="AH869">
        <v>16</v>
      </c>
      <c r="AI869">
        <v>18</v>
      </c>
      <c r="AJ869">
        <v>10</v>
      </c>
      <c r="AK869">
        <v>56</v>
      </c>
      <c r="AL869" t="s">
        <v>335</v>
      </c>
      <c r="AM869" t="s">
        <v>336</v>
      </c>
      <c r="AN869" t="s">
        <v>337</v>
      </c>
      <c r="AO869" t="s">
        <v>74</v>
      </c>
      <c r="AP869" t="s">
        <v>16916</v>
      </c>
      <c r="AQ869" t="s">
        <v>74</v>
      </c>
      <c r="AR869" t="s">
        <v>16917</v>
      </c>
      <c r="AS869" t="s">
        <v>16918</v>
      </c>
      <c r="AT869" t="s">
        <v>1091</v>
      </c>
      <c r="AU869">
        <v>2021</v>
      </c>
      <c r="AV869">
        <v>10</v>
      </c>
      <c r="AW869">
        <v>2</v>
      </c>
      <c r="AX869" t="s">
        <v>74</v>
      </c>
      <c r="AY869" t="s">
        <v>74</v>
      </c>
      <c r="AZ869" t="s">
        <v>74</v>
      </c>
      <c r="BA869" t="s">
        <v>74</v>
      </c>
      <c r="BB869" t="s">
        <v>74</v>
      </c>
      <c r="BC869" t="s">
        <v>74</v>
      </c>
      <c r="BD869">
        <v>100</v>
      </c>
      <c r="BE869" t="s">
        <v>16919</v>
      </c>
      <c r="BF869" t="str">
        <f>HYPERLINK("http://dx.doi.org/10.3390/ijgi10020100","http://dx.doi.org/10.3390/ijgi10020100")</f>
        <v>http://dx.doi.org/10.3390/ijgi10020100</v>
      </c>
      <c r="BG869" t="s">
        <v>74</v>
      </c>
      <c r="BH869" t="s">
        <v>74</v>
      </c>
      <c r="BI869">
        <v>21</v>
      </c>
      <c r="BJ869" t="s">
        <v>16920</v>
      </c>
      <c r="BK869" t="s">
        <v>1038</v>
      </c>
      <c r="BL869" t="s">
        <v>16921</v>
      </c>
      <c r="BM869" t="s">
        <v>16922</v>
      </c>
      <c r="BN869" t="s">
        <v>74</v>
      </c>
      <c r="BO869" t="s">
        <v>558</v>
      </c>
      <c r="BP869" t="s">
        <v>74</v>
      </c>
      <c r="BQ869" t="s">
        <v>74</v>
      </c>
      <c r="BR869" t="s">
        <v>104</v>
      </c>
      <c r="BS869" t="s">
        <v>16923</v>
      </c>
      <c r="BT869" t="str">
        <f>HYPERLINK("https%3A%2F%2Fwww.webofscience.com%2Fwos%2Fwoscc%2Ffull-record%2FWOS:000622579400001","View Full Record in Web of Science")</f>
        <v>View Full Record in Web of Science</v>
      </c>
    </row>
    <row r="870" spans="1:72" x14ac:dyDescent="0.15">
      <c r="A870" t="s">
        <v>72</v>
      </c>
      <c r="B870" t="s">
        <v>16924</v>
      </c>
      <c r="C870" t="s">
        <v>74</v>
      </c>
      <c r="D870" t="s">
        <v>74</v>
      </c>
      <c r="E870" t="s">
        <v>74</v>
      </c>
      <c r="F870" t="s">
        <v>16925</v>
      </c>
      <c r="G870" t="s">
        <v>74</v>
      </c>
      <c r="H870" t="s">
        <v>74</v>
      </c>
      <c r="I870" t="s">
        <v>16926</v>
      </c>
      <c r="J870" t="s">
        <v>5557</v>
      </c>
      <c r="K870" t="s">
        <v>74</v>
      </c>
      <c r="L870" t="s">
        <v>74</v>
      </c>
      <c r="M870" t="s">
        <v>78</v>
      </c>
      <c r="N870" t="s">
        <v>79</v>
      </c>
      <c r="O870" t="s">
        <v>74</v>
      </c>
      <c r="P870" t="s">
        <v>74</v>
      </c>
      <c r="Q870" t="s">
        <v>74</v>
      </c>
      <c r="R870" t="s">
        <v>74</v>
      </c>
      <c r="S870" t="s">
        <v>74</v>
      </c>
      <c r="T870" t="s">
        <v>16927</v>
      </c>
      <c r="U870" t="s">
        <v>16928</v>
      </c>
      <c r="V870" t="s">
        <v>16929</v>
      </c>
      <c r="W870" t="s">
        <v>16930</v>
      </c>
      <c r="X870" t="s">
        <v>14815</v>
      </c>
      <c r="Y870" t="s">
        <v>16931</v>
      </c>
      <c r="Z870" t="s">
        <v>16932</v>
      </c>
      <c r="AA870" t="s">
        <v>16933</v>
      </c>
      <c r="AB870" t="s">
        <v>16934</v>
      </c>
      <c r="AC870" t="s">
        <v>16935</v>
      </c>
      <c r="AD870" t="s">
        <v>16936</v>
      </c>
      <c r="AE870" t="s">
        <v>16937</v>
      </c>
      <c r="AF870" t="s">
        <v>74</v>
      </c>
      <c r="AG870">
        <v>60</v>
      </c>
      <c r="AH870">
        <v>9</v>
      </c>
      <c r="AI870">
        <v>9</v>
      </c>
      <c r="AJ870">
        <v>1</v>
      </c>
      <c r="AK870">
        <v>11</v>
      </c>
      <c r="AL870" t="s">
        <v>335</v>
      </c>
      <c r="AM870" t="s">
        <v>336</v>
      </c>
      <c r="AN870" t="s">
        <v>337</v>
      </c>
      <c r="AO870" t="s">
        <v>74</v>
      </c>
      <c r="AP870" t="s">
        <v>5566</v>
      </c>
      <c r="AQ870" t="s">
        <v>74</v>
      </c>
      <c r="AR870" t="s">
        <v>5557</v>
      </c>
      <c r="AS870" t="s">
        <v>5567</v>
      </c>
      <c r="AT870" t="s">
        <v>1091</v>
      </c>
      <c r="AU870">
        <v>2021</v>
      </c>
      <c r="AV870">
        <v>9</v>
      </c>
      <c r="AW870">
        <v>2</v>
      </c>
      <c r="AX870" t="s">
        <v>74</v>
      </c>
      <c r="AY870" t="s">
        <v>74</v>
      </c>
      <c r="AZ870" t="s">
        <v>74</v>
      </c>
      <c r="BA870" t="s">
        <v>74</v>
      </c>
      <c r="BB870" t="s">
        <v>74</v>
      </c>
      <c r="BC870" t="s">
        <v>74</v>
      </c>
      <c r="BD870">
        <v>392</v>
      </c>
      <c r="BE870" t="s">
        <v>16938</v>
      </c>
      <c r="BF870" t="str">
        <f>HYPERLINK("http://dx.doi.org/10.3390/microorganisms9020392","http://dx.doi.org/10.3390/microorganisms9020392")</f>
        <v>http://dx.doi.org/10.3390/microorganisms9020392</v>
      </c>
      <c r="BG870" t="s">
        <v>74</v>
      </c>
      <c r="BH870" t="s">
        <v>74</v>
      </c>
      <c r="BI870">
        <v>17</v>
      </c>
      <c r="BJ870" t="s">
        <v>396</v>
      </c>
      <c r="BK870" t="s">
        <v>101</v>
      </c>
      <c r="BL870" t="s">
        <v>396</v>
      </c>
      <c r="BM870" t="s">
        <v>16939</v>
      </c>
      <c r="BN870">
        <v>33672948</v>
      </c>
      <c r="BO870" t="s">
        <v>558</v>
      </c>
      <c r="BP870" t="s">
        <v>74</v>
      </c>
      <c r="BQ870" t="s">
        <v>74</v>
      </c>
      <c r="BR870" t="s">
        <v>104</v>
      </c>
      <c r="BS870" t="s">
        <v>16940</v>
      </c>
      <c r="BT870" t="str">
        <f>HYPERLINK("https%3A%2F%2Fwww.webofscience.com%2Fwos%2Fwoscc%2Ffull-record%2FWOS:000622828100001","View Full Record in Web of Science")</f>
        <v>View Full Record in Web of Science</v>
      </c>
    </row>
    <row r="871" spans="1:72" x14ac:dyDescent="0.15">
      <c r="A871" t="s">
        <v>72</v>
      </c>
      <c r="B871" t="s">
        <v>16941</v>
      </c>
      <c r="C871" t="s">
        <v>74</v>
      </c>
      <c r="D871" t="s">
        <v>74</v>
      </c>
      <c r="E871" t="s">
        <v>74</v>
      </c>
      <c r="F871" t="s">
        <v>16942</v>
      </c>
      <c r="G871" t="s">
        <v>74</v>
      </c>
      <c r="H871" t="s">
        <v>74</v>
      </c>
      <c r="I871" t="s">
        <v>16943</v>
      </c>
      <c r="J871" t="s">
        <v>322</v>
      </c>
      <c r="K871" t="s">
        <v>74</v>
      </c>
      <c r="L871" t="s">
        <v>74</v>
      </c>
      <c r="M871" t="s">
        <v>78</v>
      </c>
      <c r="N871" t="s">
        <v>79</v>
      </c>
      <c r="O871" t="s">
        <v>74</v>
      </c>
      <c r="P871" t="s">
        <v>74</v>
      </c>
      <c r="Q871" t="s">
        <v>74</v>
      </c>
      <c r="R871" t="s">
        <v>74</v>
      </c>
      <c r="S871" t="s">
        <v>74</v>
      </c>
      <c r="T871" t="s">
        <v>16944</v>
      </c>
      <c r="U871" t="s">
        <v>16945</v>
      </c>
      <c r="V871" t="s">
        <v>16946</v>
      </c>
      <c r="W871" t="s">
        <v>16947</v>
      </c>
      <c r="X871" t="s">
        <v>16948</v>
      </c>
      <c r="Y871" t="s">
        <v>16949</v>
      </c>
      <c r="Z871" t="s">
        <v>16950</v>
      </c>
      <c r="AA871" t="s">
        <v>16951</v>
      </c>
      <c r="AB871" t="s">
        <v>16952</v>
      </c>
      <c r="AC871" t="s">
        <v>16953</v>
      </c>
      <c r="AD871" t="s">
        <v>16954</v>
      </c>
      <c r="AE871" t="s">
        <v>16955</v>
      </c>
      <c r="AF871" t="s">
        <v>74</v>
      </c>
      <c r="AG871">
        <v>47</v>
      </c>
      <c r="AH871">
        <v>4</v>
      </c>
      <c r="AI871">
        <v>4</v>
      </c>
      <c r="AJ871">
        <v>0</v>
      </c>
      <c r="AK871">
        <v>0</v>
      </c>
      <c r="AL871" t="s">
        <v>335</v>
      </c>
      <c r="AM871" t="s">
        <v>336</v>
      </c>
      <c r="AN871" t="s">
        <v>337</v>
      </c>
      <c r="AO871" t="s">
        <v>74</v>
      </c>
      <c r="AP871" t="s">
        <v>338</v>
      </c>
      <c r="AQ871" t="s">
        <v>74</v>
      </c>
      <c r="AR871" t="s">
        <v>322</v>
      </c>
      <c r="AS871" t="s">
        <v>339</v>
      </c>
      <c r="AT871" t="s">
        <v>1091</v>
      </c>
      <c r="AU871">
        <v>2021</v>
      </c>
      <c r="AV871">
        <v>6</v>
      </c>
      <c r="AW871">
        <v>2</v>
      </c>
      <c r="AX871" t="s">
        <v>74</v>
      </c>
      <c r="AY871" t="s">
        <v>74</v>
      </c>
      <c r="AZ871" t="s">
        <v>74</v>
      </c>
      <c r="BA871" t="s">
        <v>74</v>
      </c>
      <c r="BB871" t="s">
        <v>74</v>
      </c>
      <c r="BC871" t="s">
        <v>74</v>
      </c>
      <c r="BD871">
        <v>49</v>
      </c>
      <c r="BE871" t="s">
        <v>16956</v>
      </c>
      <c r="BF871" t="str">
        <f>HYPERLINK("http://dx.doi.org/10.3390/fluids6020049","http://dx.doi.org/10.3390/fluids6020049")</f>
        <v>http://dx.doi.org/10.3390/fluids6020049</v>
      </c>
      <c r="BG871" t="s">
        <v>74</v>
      </c>
      <c r="BH871" t="s">
        <v>74</v>
      </c>
      <c r="BI871">
        <v>24</v>
      </c>
      <c r="BJ871" t="s">
        <v>341</v>
      </c>
      <c r="BK871" t="s">
        <v>342</v>
      </c>
      <c r="BL871" t="s">
        <v>343</v>
      </c>
      <c r="BM871" t="s">
        <v>16957</v>
      </c>
      <c r="BN871" t="s">
        <v>74</v>
      </c>
      <c r="BO871" t="s">
        <v>317</v>
      </c>
      <c r="BP871" t="s">
        <v>74</v>
      </c>
      <c r="BQ871" t="s">
        <v>74</v>
      </c>
      <c r="BR871" t="s">
        <v>104</v>
      </c>
      <c r="BS871" t="s">
        <v>16958</v>
      </c>
      <c r="BT871" t="str">
        <f>HYPERLINK("https%3A%2F%2Fwww.webofscience.com%2Fwos%2Fwoscc%2Ffull-record%2FWOS:000622546100001","View Full Record in Web of Science")</f>
        <v>View Full Record in Web of Science</v>
      </c>
    </row>
    <row r="872" spans="1:72" x14ac:dyDescent="0.15">
      <c r="A872" t="s">
        <v>72</v>
      </c>
      <c r="B872" t="s">
        <v>16959</v>
      </c>
      <c r="C872" t="s">
        <v>74</v>
      </c>
      <c r="D872" t="s">
        <v>74</v>
      </c>
      <c r="E872" t="s">
        <v>74</v>
      </c>
      <c r="F872" t="s">
        <v>16960</v>
      </c>
      <c r="G872" t="s">
        <v>74</v>
      </c>
      <c r="H872" t="s">
        <v>74</v>
      </c>
      <c r="I872" t="s">
        <v>16961</v>
      </c>
      <c r="J872" t="s">
        <v>11231</v>
      </c>
      <c r="K872" t="s">
        <v>74</v>
      </c>
      <c r="L872" t="s">
        <v>74</v>
      </c>
      <c r="M872" t="s">
        <v>78</v>
      </c>
      <c r="N872" t="s">
        <v>79</v>
      </c>
      <c r="O872" t="s">
        <v>74</v>
      </c>
      <c r="P872" t="s">
        <v>74</v>
      </c>
      <c r="Q872" t="s">
        <v>74</v>
      </c>
      <c r="R872" t="s">
        <v>74</v>
      </c>
      <c r="S872" t="s">
        <v>74</v>
      </c>
      <c r="T872" t="s">
        <v>16962</v>
      </c>
      <c r="U872" t="s">
        <v>16963</v>
      </c>
      <c r="V872" t="s">
        <v>16964</v>
      </c>
      <c r="W872" t="s">
        <v>16965</v>
      </c>
      <c r="X872" t="s">
        <v>16966</v>
      </c>
      <c r="Y872" t="s">
        <v>16967</v>
      </c>
      <c r="Z872" t="s">
        <v>16968</v>
      </c>
      <c r="AA872" t="s">
        <v>16969</v>
      </c>
      <c r="AB872" t="s">
        <v>16970</v>
      </c>
      <c r="AC872" t="s">
        <v>16971</v>
      </c>
      <c r="AD872" t="s">
        <v>16972</v>
      </c>
      <c r="AE872" t="s">
        <v>16973</v>
      </c>
      <c r="AF872" t="s">
        <v>74</v>
      </c>
      <c r="AG872">
        <v>119</v>
      </c>
      <c r="AH872">
        <v>5</v>
      </c>
      <c r="AI872">
        <v>5</v>
      </c>
      <c r="AJ872">
        <v>3</v>
      </c>
      <c r="AK872">
        <v>37</v>
      </c>
      <c r="AL872" t="s">
        <v>335</v>
      </c>
      <c r="AM872" t="s">
        <v>336</v>
      </c>
      <c r="AN872" t="s">
        <v>337</v>
      </c>
      <c r="AO872" t="s">
        <v>74</v>
      </c>
      <c r="AP872" t="s">
        <v>11244</v>
      </c>
      <c r="AQ872" t="s">
        <v>74</v>
      </c>
      <c r="AR872" t="s">
        <v>11245</v>
      </c>
      <c r="AS872" t="s">
        <v>11246</v>
      </c>
      <c r="AT872" t="s">
        <v>1091</v>
      </c>
      <c r="AU872">
        <v>2021</v>
      </c>
      <c r="AV872">
        <v>12</v>
      </c>
      <c r="AW872">
        <v>2</v>
      </c>
      <c r="AX872" t="s">
        <v>74</v>
      </c>
      <c r="AY872" t="s">
        <v>74</v>
      </c>
      <c r="AZ872" t="s">
        <v>74</v>
      </c>
      <c r="BA872" t="s">
        <v>74</v>
      </c>
      <c r="BB872" t="s">
        <v>74</v>
      </c>
      <c r="BC872" t="s">
        <v>74</v>
      </c>
      <c r="BD872">
        <v>187</v>
      </c>
      <c r="BE872" t="s">
        <v>16974</v>
      </c>
      <c r="BF872" t="str">
        <f>HYPERLINK("http://dx.doi.org/10.3390/genes12020187","http://dx.doi.org/10.3390/genes12020187")</f>
        <v>http://dx.doi.org/10.3390/genes12020187</v>
      </c>
      <c r="BG872" t="s">
        <v>74</v>
      </c>
      <c r="BH872" t="s">
        <v>74</v>
      </c>
      <c r="BI872">
        <v>19</v>
      </c>
      <c r="BJ872" t="s">
        <v>3916</v>
      </c>
      <c r="BK872" t="s">
        <v>101</v>
      </c>
      <c r="BL872" t="s">
        <v>3916</v>
      </c>
      <c r="BM872" t="s">
        <v>16975</v>
      </c>
      <c r="BN872">
        <v>33514061</v>
      </c>
      <c r="BO872" t="s">
        <v>298</v>
      </c>
      <c r="BP872" t="s">
        <v>74</v>
      </c>
      <c r="BQ872" t="s">
        <v>74</v>
      </c>
      <c r="BR872" t="s">
        <v>104</v>
      </c>
      <c r="BS872" t="s">
        <v>16976</v>
      </c>
      <c r="BT872" t="str">
        <f>HYPERLINK("https%3A%2F%2Fwww.webofscience.com%2Fwos%2Fwoscc%2Ffull-record%2FWOS:000622558300001","View Full Record in Web of Science")</f>
        <v>View Full Record in Web of Science</v>
      </c>
    </row>
    <row r="873" spans="1:72" x14ac:dyDescent="0.15">
      <c r="A873" t="s">
        <v>72</v>
      </c>
      <c r="B873" t="s">
        <v>16977</v>
      </c>
      <c r="C873" t="s">
        <v>74</v>
      </c>
      <c r="D873" t="s">
        <v>74</v>
      </c>
      <c r="E873" t="s">
        <v>74</v>
      </c>
      <c r="F873" t="s">
        <v>16978</v>
      </c>
      <c r="G873" t="s">
        <v>74</v>
      </c>
      <c r="H873" t="s">
        <v>74</v>
      </c>
      <c r="I873" t="s">
        <v>16979</v>
      </c>
      <c r="J873" t="s">
        <v>5615</v>
      </c>
      <c r="K873" t="s">
        <v>74</v>
      </c>
      <c r="L873" t="s">
        <v>74</v>
      </c>
      <c r="M873" t="s">
        <v>78</v>
      </c>
      <c r="N873" t="s">
        <v>79</v>
      </c>
      <c r="O873" t="s">
        <v>74</v>
      </c>
      <c r="P873" t="s">
        <v>74</v>
      </c>
      <c r="Q873" t="s">
        <v>74</v>
      </c>
      <c r="R873" t="s">
        <v>74</v>
      </c>
      <c r="S873" t="s">
        <v>74</v>
      </c>
      <c r="T873" t="s">
        <v>16980</v>
      </c>
      <c r="U873" t="s">
        <v>16981</v>
      </c>
      <c r="V873" t="s">
        <v>16982</v>
      </c>
      <c r="W873" t="s">
        <v>16983</v>
      </c>
      <c r="X873" t="s">
        <v>16984</v>
      </c>
      <c r="Y873" t="s">
        <v>16985</v>
      </c>
      <c r="Z873" t="s">
        <v>16986</v>
      </c>
      <c r="AA873" t="s">
        <v>16987</v>
      </c>
      <c r="AB873" t="s">
        <v>16988</v>
      </c>
      <c r="AC873" t="s">
        <v>16989</v>
      </c>
      <c r="AD873" t="s">
        <v>16990</v>
      </c>
      <c r="AE873" t="s">
        <v>16991</v>
      </c>
      <c r="AF873" t="s">
        <v>74</v>
      </c>
      <c r="AG873">
        <v>56</v>
      </c>
      <c r="AH873">
        <v>10</v>
      </c>
      <c r="AI873">
        <v>10</v>
      </c>
      <c r="AJ873">
        <v>1</v>
      </c>
      <c r="AK873">
        <v>13</v>
      </c>
      <c r="AL873" t="s">
        <v>335</v>
      </c>
      <c r="AM873" t="s">
        <v>336</v>
      </c>
      <c r="AN873" t="s">
        <v>337</v>
      </c>
      <c r="AO873" t="s">
        <v>74</v>
      </c>
      <c r="AP873" t="s">
        <v>5628</v>
      </c>
      <c r="AQ873" t="s">
        <v>74</v>
      </c>
      <c r="AR873" t="s">
        <v>5629</v>
      </c>
      <c r="AS873" t="s">
        <v>5630</v>
      </c>
      <c r="AT873" t="s">
        <v>1091</v>
      </c>
      <c r="AU873">
        <v>2021</v>
      </c>
      <c r="AV873">
        <v>9</v>
      </c>
      <c r="AW873">
        <v>2</v>
      </c>
      <c r="AX873" t="s">
        <v>74</v>
      </c>
      <c r="AY873" t="s">
        <v>74</v>
      </c>
      <c r="AZ873" t="s">
        <v>74</v>
      </c>
      <c r="BA873" t="s">
        <v>74</v>
      </c>
      <c r="BB873" t="s">
        <v>74</v>
      </c>
      <c r="BC873" t="s">
        <v>74</v>
      </c>
      <c r="BD873">
        <v>153</v>
      </c>
      <c r="BE873" t="s">
        <v>16992</v>
      </c>
      <c r="BF873" t="str">
        <f>HYPERLINK("http://dx.doi.org/10.3390/jmse9020153","http://dx.doi.org/10.3390/jmse9020153")</f>
        <v>http://dx.doi.org/10.3390/jmse9020153</v>
      </c>
      <c r="BG873" t="s">
        <v>74</v>
      </c>
      <c r="BH873" t="s">
        <v>74</v>
      </c>
      <c r="BI873">
        <v>17</v>
      </c>
      <c r="BJ873" t="s">
        <v>5632</v>
      </c>
      <c r="BK873" t="s">
        <v>101</v>
      </c>
      <c r="BL873" t="s">
        <v>5633</v>
      </c>
      <c r="BM873" t="s">
        <v>16993</v>
      </c>
      <c r="BN873" t="s">
        <v>74</v>
      </c>
      <c r="BO873" t="s">
        <v>317</v>
      </c>
      <c r="BP873" t="s">
        <v>74</v>
      </c>
      <c r="BQ873" t="s">
        <v>74</v>
      </c>
      <c r="BR873" t="s">
        <v>104</v>
      </c>
      <c r="BS873" t="s">
        <v>16994</v>
      </c>
      <c r="BT873" t="str">
        <f>HYPERLINK("https%3A%2F%2Fwww.webofscience.com%2Fwos%2Fwoscc%2Ffull-record%2FWOS:000622647000001","View Full Record in Web of Science")</f>
        <v>View Full Record in Web of Science</v>
      </c>
    </row>
    <row r="874" spans="1:72" x14ac:dyDescent="0.15">
      <c r="A874" t="s">
        <v>72</v>
      </c>
      <c r="B874" t="s">
        <v>16995</v>
      </c>
      <c r="C874" t="s">
        <v>74</v>
      </c>
      <c r="D874" t="s">
        <v>74</v>
      </c>
      <c r="E874" t="s">
        <v>74</v>
      </c>
      <c r="F874" t="s">
        <v>16996</v>
      </c>
      <c r="G874" t="s">
        <v>74</v>
      </c>
      <c r="H874" t="s">
        <v>74</v>
      </c>
      <c r="I874" t="s">
        <v>16997</v>
      </c>
      <c r="J874" t="s">
        <v>5615</v>
      </c>
      <c r="K874" t="s">
        <v>74</v>
      </c>
      <c r="L874" t="s">
        <v>74</v>
      </c>
      <c r="M874" t="s">
        <v>78</v>
      </c>
      <c r="N874" t="s">
        <v>1074</v>
      </c>
      <c r="O874" t="s">
        <v>74</v>
      </c>
      <c r="P874" t="s">
        <v>74</v>
      </c>
      <c r="Q874" t="s">
        <v>74</v>
      </c>
      <c r="R874" t="s">
        <v>74</v>
      </c>
      <c r="S874" t="s">
        <v>74</v>
      </c>
      <c r="T874" t="s">
        <v>16998</v>
      </c>
      <c r="U874" t="s">
        <v>16999</v>
      </c>
      <c r="V874" t="s">
        <v>17000</v>
      </c>
      <c r="W874" t="s">
        <v>17001</v>
      </c>
      <c r="X874" t="s">
        <v>17002</v>
      </c>
      <c r="Y874" t="s">
        <v>17003</v>
      </c>
      <c r="Z874" t="s">
        <v>17004</v>
      </c>
      <c r="AA874" t="s">
        <v>17005</v>
      </c>
      <c r="AB874" t="s">
        <v>17006</v>
      </c>
      <c r="AC874" t="s">
        <v>16895</v>
      </c>
      <c r="AD874" t="s">
        <v>16896</v>
      </c>
      <c r="AE874" t="s">
        <v>16897</v>
      </c>
      <c r="AF874" t="s">
        <v>74</v>
      </c>
      <c r="AG874">
        <v>130</v>
      </c>
      <c r="AH874">
        <v>32</v>
      </c>
      <c r="AI874">
        <v>34</v>
      </c>
      <c r="AJ874">
        <v>6</v>
      </c>
      <c r="AK874">
        <v>65</v>
      </c>
      <c r="AL874" t="s">
        <v>335</v>
      </c>
      <c r="AM874" t="s">
        <v>336</v>
      </c>
      <c r="AN874" t="s">
        <v>337</v>
      </c>
      <c r="AO874" t="s">
        <v>74</v>
      </c>
      <c r="AP874" t="s">
        <v>5628</v>
      </c>
      <c r="AQ874" t="s">
        <v>74</v>
      </c>
      <c r="AR874" t="s">
        <v>5629</v>
      </c>
      <c r="AS874" t="s">
        <v>5630</v>
      </c>
      <c r="AT874" t="s">
        <v>1091</v>
      </c>
      <c r="AU874">
        <v>2021</v>
      </c>
      <c r="AV874">
        <v>9</v>
      </c>
      <c r="AW874">
        <v>2</v>
      </c>
      <c r="AX874" t="s">
        <v>74</v>
      </c>
      <c r="AY874" t="s">
        <v>74</v>
      </c>
      <c r="AZ874" t="s">
        <v>74</v>
      </c>
      <c r="BA874" t="s">
        <v>74</v>
      </c>
      <c r="BB874" t="s">
        <v>74</v>
      </c>
      <c r="BC874" t="s">
        <v>74</v>
      </c>
      <c r="BD874">
        <v>155</v>
      </c>
      <c r="BE874" t="s">
        <v>17007</v>
      </c>
      <c r="BF874" t="str">
        <f>HYPERLINK("http://dx.doi.org/10.3390/jmse9020155","http://dx.doi.org/10.3390/jmse9020155")</f>
        <v>http://dx.doi.org/10.3390/jmse9020155</v>
      </c>
      <c r="BG874" t="s">
        <v>74</v>
      </c>
      <c r="BH874" t="s">
        <v>74</v>
      </c>
      <c r="BI874">
        <v>19</v>
      </c>
      <c r="BJ874" t="s">
        <v>5632</v>
      </c>
      <c r="BK874" t="s">
        <v>101</v>
      </c>
      <c r="BL874" t="s">
        <v>5633</v>
      </c>
      <c r="BM874" t="s">
        <v>17008</v>
      </c>
      <c r="BN874" t="s">
        <v>74</v>
      </c>
      <c r="BO874" t="s">
        <v>317</v>
      </c>
      <c r="BP874" t="s">
        <v>74</v>
      </c>
      <c r="BQ874" t="s">
        <v>74</v>
      </c>
      <c r="BR874" t="s">
        <v>104</v>
      </c>
      <c r="BS874" t="s">
        <v>17009</v>
      </c>
      <c r="BT874" t="str">
        <f>HYPERLINK("https%3A%2F%2Fwww.webofscience.com%2Fwos%2Fwoscc%2Ffull-record%2FWOS:000622617800001","View Full Record in Web of Science")</f>
        <v>View Full Record in Web of Science</v>
      </c>
    </row>
    <row r="875" spans="1:72" x14ac:dyDescent="0.15">
      <c r="A875" t="s">
        <v>72</v>
      </c>
      <c r="B875" t="s">
        <v>17010</v>
      </c>
      <c r="C875" t="s">
        <v>74</v>
      </c>
      <c r="D875" t="s">
        <v>74</v>
      </c>
      <c r="E875" t="s">
        <v>74</v>
      </c>
      <c r="F875" t="s">
        <v>17011</v>
      </c>
      <c r="G875" t="s">
        <v>74</v>
      </c>
      <c r="H875" t="s">
        <v>74</v>
      </c>
      <c r="I875" t="s">
        <v>17012</v>
      </c>
      <c r="J875" t="s">
        <v>17013</v>
      </c>
      <c r="K875" t="s">
        <v>74</v>
      </c>
      <c r="L875" t="s">
        <v>74</v>
      </c>
      <c r="M875" t="s">
        <v>78</v>
      </c>
      <c r="N875" t="s">
        <v>79</v>
      </c>
      <c r="O875" t="s">
        <v>74</v>
      </c>
      <c r="P875" t="s">
        <v>74</v>
      </c>
      <c r="Q875" t="s">
        <v>74</v>
      </c>
      <c r="R875" t="s">
        <v>74</v>
      </c>
      <c r="S875" t="s">
        <v>74</v>
      </c>
      <c r="T875" t="s">
        <v>17014</v>
      </c>
      <c r="U875" t="s">
        <v>17015</v>
      </c>
      <c r="V875" t="s">
        <v>17016</v>
      </c>
      <c r="W875" t="s">
        <v>17017</v>
      </c>
      <c r="X875" t="s">
        <v>17018</v>
      </c>
      <c r="Y875" t="s">
        <v>17019</v>
      </c>
      <c r="Z875" t="s">
        <v>17020</v>
      </c>
      <c r="AA875" t="s">
        <v>17021</v>
      </c>
      <c r="AB875" t="s">
        <v>17022</v>
      </c>
      <c r="AC875" t="s">
        <v>17023</v>
      </c>
      <c r="AD875" t="s">
        <v>17023</v>
      </c>
      <c r="AE875" t="s">
        <v>17024</v>
      </c>
      <c r="AF875" t="s">
        <v>74</v>
      </c>
      <c r="AG875">
        <v>62</v>
      </c>
      <c r="AH875">
        <v>4</v>
      </c>
      <c r="AI875">
        <v>5</v>
      </c>
      <c r="AJ875">
        <v>0</v>
      </c>
      <c r="AK875">
        <v>4</v>
      </c>
      <c r="AL875" t="s">
        <v>335</v>
      </c>
      <c r="AM875" t="s">
        <v>336</v>
      </c>
      <c r="AN875" t="s">
        <v>337</v>
      </c>
      <c r="AO875" t="s">
        <v>74</v>
      </c>
      <c r="AP875" t="s">
        <v>17025</v>
      </c>
      <c r="AQ875" t="s">
        <v>74</v>
      </c>
      <c r="AR875" t="s">
        <v>17013</v>
      </c>
      <c r="AS875" t="s">
        <v>17026</v>
      </c>
      <c r="AT875" t="s">
        <v>1091</v>
      </c>
      <c r="AU875">
        <v>2021</v>
      </c>
      <c r="AV875">
        <v>11</v>
      </c>
      <c r="AW875">
        <v>2</v>
      </c>
      <c r="AX875" t="s">
        <v>74</v>
      </c>
      <c r="AY875" t="s">
        <v>74</v>
      </c>
      <c r="AZ875" t="s">
        <v>74</v>
      </c>
      <c r="BA875" t="s">
        <v>74</v>
      </c>
      <c r="BB875" t="s">
        <v>74</v>
      </c>
      <c r="BC875" t="s">
        <v>74</v>
      </c>
      <c r="BD875">
        <v>96</v>
      </c>
      <c r="BE875" t="s">
        <v>17027</v>
      </c>
      <c r="BF875" t="str">
        <f>HYPERLINK("http://dx.doi.org/10.3390/life11020096","http://dx.doi.org/10.3390/life11020096")</f>
        <v>http://dx.doi.org/10.3390/life11020096</v>
      </c>
      <c r="BG875" t="s">
        <v>74</v>
      </c>
      <c r="BH875" t="s">
        <v>74</v>
      </c>
      <c r="BI875">
        <v>13</v>
      </c>
      <c r="BJ875" t="s">
        <v>17028</v>
      </c>
      <c r="BK875" t="s">
        <v>101</v>
      </c>
      <c r="BL875" t="s">
        <v>17029</v>
      </c>
      <c r="BM875" t="s">
        <v>17030</v>
      </c>
      <c r="BN875">
        <v>33514042</v>
      </c>
      <c r="BO875" t="s">
        <v>298</v>
      </c>
      <c r="BP875" t="s">
        <v>74</v>
      </c>
      <c r="BQ875" t="s">
        <v>74</v>
      </c>
      <c r="BR875" t="s">
        <v>104</v>
      </c>
      <c r="BS875" t="s">
        <v>17031</v>
      </c>
      <c r="BT875" t="str">
        <f>HYPERLINK("https%3A%2F%2Fwww.webofscience.com%2Fwos%2Fwoscc%2Ffull-record%2FWOS:000622707700001","View Full Record in Web of Science")</f>
        <v>View Full Record in Web of Science</v>
      </c>
    </row>
    <row r="876" spans="1:72" x14ac:dyDescent="0.15">
      <c r="A876" t="s">
        <v>72</v>
      </c>
      <c r="B876" t="s">
        <v>17032</v>
      </c>
      <c r="C876" t="s">
        <v>74</v>
      </c>
      <c r="D876" t="s">
        <v>74</v>
      </c>
      <c r="E876" t="s">
        <v>74</v>
      </c>
      <c r="F876" t="s">
        <v>17033</v>
      </c>
      <c r="G876" t="s">
        <v>74</v>
      </c>
      <c r="H876" t="s">
        <v>74</v>
      </c>
      <c r="I876" t="s">
        <v>17034</v>
      </c>
      <c r="J876" t="s">
        <v>5557</v>
      </c>
      <c r="K876" t="s">
        <v>74</v>
      </c>
      <c r="L876" t="s">
        <v>74</v>
      </c>
      <c r="M876" t="s">
        <v>78</v>
      </c>
      <c r="N876" t="s">
        <v>79</v>
      </c>
      <c r="O876" t="s">
        <v>74</v>
      </c>
      <c r="P876" t="s">
        <v>74</v>
      </c>
      <c r="Q876" t="s">
        <v>74</v>
      </c>
      <c r="R876" t="s">
        <v>74</v>
      </c>
      <c r="S876" t="s">
        <v>74</v>
      </c>
      <c r="T876" t="s">
        <v>17035</v>
      </c>
      <c r="U876" t="s">
        <v>74</v>
      </c>
      <c r="V876" t="s">
        <v>17036</v>
      </c>
      <c r="W876" t="s">
        <v>17037</v>
      </c>
      <c r="X876" t="s">
        <v>17038</v>
      </c>
      <c r="Y876" t="s">
        <v>17039</v>
      </c>
      <c r="Z876" t="s">
        <v>17040</v>
      </c>
      <c r="AA876" t="s">
        <v>17041</v>
      </c>
      <c r="AB876" t="s">
        <v>17042</v>
      </c>
      <c r="AC876" t="s">
        <v>17043</v>
      </c>
      <c r="AD876" t="s">
        <v>17044</v>
      </c>
      <c r="AE876" t="s">
        <v>17045</v>
      </c>
      <c r="AF876" t="s">
        <v>74</v>
      </c>
      <c r="AG876">
        <v>61</v>
      </c>
      <c r="AH876">
        <v>11</v>
      </c>
      <c r="AI876">
        <v>12</v>
      </c>
      <c r="AJ876">
        <v>5</v>
      </c>
      <c r="AK876">
        <v>29</v>
      </c>
      <c r="AL876" t="s">
        <v>335</v>
      </c>
      <c r="AM876" t="s">
        <v>336</v>
      </c>
      <c r="AN876" t="s">
        <v>337</v>
      </c>
      <c r="AO876" t="s">
        <v>74</v>
      </c>
      <c r="AP876" t="s">
        <v>5566</v>
      </c>
      <c r="AQ876" t="s">
        <v>74</v>
      </c>
      <c r="AR876" t="s">
        <v>5557</v>
      </c>
      <c r="AS876" t="s">
        <v>5567</v>
      </c>
      <c r="AT876" t="s">
        <v>1091</v>
      </c>
      <c r="AU876">
        <v>2021</v>
      </c>
      <c r="AV876">
        <v>9</v>
      </c>
      <c r="AW876">
        <v>2</v>
      </c>
      <c r="AX876" t="s">
        <v>74</v>
      </c>
      <c r="AY876" t="s">
        <v>74</v>
      </c>
      <c r="AZ876" t="s">
        <v>74</v>
      </c>
      <c r="BA876" t="s">
        <v>74</v>
      </c>
      <c r="BB876" t="s">
        <v>74</v>
      </c>
      <c r="BC876" t="s">
        <v>74</v>
      </c>
      <c r="BD876">
        <v>460</v>
      </c>
      <c r="BE876" t="s">
        <v>17046</v>
      </c>
      <c r="BF876" t="str">
        <f>HYPERLINK("http://dx.doi.org/10.3390/microorganisms9020460","http://dx.doi.org/10.3390/microorganisms9020460")</f>
        <v>http://dx.doi.org/10.3390/microorganisms9020460</v>
      </c>
      <c r="BG876" t="s">
        <v>74</v>
      </c>
      <c r="BH876" t="s">
        <v>74</v>
      </c>
      <c r="BI876">
        <v>12</v>
      </c>
      <c r="BJ876" t="s">
        <v>396</v>
      </c>
      <c r="BK876" t="s">
        <v>101</v>
      </c>
      <c r="BL876" t="s">
        <v>396</v>
      </c>
      <c r="BM876" t="s">
        <v>17047</v>
      </c>
      <c r="BN876">
        <v>33672195</v>
      </c>
      <c r="BO876" t="s">
        <v>1170</v>
      </c>
      <c r="BP876" t="s">
        <v>74</v>
      </c>
      <c r="BQ876" t="s">
        <v>74</v>
      </c>
      <c r="BR876" t="s">
        <v>104</v>
      </c>
      <c r="BS876" t="s">
        <v>17048</v>
      </c>
      <c r="BT876" t="str">
        <f>HYPERLINK("https%3A%2F%2Fwww.webofscience.com%2Fwos%2Fwoscc%2Ffull-record%2FWOS:000622841800001","View Full Record in Web of Science")</f>
        <v>View Full Record in Web of Science</v>
      </c>
    </row>
    <row r="877" spans="1:72" x14ac:dyDescent="0.15">
      <c r="A877" t="s">
        <v>72</v>
      </c>
      <c r="B877" t="s">
        <v>17049</v>
      </c>
      <c r="C877" t="s">
        <v>74</v>
      </c>
      <c r="D877" t="s">
        <v>74</v>
      </c>
      <c r="E877" t="s">
        <v>74</v>
      </c>
      <c r="F877" t="s">
        <v>17050</v>
      </c>
      <c r="G877" t="s">
        <v>74</v>
      </c>
      <c r="H877" t="s">
        <v>74</v>
      </c>
      <c r="I877" t="s">
        <v>17051</v>
      </c>
      <c r="J877" t="s">
        <v>5417</v>
      </c>
      <c r="K877" t="s">
        <v>74</v>
      </c>
      <c r="L877" t="s">
        <v>74</v>
      </c>
      <c r="M877" t="s">
        <v>78</v>
      </c>
      <c r="N877" t="s">
        <v>79</v>
      </c>
      <c r="O877" t="s">
        <v>74</v>
      </c>
      <c r="P877" t="s">
        <v>74</v>
      </c>
      <c r="Q877" t="s">
        <v>74</v>
      </c>
      <c r="R877" t="s">
        <v>74</v>
      </c>
      <c r="S877" t="s">
        <v>74</v>
      </c>
      <c r="T877" t="s">
        <v>17052</v>
      </c>
      <c r="U877" t="s">
        <v>74</v>
      </c>
      <c r="V877" t="s">
        <v>17053</v>
      </c>
      <c r="W877" t="s">
        <v>17054</v>
      </c>
      <c r="X877" t="s">
        <v>17055</v>
      </c>
      <c r="Y877" t="s">
        <v>17056</v>
      </c>
      <c r="Z877" t="s">
        <v>17057</v>
      </c>
      <c r="AA877" t="s">
        <v>17058</v>
      </c>
      <c r="AB877" t="s">
        <v>17059</v>
      </c>
      <c r="AC877" t="s">
        <v>17060</v>
      </c>
      <c r="AD877" t="s">
        <v>17061</v>
      </c>
      <c r="AE877" t="s">
        <v>17062</v>
      </c>
      <c r="AF877" t="s">
        <v>74</v>
      </c>
      <c r="AG877">
        <v>16</v>
      </c>
      <c r="AH877">
        <v>3</v>
      </c>
      <c r="AI877">
        <v>3</v>
      </c>
      <c r="AJ877">
        <v>0</v>
      </c>
      <c r="AK877">
        <v>6</v>
      </c>
      <c r="AL877" t="s">
        <v>335</v>
      </c>
      <c r="AM877" t="s">
        <v>336</v>
      </c>
      <c r="AN877" t="s">
        <v>337</v>
      </c>
      <c r="AO877" t="s">
        <v>74</v>
      </c>
      <c r="AP877" t="s">
        <v>5430</v>
      </c>
      <c r="AQ877" t="s">
        <v>74</v>
      </c>
      <c r="AR877" t="s">
        <v>5431</v>
      </c>
      <c r="AS877" t="s">
        <v>5432</v>
      </c>
      <c r="AT877" t="s">
        <v>1091</v>
      </c>
      <c r="AU877">
        <v>2021</v>
      </c>
      <c r="AV877">
        <v>12</v>
      </c>
      <c r="AW877">
        <v>2</v>
      </c>
      <c r="AX877" t="s">
        <v>74</v>
      </c>
      <c r="AY877" t="s">
        <v>74</v>
      </c>
      <c r="AZ877" t="s">
        <v>74</v>
      </c>
      <c r="BA877" t="s">
        <v>74</v>
      </c>
      <c r="BB877" t="s">
        <v>74</v>
      </c>
      <c r="BC877" t="s">
        <v>74</v>
      </c>
      <c r="BD877">
        <v>209</v>
      </c>
      <c r="BE877" t="s">
        <v>17063</v>
      </c>
      <c r="BF877" t="str">
        <f>HYPERLINK("http://dx.doi.org/10.3390/atmos12020209","http://dx.doi.org/10.3390/atmos12020209")</f>
        <v>http://dx.doi.org/10.3390/atmos12020209</v>
      </c>
      <c r="BG877" t="s">
        <v>74</v>
      </c>
      <c r="BH877" t="s">
        <v>74</v>
      </c>
      <c r="BI877">
        <v>10</v>
      </c>
      <c r="BJ877" t="s">
        <v>199</v>
      </c>
      <c r="BK877" t="s">
        <v>101</v>
      </c>
      <c r="BL877" t="s">
        <v>200</v>
      </c>
      <c r="BM877" t="s">
        <v>17064</v>
      </c>
      <c r="BN877" t="s">
        <v>74</v>
      </c>
      <c r="BO877" t="s">
        <v>317</v>
      </c>
      <c r="BP877" t="s">
        <v>74</v>
      </c>
      <c r="BQ877" t="s">
        <v>74</v>
      </c>
      <c r="BR877" t="s">
        <v>104</v>
      </c>
      <c r="BS877" t="s">
        <v>17065</v>
      </c>
      <c r="BT877" t="str">
        <f>HYPERLINK("https%3A%2F%2Fwww.webofscience.com%2Fwos%2Fwoscc%2Ffull-record%2FWOS:000622149700001","View Full Record in Web of Science")</f>
        <v>View Full Record in Web of Science</v>
      </c>
    </row>
    <row r="878" spans="1:72" x14ac:dyDescent="0.15">
      <c r="A878" t="s">
        <v>72</v>
      </c>
      <c r="B878" t="s">
        <v>17066</v>
      </c>
      <c r="C878" t="s">
        <v>74</v>
      </c>
      <c r="D878" t="s">
        <v>74</v>
      </c>
      <c r="E878" t="s">
        <v>74</v>
      </c>
      <c r="F878" t="s">
        <v>17067</v>
      </c>
      <c r="G878" t="s">
        <v>74</v>
      </c>
      <c r="H878" t="s">
        <v>74</v>
      </c>
      <c r="I878" t="s">
        <v>17068</v>
      </c>
      <c r="J878" t="s">
        <v>17069</v>
      </c>
      <c r="K878" t="s">
        <v>74</v>
      </c>
      <c r="L878" t="s">
        <v>74</v>
      </c>
      <c r="M878" t="s">
        <v>78</v>
      </c>
      <c r="N878" t="s">
        <v>79</v>
      </c>
      <c r="O878" t="s">
        <v>74</v>
      </c>
      <c r="P878" t="s">
        <v>74</v>
      </c>
      <c r="Q878" t="s">
        <v>74</v>
      </c>
      <c r="R878" t="s">
        <v>74</v>
      </c>
      <c r="S878" t="s">
        <v>74</v>
      </c>
      <c r="T878" t="s">
        <v>17070</v>
      </c>
      <c r="U878" t="s">
        <v>74</v>
      </c>
      <c r="V878" t="s">
        <v>17071</v>
      </c>
      <c r="W878" t="s">
        <v>17072</v>
      </c>
      <c r="X878" t="s">
        <v>5506</v>
      </c>
      <c r="Y878" t="s">
        <v>17073</v>
      </c>
      <c r="Z878" t="s">
        <v>17074</v>
      </c>
      <c r="AA878" t="s">
        <v>17075</v>
      </c>
      <c r="AB878" t="s">
        <v>17076</v>
      </c>
      <c r="AC878" t="s">
        <v>17077</v>
      </c>
      <c r="AD878" t="s">
        <v>17078</v>
      </c>
      <c r="AE878" t="s">
        <v>17079</v>
      </c>
      <c r="AF878" t="s">
        <v>74</v>
      </c>
      <c r="AG878">
        <v>82</v>
      </c>
      <c r="AH878">
        <v>5</v>
      </c>
      <c r="AI878">
        <v>5</v>
      </c>
      <c r="AJ878">
        <v>0</v>
      </c>
      <c r="AK878">
        <v>3</v>
      </c>
      <c r="AL878" t="s">
        <v>335</v>
      </c>
      <c r="AM878" t="s">
        <v>336</v>
      </c>
      <c r="AN878" t="s">
        <v>337</v>
      </c>
      <c r="AO878" t="s">
        <v>74</v>
      </c>
      <c r="AP878" t="s">
        <v>17080</v>
      </c>
      <c r="AQ878" t="s">
        <v>74</v>
      </c>
      <c r="AR878" t="s">
        <v>17069</v>
      </c>
      <c r="AS878" t="s">
        <v>17081</v>
      </c>
      <c r="AT878" t="s">
        <v>1091</v>
      </c>
      <c r="AU878">
        <v>2021</v>
      </c>
      <c r="AV878">
        <v>9</v>
      </c>
      <c r="AW878">
        <v>2</v>
      </c>
      <c r="AX878" t="s">
        <v>74</v>
      </c>
      <c r="AY878" t="s">
        <v>74</v>
      </c>
      <c r="AZ878" t="s">
        <v>74</v>
      </c>
      <c r="BA878" t="s">
        <v>74</v>
      </c>
      <c r="BB878" t="s">
        <v>74</v>
      </c>
      <c r="BC878" t="s">
        <v>74</v>
      </c>
      <c r="BD878">
        <v>165</v>
      </c>
      <c r="BE878" t="s">
        <v>17082</v>
      </c>
      <c r="BF878" t="str">
        <f>HYPERLINK("http://dx.doi.org/10.3390/biomedicines9020165","http://dx.doi.org/10.3390/biomedicines9020165")</f>
        <v>http://dx.doi.org/10.3390/biomedicines9020165</v>
      </c>
      <c r="BG878" t="s">
        <v>74</v>
      </c>
      <c r="BH878" t="s">
        <v>74</v>
      </c>
      <c r="BI878">
        <v>24</v>
      </c>
      <c r="BJ878" t="s">
        <v>17083</v>
      </c>
      <c r="BK878" t="s">
        <v>101</v>
      </c>
      <c r="BL878" t="s">
        <v>17084</v>
      </c>
      <c r="BM878" t="s">
        <v>17085</v>
      </c>
      <c r="BN878">
        <v>33567532</v>
      </c>
      <c r="BO878" t="s">
        <v>558</v>
      </c>
      <c r="BP878" t="s">
        <v>74</v>
      </c>
      <c r="BQ878" t="s">
        <v>74</v>
      </c>
      <c r="BR878" t="s">
        <v>104</v>
      </c>
      <c r="BS878" t="s">
        <v>17086</v>
      </c>
      <c r="BT878" t="str">
        <f>HYPERLINK("https%3A%2F%2Fwww.webofscience.com%2Fwos%2Fwoscc%2Ffull-record%2FWOS:000622120300001","View Full Record in Web of Science")</f>
        <v>View Full Record in Web of Science</v>
      </c>
    </row>
    <row r="879" spans="1:72" x14ac:dyDescent="0.15">
      <c r="A879" t="s">
        <v>72</v>
      </c>
      <c r="B879" t="s">
        <v>17087</v>
      </c>
      <c r="C879" t="s">
        <v>74</v>
      </c>
      <c r="D879" t="s">
        <v>74</v>
      </c>
      <c r="E879" t="s">
        <v>74</v>
      </c>
      <c r="F879" t="s">
        <v>17088</v>
      </c>
      <c r="G879" t="s">
        <v>74</v>
      </c>
      <c r="H879" t="s">
        <v>74</v>
      </c>
      <c r="I879" t="s">
        <v>17089</v>
      </c>
      <c r="J879" t="s">
        <v>17090</v>
      </c>
      <c r="K879" t="s">
        <v>74</v>
      </c>
      <c r="L879" t="s">
        <v>74</v>
      </c>
      <c r="M879" t="s">
        <v>78</v>
      </c>
      <c r="N879" t="s">
        <v>79</v>
      </c>
      <c r="O879" t="s">
        <v>74</v>
      </c>
      <c r="P879" t="s">
        <v>74</v>
      </c>
      <c r="Q879" t="s">
        <v>74</v>
      </c>
      <c r="R879" t="s">
        <v>74</v>
      </c>
      <c r="S879" t="s">
        <v>74</v>
      </c>
      <c r="T879" t="s">
        <v>17091</v>
      </c>
      <c r="U879" t="s">
        <v>17092</v>
      </c>
      <c r="V879" t="s">
        <v>17093</v>
      </c>
      <c r="W879" t="s">
        <v>17094</v>
      </c>
      <c r="X879" t="s">
        <v>17095</v>
      </c>
      <c r="Y879" t="s">
        <v>17096</v>
      </c>
      <c r="Z879" t="s">
        <v>17097</v>
      </c>
      <c r="AA879" t="s">
        <v>17098</v>
      </c>
      <c r="AB879" t="s">
        <v>17099</v>
      </c>
      <c r="AC879" t="s">
        <v>17100</v>
      </c>
      <c r="AD879" t="s">
        <v>17101</v>
      </c>
      <c r="AE879" t="s">
        <v>17102</v>
      </c>
      <c r="AF879" t="s">
        <v>74</v>
      </c>
      <c r="AG879">
        <v>121</v>
      </c>
      <c r="AH879">
        <v>13</v>
      </c>
      <c r="AI879">
        <v>13</v>
      </c>
      <c r="AJ879">
        <v>3</v>
      </c>
      <c r="AK879">
        <v>18</v>
      </c>
      <c r="AL879" t="s">
        <v>8038</v>
      </c>
      <c r="AM879" t="s">
        <v>8039</v>
      </c>
      <c r="AN879" t="s">
        <v>8040</v>
      </c>
      <c r="AO879" t="s">
        <v>17103</v>
      </c>
      <c r="AP879" t="s">
        <v>17104</v>
      </c>
      <c r="AQ879" t="s">
        <v>74</v>
      </c>
      <c r="AR879" t="s">
        <v>17105</v>
      </c>
      <c r="AS879" t="s">
        <v>17106</v>
      </c>
      <c r="AT879" t="s">
        <v>1091</v>
      </c>
      <c r="AU879">
        <v>2021</v>
      </c>
      <c r="AV879">
        <v>193</v>
      </c>
      <c r="AW879" t="s">
        <v>74</v>
      </c>
      <c r="AX879" t="s">
        <v>74</v>
      </c>
      <c r="AY879" t="s">
        <v>74</v>
      </c>
      <c r="AZ879" t="s">
        <v>74</v>
      </c>
      <c r="BA879" t="s">
        <v>74</v>
      </c>
      <c r="BB879" t="s">
        <v>74</v>
      </c>
      <c r="BC879" t="s">
        <v>74</v>
      </c>
      <c r="BD879">
        <v>110518</v>
      </c>
      <c r="BE879" t="s">
        <v>17107</v>
      </c>
      <c r="BF879" t="str">
        <f>HYPERLINK("http://dx.doi.org/10.1016/j.envres.2020.110518","http://dx.doi.org/10.1016/j.envres.2020.110518")</f>
        <v>http://dx.doi.org/10.1016/j.envres.2020.110518</v>
      </c>
      <c r="BG879" t="s">
        <v>74</v>
      </c>
      <c r="BH879" t="s">
        <v>74</v>
      </c>
      <c r="BI879">
        <v>10</v>
      </c>
      <c r="BJ879" t="s">
        <v>16776</v>
      </c>
      <c r="BK879" t="s">
        <v>101</v>
      </c>
      <c r="BL879" t="s">
        <v>16777</v>
      </c>
      <c r="BM879" t="s">
        <v>17108</v>
      </c>
      <c r="BN879">
        <v>33245882</v>
      </c>
      <c r="BO879" t="s">
        <v>1492</v>
      </c>
      <c r="BP879" t="s">
        <v>74</v>
      </c>
      <c r="BQ879" t="s">
        <v>74</v>
      </c>
      <c r="BR879" t="s">
        <v>104</v>
      </c>
      <c r="BS879" t="s">
        <v>17109</v>
      </c>
      <c r="BT879" t="str">
        <f>HYPERLINK("https%3A%2F%2Fwww.webofscience.com%2Fwos%2Fwoscc%2Ffull-record%2FWOS:000613937500008","View Full Record in Web of Science")</f>
        <v>View Full Record in Web of Science</v>
      </c>
    </row>
    <row r="880" spans="1:72" x14ac:dyDescent="0.15">
      <c r="A880" t="s">
        <v>72</v>
      </c>
      <c r="B880" t="s">
        <v>17110</v>
      </c>
      <c r="C880" t="s">
        <v>74</v>
      </c>
      <c r="D880" t="s">
        <v>74</v>
      </c>
      <c r="E880" t="s">
        <v>74</v>
      </c>
      <c r="F880" t="s">
        <v>17111</v>
      </c>
      <c r="G880" t="s">
        <v>74</v>
      </c>
      <c r="H880" t="s">
        <v>74</v>
      </c>
      <c r="I880" t="s">
        <v>17112</v>
      </c>
      <c r="J880" t="s">
        <v>5417</v>
      </c>
      <c r="K880" t="s">
        <v>74</v>
      </c>
      <c r="L880" t="s">
        <v>74</v>
      </c>
      <c r="M880" t="s">
        <v>78</v>
      </c>
      <c r="N880" t="s">
        <v>79</v>
      </c>
      <c r="O880" t="s">
        <v>74</v>
      </c>
      <c r="P880" t="s">
        <v>74</v>
      </c>
      <c r="Q880" t="s">
        <v>74</v>
      </c>
      <c r="R880" t="s">
        <v>74</v>
      </c>
      <c r="S880" t="s">
        <v>74</v>
      </c>
      <c r="T880" t="s">
        <v>17113</v>
      </c>
      <c r="U880" t="s">
        <v>17114</v>
      </c>
      <c r="V880" t="s">
        <v>17115</v>
      </c>
      <c r="W880" t="s">
        <v>17116</v>
      </c>
      <c r="X880" t="s">
        <v>5851</v>
      </c>
      <c r="Y880" t="s">
        <v>5852</v>
      </c>
      <c r="Z880" t="s">
        <v>17117</v>
      </c>
      <c r="AA880" t="s">
        <v>17118</v>
      </c>
      <c r="AB880" t="s">
        <v>17119</v>
      </c>
      <c r="AC880" t="s">
        <v>17120</v>
      </c>
      <c r="AD880" t="s">
        <v>5857</v>
      </c>
      <c r="AE880" t="s">
        <v>17121</v>
      </c>
      <c r="AF880" t="s">
        <v>74</v>
      </c>
      <c r="AG880">
        <v>45</v>
      </c>
      <c r="AH880">
        <v>11</v>
      </c>
      <c r="AI880">
        <v>11</v>
      </c>
      <c r="AJ880">
        <v>2</v>
      </c>
      <c r="AK880">
        <v>2</v>
      </c>
      <c r="AL880" t="s">
        <v>335</v>
      </c>
      <c r="AM880" t="s">
        <v>336</v>
      </c>
      <c r="AN880" t="s">
        <v>337</v>
      </c>
      <c r="AO880" t="s">
        <v>74</v>
      </c>
      <c r="AP880" t="s">
        <v>5430</v>
      </c>
      <c r="AQ880" t="s">
        <v>74</v>
      </c>
      <c r="AR880" t="s">
        <v>5431</v>
      </c>
      <c r="AS880" t="s">
        <v>5432</v>
      </c>
      <c r="AT880" t="s">
        <v>1091</v>
      </c>
      <c r="AU880">
        <v>2021</v>
      </c>
      <c r="AV880">
        <v>12</v>
      </c>
      <c r="AW880">
        <v>2</v>
      </c>
      <c r="AX880" t="s">
        <v>74</v>
      </c>
      <c r="AY880" t="s">
        <v>74</v>
      </c>
      <c r="AZ880" t="s">
        <v>74</v>
      </c>
      <c r="BA880" t="s">
        <v>74</v>
      </c>
      <c r="BB880" t="s">
        <v>74</v>
      </c>
      <c r="BC880" t="s">
        <v>74</v>
      </c>
      <c r="BD880">
        <v>174</v>
      </c>
      <c r="BE880" t="s">
        <v>17122</v>
      </c>
      <c r="BF880" t="str">
        <f>HYPERLINK("http://dx.doi.org/10.3390/atmos12020174","http://dx.doi.org/10.3390/atmos12020174")</f>
        <v>http://dx.doi.org/10.3390/atmos12020174</v>
      </c>
      <c r="BG880" t="s">
        <v>74</v>
      </c>
      <c r="BH880" t="s">
        <v>74</v>
      </c>
      <c r="BI880">
        <v>19</v>
      </c>
      <c r="BJ880" t="s">
        <v>199</v>
      </c>
      <c r="BK880" t="s">
        <v>101</v>
      </c>
      <c r="BL880" t="s">
        <v>200</v>
      </c>
      <c r="BM880" t="s">
        <v>17123</v>
      </c>
      <c r="BN880" t="s">
        <v>74</v>
      </c>
      <c r="BO880" t="s">
        <v>2089</v>
      </c>
      <c r="BP880" t="s">
        <v>74</v>
      </c>
      <c r="BQ880" t="s">
        <v>74</v>
      </c>
      <c r="BR880" t="s">
        <v>104</v>
      </c>
      <c r="BS880" t="s">
        <v>17124</v>
      </c>
      <c r="BT880" t="str">
        <f>HYPERLINK("https%3A%2F%2Fwww.webofscience.com%2Fwos%2Fwoscc%2Ffull-record%2FWOS:000622170900001","View Full Record in Web of Science")</f>
        <v>View Full Record in Web of Science</v>
      </c>
    </row>
    <row r="881" spans="1:72" x14ac:dyDescent="0.15">
      <c r="A881" t="s">
        <v>72</v>
      </c>
      <c r="B881" t="s">
        <v>17125</v>
      </c>
      <c r="C881" t="s">
        <v>74</v>
      </c>
      <c r="D881" t="s">
        <v>74</v>
      </c>
      <c r="E881" t="s">
        <v>74</v>
      </c>
      <c r="F881" t="s">
        <v>17126</v>
      </c>
      <c r="G881" t="s">
        <v>74</v>
      </c>
      <c r="H881" t="s">
        <v>74</v>
      </c>
      <c r="I881" t="s">
        <v>17127</v>
      </c>
      <c r="J881" t="s">
        <v>5417</v>
      </c>
      <c r="K881" t="s">
        <v>74</v>
      </c>
      <c r="L881" t="s">
        <v>74</v>
      </c>
      <c r="M881" t="s">
        <v>78</v>
      </c>
      <c r="N881" t="s">
        <v>79</v>
      </c>
      <c r="O881" t="s">
        <v>74</v>
      </c>
      <c r="P881" t="s">
        <v>74</v>
      </c>
      <c r="Q881" t="s">
        <v>74</v>
      </c>
      <c r="R881" t="s">
        <v>74</v>
      </c>
      <c r="S881" t="s">
        <v>74</v>
      </c>
      <c r="T881" t="s">
        <v>17128</v>
      </c>
      <c r="U881" t="s">
        <v>17129</v>
      </c>
      <c r="V881" t="s">
        <v>17130</v>
      </c>
      <c r="W881" t="s">
        <v>17131</v>
      </c>
      <c r="X881" t="s">
        <v>17132</v>
      </c>
      <c r="Y881" t="s">
        <v>17133</v>
      </c>
      <c r="Z881" t="s">
        <v>17134</v>
      </c>
      <c r="AA881" t="s">
        <v>17135</v>
      </c>
      <c r="AB881" t="s">
        <v>17136</v>
      </c>
      <c r="AC881" t="s">
        <v>17137</v>
      </c>
      <c r="AD881" t="s">
        <v>511</v>
      </c>
      <c r="AE881" t="s">
        <v>17138</v>
      </c>
      <c r="AF881" t="s">
        <v>74</v>
      </c>
      <c r="AG881">
        <v>50</v>
      </c>
      <c r="AH881">
        <v>60</v>
      </c>
      <c r="AI881">
        <v>64</v>
      </c>
      <c r="AJ881">
        <v>22</v>
      </c>
      <c r="AK881">
        <v>132</v>
      </c>
      <c r="AL881" t="s">
        <v>335</v>
      </c>
      <c r="AM881" t="s">
        <v>336</v>
      </c>
      <c r="AN881" t="s">
        <v>337</v>
      </c>
      <c r="AO881" t="s">
        <v>74</v>
      </c>
      <c r="AP881" t="s">
        <v>5430</v>
      </c>
      <c r="AQ881" t="s">
        <v>74</v>
      </c>
      <c r="AR881" t="s">
        <v>5431</v>
      </c>
      <c r="AS881" t="s">
        <v>5432</v>
      </c>
      <c r="AT881" t="s">
        <v>1091</v>
      </c>
      <c r="AU881">
        <v>2021</v>
      </c>
      <c r="AV881">
        <v>12</v>
      </c>
      <c r="AW881">
        <v>2</v>
      </c>
      <c r="AX881" t="s">
        <v>74</v>
      </c>
      <c r="AY881" t="s">
        <v>74</v>
      </c>
      <c r="AZ881" t="s">
        <v>74</v>
      </c>
      <c r="BA881" t="s">
        <v>74</v>
      </c>
      <c r="BB881" t="s">
        <v>74</v>
      </c>
      <c r="BC881" t="s">
        <v>74</v>
      </c>
      <c r="BD881">
        <v>217</v>
      </c>
      <c r="BE881" t="s">
        <v>17139</v>
      </c>
      <c r="BF881" t="str">
        <f>HYPERLINK("http://dx.doi.org/10.3390/atmos12020217","http://dx.doi.org/10.3390/atmos12020217")</f>
        <v>http://dx.doi.org/10.3390/atmos12020217</v>
      </c>
      <c r="BG881" t="s">
        <v>74</v>
      </c>
      <c r="BH881" t="s">
        <v>74</v>
      </c>
      <c r="BI881">
        <v>23</v>
      </c>
      <c r="BJ881" t="s">
        <v>199</v>
      </c>
      <c r="BK881" t="s">
        <v>101</v>
      </c>
      <c r="BL881" t="s">
        <v>200</v>
      </c>
      <c r="BM881" t="s">
        <v>17140</v>
      </c>
      <c r="BN881" t="s">
        <v>74</v>
      </c>
      <c r="BO881" t="s">
        <v>317</v>
      </c>
      <c r="BP881" t="s">
        <v>74</v>
      </c>
      <c r="BQ881" t="s">
        <v>74</v>
      </c>
      <c r="BR881" t="s">
        <v>104</v>
      </c>
      <c r="BS881" t="s">
        <v>17141</v>
      </c>
      <c r="BT881" t="str">
        <f>HYPERLINK("https%3A%2F%2Fwww.webofscience.com%2Fwos%2Fwoscc%2Ffull-record%2FWOS:000622145700001","View Full Record in Web of Science")</f>
        <v>View Full Record in Web of Science</v>
      </c>
    </row>
    <row r="882" spans="1:72" x14ac:dyDescent="0.15">
      <c r="A882" t="s">
        <v>72</v>
      </c>
      <c r="B882" t="s">
        <v>17142</v>
      </c>
      <c r="C882" t="s">
        <v>74</v>
      </c>
      <c r="D882" t="s">
        <v>74</v>
      </c>
      <c r="E882" t="s">
        <v>74</v>
      </c>
      <c r="F882" t="s">
        <v>17143</v>
      </c>
      <c r="G882" t="s">
        <v>74</v>
      </c>
      <c r="H882" t="s">
        <v>74</v>
      </c>
      <c r="I882" t="s">
        <v>17144</v>
      </c>
      <c r="J882" t="s">
        <v>2438</v>
      </c>
      <c r="K882" t="s">
        <v>74</v>
      </c>
      <c r="L882" t="s">
        <v>74</v>
      </c>
      <c r="M882" t="s">
        <v>78</v>
      </c>
      <c r="N882" t="s">
        <v>79</v>
      </c>
      <c r="O882" t="s">
        <v>74</v>
      </c>
      <c r="P882" t="s">
        <v>74</v>
      </c>
      <c r="Q882" t="s">
        <v>74</v>
      </c>
      <c r="R882" t="s">
        <v>74</v>
      </c>
      <c r="S882" t="s">
        <v>74</v>
      </c>
      <c r="T882" t="s">
        <v>17145</v>
      </c>
      <c r="U882" t="s">
        <v>17146</v>
      </c>
      <c r="V882" t="s">
        <v>17147</v>
      </c>
      <c r="W882" t="s">
        <v>17148</v>
      </c>
      <c r="X882" t="s">
        <v>17149</v>
      </c>
      <c r="Y882" t="s">
        <v>17150</v>
      </c>
      <c r="Z882" t="s">
        <v>17151</v>
      </c>
      <c r="AA882" t="s">
        <v>17152</v>
      </c>
      <c r="AB882" t="s">
        <v>17153</v>
      </c>
      <c r="AC882" t="s">
        <v>17154</v>
      </c>
      <c r="AD882" t="s">
        <v>17155</v>
      </c>
      <c r="AE882" t="s">
        <v>17156</v>
      </c>
      <c r="AF882" t="s">
        <v>74</v>
      </c>
      <c r="AG882">
        <v>79</v>
      </c>
      <c r="AH882">
        <v>19</v>
      </c>
      <c r="AI882">
        <v>19</v>
      </c>
      <c r="AJ882">
        <v>2</v>
      </c>
      <c r="AK882">
        <v>11</v>
      </c>
      <c r="AL882" t="s">
        <v>576</v>
      </c>
      <c r="AM882" t="s">
        <v>577</v>
      </c>
      <c r="AN882" t="s">
        <v>578</v>
      </c>
      <c r="AO882" t="s">
        <v>2451</v>
      </c>
      <c r="AP882" t="s">
        <v>2452</v>
      </c>
      <c r="AQ882" t="s">
        <v>74</v>
      </c>
      <c r="AR882" t="s">
        <v>2453</v>
      </c>
      <c r="AS882" t="s">
        <v>2454</v>
      </c>
      <c r="AT882" t="s">
        <v>1091</v>
      </c>
      <c r="AU882">
        <v>2021</v>
      </c>
      <c r="AV882">
        <v>182</v>
      </c>
      <c r="AW882" t="s">
        <v>74</v>
      </c>
      <c r="AX882" t="s">
        <v>74</v>
      </c>
      <c r="AY882" t="s">
        <v>74</v>
      </c>
      <c r="AZ882" t="s">
        <v>74</v>
      </c>
      <c r="BA882" t="s">
        <v>74</v>
      </c>
      <c r="BB882" t="s">
        <v>74</v>
      </c>
      <c r="BC882" t="s">
        <v>74</v>
      </c>
      <c r="BD882">
        <v>103198</v>
      </c>
      <c r="BE882" t="s">
        <v>17157</v>
      </c>
      <c r="BF882" t="str">
        <f>HYPERLINK("http://dx.doi.org/10.1016/j.coldregions.2020.103198","http://dx.doi.org/10.1016/j.coldregions.2020.103198")</f>
        <v>http://dx.doi.org/10.1016/j.coldregions.2020.103198</v>
      </c>
      <c r="BG882" t="s">
        <v>74</v>
      </c>
      <c r="BH882" t="s">
        <v>74</v>
      </c>
      <c r="BI882">
        <v>13</v>
      </c>
      <c r="BJ882" t="s">
        <v>2456</v>
      </c>
      <c r="BK882" t="s">
        <v>101</v>
      </c>
      <c r="BL882" t="s">
        <v>2457</v>
      </c>
      <c r="BM882" t="s">
        <v>17158</v>
      </c>
      <c r="BN882" t="s">
        <v>74</v>
      </c>
      <c r="BO882" t="s">
        <v>712</v>
      </c>
      <c r="BP882" t="s">
        <v>74</v>
      </c>
      <c r="BQ882" t="s">
        <v>74</v>
      </c>
      <c r="BR882" t="s">
        <v>104</v>
      </c>
      <c r="BS882" t="s">
        <v>17159</v>
      </c>
      <c r="BT882" t="str">
        <f>HYPERLINK("https%3A%2F%2Fwww.webofscience.com%2Fwos%2Fwoscc%2Ffull-record%2FWOS:000612543800007","View Full Record in Web of Science")</f>
        <v>View Full Record in Web of Science</v>
      </c>
    </row>
    <row r="883" spans="1:72" x14ac:dyDescent="0.15">
      <c r="A883" t="s">
        <v>72</v>
      </c>
      <c r="B883" t="s">
        <v>17160</v>
      </c>
      <c r="C883" t="s">
        <v>74</v>
      </c>
      <c r="D883" t="s">
        <v>74</v>
      </c>
      <c r="E883" t="s">
        <v>74</v>
      </c>
      <c r="F883" t="s">
        <v>17161</v>
      </c>
      <c r="G883" t="s">
        <v>74</v>
      </c>
      <c r="H883" t="s">
        <v>74</v>
      </c>
      <c r="I883" t="s">
        <v>17162</v>
      </c>
      <c r="J883" t="s">
        <v>17163</v>
      </c>
      <c r="K883" t="s">
        <v>74</v>
      </c>
      <c r="L883" t="s">
        <v>74</v>
      </c>
      <c r="M883" t="s">
        <v>78</v>
      </c>
      <c r="N883" t="s">
        <v>79</v>
      </c>
      <c r="O883" t="s">
        <v>74</v>
      </c>
      <c r="P883" t="s">
        <v>74</v>
      </c>
      <c r="Q883" t="s">
        <v>74</v>
      </c>
      <c r="R883" t="s">
        <v>74</v>
      </c>
      <c r="S883" t="s">
        <v>74</v>
      </c>
      <c r="T883" t="s">
        <v>17164</v>
      </c>
      <c r="U883" t="s">
        <v>17165</v>
      </c>
      <c r="V883" t="s">
        <v>17166</v>
      </c>
      <c r="W883" t="s">
        <v>17167</v>
      </c>
      <c r="X883" t="s">
        <v>17168</v>
      </c>
      <c r="Y883" t="s">
        <v>17169</v>
      </c>
      <c r="Z883" t="s">
        <v>17170</v>
      </c>
      <c r="AA883" t="s">
        <v>17171</v>
      </c>
      <c r="AB883" t="s">
        <v>17172</v>
      </c>
      <c r="AC883" t="s">
        <v>17173</v>
      </c>
      <c r="AD883" t="s">
        <v>17174</v>
      </c>
      <c r="AE883" t="s">
        <v>17175</v>
      </c>
      <c r="AF883" t="s">
        <v>74</v>
      </c>
      <c r="AG883">
        <v>70</v>
      </c>
      <c r="AH883">
        <v>0</v>
      </c>
      <c r="AI883">
        <v>0</v>
      </c>
      <c r="AJ883">
        <v>0</v>
      </c>
      <c r="AK883">
        <v>5</v>
      </c>
      <c r="AL883" t="s">
        <v>890</v>
      </c>
      <c r="AM883" t="s">
        <v>891</v>
      </c>
      <c r="AN883" t="s">
        <v>892</v>
      </c>
      <c r="AO883" t="s">
        <v>17176</v>
      </c>
      <c r="AP883" t="s">
        <v>17177</v>
      </c>
      <c r="AQ883" t="s">
        <v>74</v>
      </c>
      <c r="AR883" t="s">
        <v>17163</v>
      </c>
      <c r="AS883" t="s">
        <v>17178</v>
      </c>
      <c r="AT883" t="s">
        <v>1091</v>
      </c>
      <c r="AU883">
        <v>2021</v>
      </c>
      <c r="AV883">
        <v>126</v>
      </c>
      <c r="AW883" t="s">
        <v>74</v>
      </c>
      <c r="AX883" t="s">
        <v>74</v>
      </c>
      <c r="AY883" t="s">
        <v>74</v>
      </c>
      <c r="AZ883" t="s">
        <v>74</v>
      </c>
      <c r="BA883" t="s">
        <v>74</v>
      </c>
      <c r="BB883" t="s">
        <v>74</v>
      </c>
      <c r="BC883" t="s">
        <v>74</v>
      </c>
      <c r="BD883">
        <v>102675</v>
      </c>
      <c r="BE883" t="s">
        <v>17179</v>
      </c>
      <c r="BF883" t="str">
        <f>HYPERLINK("http://dx.doi.org/10.1016/j.futures.2020.102675","http://dx.doi.org/10.1016/j.futures.2020.102675")</f>
        <v>http://dx.doi.org/10.1016/j.futures.2020.102675</v>
      </c>
      <c r="BG883" t="s">
        <v>74</v>
      </c>
      <c r="BH883" t="s">
        <v>74</v>
      </c>
      <c r="BI883">
        <v>11</v>
      </c>
      <c r="BJ883" t="s">
        <v>17180</v>
      </c>
      <c r="BK883" t="s">
        <v>3246</v>
      </c>
      <c r="BL883" t="s">
        <v>17181</v>
      </c>
      <c r="BM883" t="s">
        <v>17182</v>
      </c>
      <c r="BN883" t="s">
        <v>74</v>
      </c>
      <c r="BO883" t="s">
        <v>663</v>
      </c>
      <c r="BP883" t="s">
        <v>74</v>
      </c>
      <c r="BQ883" t="s">
        <v>74</v>
      </c>
      <c r="BR883" t="s">
        <v>104</v>
      </c>
      <c r="BS883" t="s">
        <v>17183</v>
      </c>
      <c r="BT883" t="str">
        <f>HYPERLINK("https%3A%2F%2Fwww.webofscience.com%2Fwos%2Fwoscc%2Ffull-record%2FWOS:000613564300009","View Full Record in Web of Science")</f>
        <v>View Full Record in Web of Science</v>
      </c>
    </row>
    <row r="884" spans="1:72" x14ac:dyDescent="0.15">
      <c r="A884" t="s">
        <v>72</v>
      </c>
      <c r="B884" t="s">
        <v>17184</v>
      </c>
      <c r="C884" t="s">
        <v>74</v>
      </c>
      <c r="D884" t="s">
        <v>74</v>
      </c>
      <c r="E884" t="s">
        <v>74</v>
      </c>
      <c r="F884" t="s">
        <v>17185</v>
      </c>
      <c r="G884" t="s">
        <v>74</v>
      </c>
      <c r="H884" t="s">
        <v>74</v>
      </c>
      <c r="I884" t="s">
        <v>17186</v>
      </c>
      <c r="J884" t="s">
        <v>11604</v>
      </c>
      <c r="K884" t="s">
        <v>74</v>
      </c>
      <c r="L884" t="s">
        <v>74</v>
      </c>
      <c r="M884" t="s">
        <v>78</v>
      </c>
      <c r="N884" t="s">
        <v>79</v>
      </c>
      <c r="O884" t="s">
        <v>74</v>
      </c>
      <c r="P884" t="s">
        <v>74</v>
      </c>
      <c r="Q884" t="s">
        <v>74</v>
      </c>
      <c r="R884" t="s">
        <v>74</v>
      </c>
      <c r="S884" t="s">
        <v>74</v>
      </c>
      <c r="T884" t="s">
        <v>74</v>
      </c>
      <c r="U884" t="s">
        <v>17187</v>
      </c>
      <c r="V884" t="s">
        <v>17188</v>
      </c>
      <c r="W884" t="s">
        <v>17189</v>
      </c>
      <c r="X884" t="s">
        <v>17190</v>
      </c>
      <c r="Y884" t="s">
        <v>17191</v>
      </c>
      <c r="Z884" t="s">
        <v>74</v>
      </c>
      <c r="AA884" t="s">
        <v>74</v>
      </c>
      <c r="AB884" t="s">
        <v>74</v>
      </c>
      <c r="AC884" t="s">
        <v>17192</v>
      </c>
      <c r="AD884" t="s">
        <v>1677</v>
      </c>
      <c r="AE884" t="s">
        <v>17193</v>
      </c>
      <c r="AF884" t="s">
        <v>74</v>
      </c>
      <c r="AG884">
        <v>26</v>
      </c>
      <c r="AH884">
        <v>9</v>
      </c>
      <c r="AI884">
        <v>9</v>
      </c>
      <c r="AJ884">
        <v>2</v>
      </c>
      <c r="AK884">
        <v>10</v>
      </c>
      <c r="AL884" t="s">
        <v>90</v>
      </c>
      <c r="AM884" t="s">
        <v>91</v>
      </c>
      <c r="AN884" t="s">
        <v>92</v>
      </c>
      <c r="AO884" t="s">
        <v>11615</v>
      </c>
      <c r="AP884" t="s">
        <v>11616</v>
      </c>
      <c r="AQ884" t="s">
        <v>74</v>
      </c>
      <c r="AR884" t="s">
        <v>11604</v>
      </c>
      <c r="AS884" t="s">
        <v>102</v>
      </c>
      <c r="AT884" t="s">
        <v>15943</v>
      </c>
      <c r="AU884">
        <v>2021</v>
      </c>
      <c r="AV884">
        <v>49</v>
      </c>
      <c r="AW884">
        <v>2</v>
      </c>
      <c r="AX884" t="s">
        <v>74</v>
      </c>
      <c r="AY884" t="s">
        <v>74</v>
      </c>
      <c r="AZ884" t="s">
        <v>74</v>
      </c>
      <c r="BA884" t="s">
        <v>74</v>
      </c>
      <c r="BB884">
        <v>145</v>
      </c>
      <c r="BC884">
        <v>149</v>
      </c>
      <c r="BD884" t="s">
        <v>74</v>
      </c>
      <c r="BE884" t="s">
        <v>17194</v>
      </c>
      <c r="BF884" t="str">
        <f>HYPERLINK("http://dx.doi.org/10.1130/G48230.1","http://dx.doi.org/10.1130/G48230.1")</f>
        <v>http://dx.doi.org/10.1130/G48230.1</v>
      </c>
      <c r="BG884" t="s">
        <v>74</v>
      </c>
      <c r="BH884" t="s">
        <v>74</v>
      </c>
      <c r="BI884">
        <v>5</v>
      </c>
      <c r="BJ884" t="s">
        <v>102</v>
      </c>
      <c r="BK884" t="s">
        <v>101</v>
      </c>
      <c r="BL884" t="s">
        <v>102</v>
      </c>
      <c r="BM884" t="s">
        <v>17195</v>
      </c>
      <c r="BN884" t="s">
        <v>74</v>
      </c>
      <c r="BO884" t="s">
        <v>712</v>
      </c>
      <c r="BP884" t="s">
        <v>74</v>
      </c>
      <c r="BQ884" t="s">
        <v>74</v>
      </c>
      <c r="BR884" t="s">
        <v>104</v>
      </c>
      <c r="BS884" t="s">
        <v>17196</v>
      </c>
      <c r="BT884" t="str">
        <f>HYPERLINK("https%3A%2F%2Fwww.webofscience.com%2Fwos%2Fwoscc%2Ffull-record%2FWOS:000613644100007","View Full Record in Web of Science")</f>
        <v>View Full Record in Web of Science</v>
      </c>
    </row>
    <row r="885" spans="1:72" x14ac:dyDescent="0.15">
      <c r="A885" t="s">
        <v>72</v>
      </c>
      <c r="B885" t="s">
        <v>17197</v>
      </c>
      <c r="C885" t="s">
        <v>74</v>
      </c>
      <c r="D885" t="s">
        <v>74</v>
      </c>
      <c r="E885" t="s">
        <v>74</v>
      </c>
      <c r="F885" t="s">
        <v>17198</v>
      </c>
      <c r="G885" t="s">
        <v>74</v>
      </c>
      <c r="H885" t="s">
        <v>74</v>
      </c>
      <c r="I885" t="s">
        <v>17199</v>
      </c>
      <c r="J885" t="s">
        <v>11604</v>
      </c>
      <c r="K885" t="s">
        <v>74</v>
      </c>
      <c r="L885" t="s">
        <v>74</v>
      </c>
      <c r="M885" t="s">
        <v>78</v>
      </c>
      <c r="N885" t="s">
        <v>79</v>
      </c>
      <c r="O885" t="s">
        <v>74</v>
      </c>
      <c r="P885" t="s">
        <v>74</v>
      </c>
      <c r="Q885" t="s">
        <v>74</v>
      </c>
      <c r="R885" t="s">
        <v>74</v>
      </c>
      <c r="S885" t="s">
        <v>74</v>
      </c>
      <c r="T885" t="s">
        <v>74</v>
      </c>
      <c r="U885" t="s">
        <v>17200</v>
      </c>
      <c r="V885" t="s">
        <v>17201</v>
      </c>
      <c r="W885" t="s">
        <v>17202</v>
      </c>
      <c r="X885" t="s">
        <v>17203</v>
      </c>
      <c r="Y885" t="s">
        <v>17204</v>
      </c>
      <c r="Z885" t="s">
        <v>17205</v>
      </c>
      <c r="AA885" t="s">
        <v>17206</v>
      </c>
      <c r="AB885" t="s">
        <v>17207</v>
      </c>
      <c r="AC885" t="s">
        <v>17208</v>
      </c>
      <c r="AD885" t="s">
        <v>17209</v>
      </c>
      <c r="AE885" t="s">
        <v>17210</v>
      </c>
      <c r="AF885" t="s">
        <v>74</v>
      </c>
      <c r="AG885">
        <v>37</v>
      </c>
      <c r="AH885">
        <v>63</v>
      </c>
      <c r="AI885">
        <v>72</v>
      </c>
      <c r="AJ885">
        <v>1</v>
      </c>
      <c r="AK885">
        <v>18</v>
      </c>
      <c r="AL885" t="s">
        <v>90</v>
      </c>
      <c r="AM885" t="s">
        <v>91</v>
      </c>
      <c r="AN885" t="s">
        <v>92</v>
      </c>
      <c r="AO885" t="s">
        <v>11615</v>
      </c>
      <c r="AP885" t="s">
        <v>11616</v>
      </c>
      <c r="AQ885" t="s">
        <v>74</v>
      </c>
      <c r="AR885" t="s">
        <v>11604</v>
      </c>
      <c r="AS885" t="s">
        <v>102</v>
      </c>
      <c r="AT885" t="s">
        <v>15943</v>
      </c>
      <c r="AU885">
        <v>2021</v>
      </c>
      <c r="AV885">
        <v>49</v>
      </c>
      <c r="AW885">
        <v>2</v>
      </c>
      <c r="AX885" t="s">
        <v>74</v>
      </c>
      <c r="AY885" t="s">
        <v>74</v>
      </c>
      <c r="AZ885" t="s">
        <v>74</v>
      </c>
      <c r="BA885" t="s">
        <v>74</v>
      </c>
      <c r="BB885">
        <v>174</v>
      </c>
      <c r="BC885">
        <v>179</v>
      </c>
      <c r="BD885" t="s">
        <v>74</v>
      </c>
      <c r="BE885" t="s">
        <v>17211</v>
      </c>
      <c r="BF885" t="str">
        <f>HYPERLINK("http://dx.doi.org/10.1130/G47823.1","http://dx.doi.org/10.1130/G47823.1")</f>
        <v>http://dx.doi.org/10.1130/G47823.1</v>
      </c>
      <c r="BG885" t="s">
        <v>74</v>
      </c>
      <c r="BH885" t="s">
        <v>74</v>
      </c>
      <c r="BI885">
        <v>6</v>
      </c>
      <c r="BJ885" t="s">
        <v>102</v>
      </c>
      <c r="BK885" t="s">
        <v>101</v>
      </c>
      <c r="BL885" t="s">
        <v>102</v>
      </c>
      <c r="BM885" t="s">
        <v>17195</v>
      </c>
      <c r="BN885" t="s">
        <v>74</v>
      </c>
      <c r="BO885" t="s">
        <v>227</v>
      </c>
      <c r="BP885" t="s">
        <v>74</v>
      </c>
      <c r="BQ885" t="s">
        <v>74</v>
      </c>
      <c r="BR885" t="s">
        <v>104</v>
      </c>
      <c r="BS885" t="s">
        <v>17212</v>
      </c>
      <c r="BT885" t="str">
        <f>HYPERLINK("https%3A%2F%2Fwww.webofscience.com%2Fwos%2Fwoscc%2Ffull-record%2FWOS:000613644100012","View Full Record in Web of Science")</f>
        <v>View Full Record in Web of Science</v>
      </c>
    </row>
    <row r="886" spans="1:72" x14ac:dyDescent="0.15">
      <c r="A886" t="s">
        <v>72</v>
      </c>
      <c r="B886" t="s">
        <v>17213</v>
      </c>
      <c r="C886" t="s">
        <v>74</v>
      </c>
      <c r="D886" t="s">
        <v>74</v>
      </c>
      <c r="E886" t="s">
        <v>74</v>
      </c>
      <c r="F886" t="s">
        <v>17214</v>
      </c>
      <c r="G886" t="s">
        <v>74</v>
      </c>
      <c r="H886" t="s">
        <v>74</v>
      </c>
      <c r="I886" t="s">
        <v>17215</v>
      </c>
      <c r="J886" t="s">
        <v>11604</v>
      </c>
      <c r="K886" t="s">
        <v>74</v>
      </c>
      <c r="L886" t="s">
        <v>74</v>
      </c>
      <c r="M886" t="s">
        <v>78</v>
      </c>
      <c r="N886" t="s">
        <v>79</v>
      </c>
      <c r="O886" t="s">
        <v>74</v>
      </c>
      <c r="P886" t="s">
        <v>74</v>
      </c>
      <c r="Q886" t="s">
        <v>74</v>
      </c>
      <c r="R886" t="s">
        <v>74</v>
      </c>
      <c r="S886" t="s">
        <v>74</v>
      </c>
      <c r="T886" t="s">
        <v>74</v>
      </c>
      <c r="U886" t="s">
        <v>17216</v>
      </c>
      <c r="V886" t="s">
        <v>17217</v>
      </c>
      <c r="W886" t="s">
        <v>17218</v>
      </c>
      <c r="X886" t="s">
        <v>17219</v>
      </c>
      <c r="Y886" t="s">
        <v>17220</v>
      </c>
      <c r="Z886" t="s">
        <v>74</v>
      </c>
      <c r="AA886" t="s">
        <v>17221</v>
      </c>
      <c r="AB886" t="s">
        <v>17222</v>
      </c>
      <c r="AC886" t="s">
        <v>17223</v>
      </c>
      <c r="AD886" t="s">
        <v>17224</v>
      </c>
      <c r="AE886" t="s">
        <v>17225</v>
      </c>
      <c r="AF886" t="s">
        <v>74</v>
      </c>
      <c r="AG886">
        <v>34</v>
      </c>
      <c r="AH886">
        <v>27</v>
      </c>
      <c r="AI886">
        <v>30</v>
      </c>
      <c r="AJ886">
        <v>2</v>
      </c>
      <c r="AK886">
        <v>17</v>
      </c>
      <c r="AL886" t="s">
        <v>90</v>
      </c>
      <c r="AM886" t="s">
        <v>91</v>
      </c>
      <c r="AN886" t="s">
        <v>92</v>
      </c>
      <c r="AO886" t="s">
        <v>11615</v>
      </c>
      <c r="AP886" t="s">
        <v>11616</v>
      </c>
      <c r="AQ886" t="s">
        <v>74</v>
      </c>
      <c r="AR886" t="s">
        <v>11604</v>
      </c>
      <c r="AS886" t="s">
        <v>102</v>
      </c>
      <c r="AT886" t="s">
        <v>15943</v>
      </c>
      <c r="AU886">
        <v>2021</v>
      </c>
      <c r="AV886">
        <v>49</v>
      </c>
      <c r="AW886">
        <v>2</v>
      </c>
      <c r="AX886" t="s">
        <v>74</v>
      </c>
      <c r="AY886" t="s">
        <v>74</v>
      </c>
      <c r="AZ886" t="s">
        <v>74</v>
      </c>
      <c r="BA886" t="s">
        <v>74</v>
      </c>
      <c r="BB886">
        <v>206</v>
      </c>
      <c r="BC886">
        <v>210</v>
      </c>
      <c r="BD886" t="s">
        <v>74</v>
      </c>
      <c r="BE886" t="s">
        <v>17226</v>
      </c>
      <c r="BF886" t="str">
        <f>HYPERLINK("http://dx.doi.org/10.1130/G47850.1","http://dx.doi.org/10.1130/G47850.1")</f>
        <v>http://dx.doi.org/10.1130/G47850.1</v>
      </c>
      <c r="BG886" t="s">
        <v>74</v>
      </c>
      <c r="BH886" t="s">
        <v>74</v>
      </c>
      <c r="BI886">
        <v>5</v>
      </c>
      <c r="BJ886" t="s">
        <v>102</v>
      </c>
      <c r="BK886" t="s">
        <v>101</v>
      </c>
      <c r="BL886" t="s">
        <v>102</v>
      </c>
      <c r="BM886" t="s">
        <v>17195</v>
      </c>
      <c r="BN886" t="s">
        <v>74</v>
      </c>
      <c r="BO886" t="s">
        <v>74</v>
      </c>
      <c r="BP886" t="s">
        <v>74</v>
      </c>
      <c r="BQ886" t="s">
        <v>74</v>
      </c>
      <c r="BR886" t="s">
        <v>104</v>
      </c>
      <c r="BS886" t="s">
        <v>17227</v>
      </c>
      <c r="BT886" t="str">
        <f>HYPERLINK("https%3A%2F%2Fwww.webofscience.com%2Fwos%2Fwoscc%2Ffull-record%2FWOS:000613644100018","View Full Record in Web of Science")</f>
        <v>View Full Record in Web of Science</v>
      </c>
    </row>
    <row r="887" spans="1:72" x14ac:dyDescent="0.15">
      <c r="A887" t="s">
        <v>72</v>
      </c>
      <c r="B887" t="s">
        <v>17228</v>
      </c>
      <c r="C887" t="s">
        <v>74</v>
      </c>
      <c r="D887" t="s">
        <v>74</v>
      </c>
      <c r="E887" t="s">
        <v>74</v>
      </c>
      <c r="F887" t="s">
        <v>17229</v>
      </c>
      <c r="G887" t="s">
        <v>74</v>
      </c>
      <c r="H887" t="s">
        <v>74</v>
      </c>
      <c r="I887" t="s">
        <v>17230</v>
      </c>
      <c r="J887" t="s">
        <v>5532</v>
      </c>
      <c r="K887" t="s">
        <v>74</v>
      </c>
      <c r="L887" t="s">
        <v>74</v>
      </c>
      <c r="M887" t="s">
        <v>78</v>
      </c>
      <c r="N887" t="s">
        <v>79</v>
      </c>
      <c r="O887" t="s">
        <v>74</v>
      </c>
      <c r="P887" t="s">
        <v>74</v>
      </c>
      <c r="Q887" t="s">
        <v>74</v>
      </c>
      <c r="R887" t="s">
        <v>74</v>
      </c>
      <c r="S887" t="s">
        <v>74</v>
      </c>
      <c r="T887" t="s">
        <v>17231</v>
      </c>
      <c r="U887" t="s">
        <v>17232</v>
      </c>
      <c r="V887" t="s">
        <v>17233</v>
      </c>
      <c r="W887" t="s">
        <v>17234</v>
      </c>
      <c r="X887" t="s">
        <v>17235</v>
      </c>
      <c r="Y887" t="s">
        <v>17236</v>
      </c>
      <c r="Z887" t="s">
        <v>17237</v>
      </c>
      <c r="AA887" t="s">
        <v>17238</v>
      </c>
      <c r="AB887" t="s">
        <v>17239</v>
      </c>
      <c r="AC887" t="s">
        <v>17240</v>
      </c>
      <c r="AD887" t="s">
        <v>17241</v>
      </c>
      <c r="AE887" t="s">
        <v>17242</v>
      </c>
      <c r="AF887" t="s">
        <v>74</v>
      </c>
      <c r="AG887">
        <v>90</v>
      </c>
      <c r="AH887">
        <v>4</v>
      </c>
      <c r="AI887">
        <v>4</v>
      </c>
      <c r="AJ887">
        <v>0</v>
      </c>
      <c r="AK887">
        <v>13</v>
      </c>
      <c r="AL887" t="s">
        <v>335</v>
      </c>
      <c r="AM887" t="s">
        <v>336</v>
      </c>
      <c r="AN887" t="s">
        <v>337</v>
      </c>
      <c r="AO887" t="s">
        <v>74</v>
      </c>
      <c r="AP887" t="s">
        <v>5546</v>
      </c>
      <c r="AQ887" t="s">
        <v>74</v>
      </c>
      <c r="AR887" t="s">
        <v>5547</v>
      </c>
      <c r="AS887" t="s">
        <v>5548</v>
      </c>
      <c r="AT887" t="s">
        <v>1091</v>
      </c>
      <c r="AU887">
        <v>2021</v>
      </c>
      <c r="AV887">
        <v>22</v>
      </c>
      <c r="AW887">
        <v>4</v>
      </c>
      <c r="AX887" t="s">
        <v>74</v>
      </c>
      <c r="AY887" t="s">
        <v>74</v>
      </c>
      <c r="AZ887" t="s">
        <v>74</v>
      </c>
      <c r="BA887" t="s">
        <v>74</v>
      </c>
      <c r="BB887" t="s">
        <v>74</v>
      </c>
      <c r="BC887" t="s">
        <v>74</v>
      </c>
      <c r="BD887">
        <v>1812</v>
      </c>
      <c r="BE887" t="s">
        <v>17243</v>
      </c>
      <c r="BF887" t="str">
        <f>HYPERLINK("http://dx.doi.org/10.3390/ijms22041812","http://dx.doi.org/10.3390/ijms22041812")</f>
        <v>http://dx.doi.org/10.3390/ijms22041812</v>
      </c>
      <c r="BG887" t="s">
        <v>74</v>
      </c>
      <c r="BH887" t="s">
        <v>74</v>
      </c>
      <c r="BI887">
        <v>21</v>
      </c>
      <c r="BJ887" t="s">
        <v>5550</v>
      </c>
      <c r="BK887" t="s">
        <v>101</v>
      </c>
      <c r="BL887" t="s">
        <v>5551</v>
      </c>
      <c r="BM887" t="s">
        <v>17244</v>
      </c>
      <c r="BN887">
        <v>33670421</v>
      </c>
      <c r="BO887" t="s">
        <v>558</v>
      </c>
      <c r="BP887" t="s">
        <v>74</v>
      </c>
      <c r="BQ887" t="s">
        <v>74</v>
      </c>
      <c r="BR887" t="s">
        <v>104</v>
      </c>
      <c r="BS887" t="s">
        <v>17245</v>
      </c>
      <c r="BT887" t="str">
        <f>HYPERLINK("https%3A%2F%2Fwww.webofscience.com%2Fwos%2Fwoscc%2Ffull-record%2FWOS:000623777900001","View Full Record in Web of Science")</f>
        <v>View Full Record in Web of Science</v>
      </c>
    </row>
    <row r="888" spans="1:72" x14ac:dyDescent="0.15">
      <c r="A888" t="s">
        <v>72</v>
      </c>
      <c r="B888" t="s">
        <v>17246</v>
      </c>
      <c r="C888" t="s">
        <v>74</v>
      </c>
      <c r="D888" t="s">
        <v>74</v>
      </c>
      <c r="E888" t="s">
        <v>74</v>
      </c>
      <c r="F888" t="s">
        <v>17247</v>
      </c>
      <c r="G888" t="s">
        <v>74</v>
      </c>
      <c r="H888" t="s">
        <v>74</v>
      </c>
      <c r="I888" t="s">
        <v>17248</v>
      </c>
      <c r="J888" t="s">
        <v>11102</v>
      </c>
      <c r="K888" t="s">
        <v>74</v>
      </c>
      <c r="L888" t="s">
        <v>74</v>
      </c>
      <c r="M888" t="s">
        <v>78</v>
      </c>
      <c r="N888" t="s">
        <v>79</v>
      </c>
      <c r="O888" t="s">
        <v>74</v>
      </c>
      <c r="P888" t="s">
        <v>74</v>
      </c>
      <c r="Q888" t="s">
        <v>74</v>
      </c>
      <c r="R888" t="s">
        <v>74</v>
      </c>
      <c r="S888" t="s">
        <v>74</v>
      </c>
      <c r="T888" t="s">
        <v>17249</v>
      </c>
      <c r="U888" t="s">
        <v>74</v>
      </c>
      <c r="V888" t="s">
        <v>17250</v>
      </c>
      <c r="W888" t="s">
        <v>17251</v>
      </c>
      <c r="X888" t="s">
        <v>17252</v>
      </c>
      <c r="Y888" t="s">
        <v>17253</v>
      </c>
      <c r="Z888" t="s">
        <v>17254</v>
      </c>
      <c r="AA888" t="s">
        <v>17255</v>
      </c>
      <c r="AB888" t="s">
        <v>17256</v>
      </c>
      <c r="AC888" t="s">
        <v>17257</v>
      </c>
      <c r="AD888" t="s">
        <v>17258</v>
      </c>
      <c r="AE888" t="s">
        <v>17259</v>
      </c>
      <c r="AF888" t="s">
        <v>74</v>
      </c>
      <c r="AG888">
        <v>40</v>
      </c>
      <c r="AH888">
        <v>9</v>
      </c>
      <c r="AI888">
        <v>9</v>
      </c>
      <c r="AJ888">
        <v>2</v>
      </c>
      <c r="AK888">
        <v>13</v>
      </c>
      <c r="AL888" t="s">
        <v>335</v>
      </c>
      <c r="AM888" t="s">
        <v>336</v>
      </c>
      <c r="AN888" t="s">
        <v>337</v>
      </c>
      <c r="AO888" t="s">
        <v>74</v>
      </c>
      <c r="AP888" t="s">
        <v>11115</v>
      </c>
      <c r="AQ888" t="s">
        <v>74</v>
      </c>
      <c r="AR888" t="s">
        <v>11116</v>
      </c>
      <c r="AS888" t="s">
        <v>11117</v>
      </c>
      <c r="AT888" t="s">
        <v>1091</v>
      </c>
      <c r="AU888">
        <v>2021</v>
      </c>
      <c r="AV888">
        <v>19</v>
      </c>
      <c r="AW888">
        <v>2</v>
      </c>
      <c r="AX888" t="s">
        <v>74</v>
      </c>
      <c r="AY888" t="s">
        <v>74</v>
      </c>
      <c r="AZ888" t="s">
        <v>74</v>
      </c>
      <c r="BA888" t="s">
        <v>74</v>
      </c>
      <c r="BB888" t="s">
        <v>74</v>
      </c>
      <c r="BC888" t="s">
        <v>74</v>
      </c>
      <c r="BD888">
        <v>67</v>
      </c>
      <c r="BE888" t="s">
        <v>17260</v>
      </c>
      <c r="BF888" t="str">
        <f>HYPERLINK("http://dx.doi.org/10.3390/md19020067","http://dx.doi.org/10.3390/md19020067")</f>
        <v>http://dx.doi.org/10.3390/md19020067</v>
      </c>
      <c r="BG888" t="s">
        <v>74</v>
      </c>
      <c r="BH888" t="s">
        <v>74</v>
      </c>
      <c r="BI888">
        <v>16</v>
      </c>
      <c r="BJ888" t="s">
        <v>11119</v>
      </c>
      <c r="BK888" t="s">
        <v>101</v>
      </c>
      <c r="BL888" t="s">
        <v>11120</v>
      </c>
      <c r="BM888" t="s">
        <v>17261</v>
      </c>
      <c r="BN888">
        <v>33513970</v>
      </c>
      <c r="BO888" t="s">
        <v>298</v>
      </c>
      <c r="BP888" t="s">
        <v>74</v>
      </c>
      <c r="BQ888" t="s">
        <v>74</v>
      </c>
      <c r="BR888" t="s">
        <v>104</v>
      </c>
      <c r="BS888" t="s">
        <v>17262</v>
      </c>
      <c r="BT888" t="str">
        <f>HYPERLINK("https%3A%2F%2Fwww.webofscience.com%2Fwos%2Fwoscc%2Ffull-record%2FWOS:000622744000001","View Full Record in Web of Science")</f>
        <v>View Full Record in Web of Science</v>
      </c>
    </row>
    <row r="889" spans="1:72" x14ac:dyDescent="0.15">
      <c r="A889" t="s">
        <v>72</v>
      </c>
      <c r="B889" t="s">
        <v>17263</v>
      </c>
      <c r="C889" t="s">
        <v>74</v>
      </c>
      <c r="D889" t="s">
        <v>74</v>
      </c>
      <c r="E889" t="s">
        <v>74</v>
      </c>
      <c r="F889" t="s">
        <v>17264</v>
      </c>
      <c r="G889" t="s">
        <v>74</v>
      </c>
      <c r="H889" t="s">
        <v>74</v>
      </c>
      <c r="I889" t="s">
        <v>17265</v>
      </c>
      <c r="J889" t="s">
        <v>11452</v>
      </c>
      <c r="K889" t="s">
        <v>74</v>
      </c>
      <c r="L889" t="s">
        <v>74</v>
      </c>
      <c r="M889" t="s">
        <v>78</v>
      </c>
      <c r="N889" t="s">
        <v>79</v>
      </c>
      <c r="O889" t="s">
        <v>74</v>
      </c>
      <c r="P889" t="s">
        <v>74</v>
      </c>
      <c r="Q889" t="s">
        <v>74</v>
      </c>
      <c r="R889" t="s">
        <v>74</v>
      </c>
      <c r="S889" t="s">
        <v>74</v>
      </c>
      <c r="T889" t="s">
        <v>74</v>
      </c>
      <c r="U889" t="s">
        <v>74</v>
      </c>
      <c r="V889" t="s">
        <v>17266</v>
      </c>
      <c r="W889" t="s">
        <v>17267</v>
      </c>
      <c r="X889" t="s">
        <v>17268</v>
      </c>
      <c r="Y889" t="s">
        <v>17269</v>
      </c>
      <c r="Z889" t="s">
        <v>17270</v>
      </c>
      <c r="AA889" t="s">
        <v>17271</v>
      </c>
      <c r="AB889" t="s">
        <v>17272</v>
      </c>
      <c r="AC889" t="s">
        <v>17273</v>
      </c>
      <c r="AD889" t="s">
        <v>17274</v>
      </c>
      <c r="AE889" t="s">
        <v>17275</v>
      </c>
      <c r="AF889" t="s">
        <v>74</v>
      </c>
      <c r="AG889">
        <v>9</v>
      </c>
      <c r="AH889">
        <v>2</v>
      </c>
      <c r="AI889">
        <v>2</v>
      </c>
      <c r="AJ889">
        <v>1</v>
      </c>
      <c r="AK889">
        <v>1</v>
      </c>
      <c r="AL889" t="s">
        <v>389</v>
      </c>
      <c r="AM889" t="s">
        <v>390</v>
      </c>
      <c r="AN889" t="s">
        <v>391</v>
      </c>
      <c r="AO889" t="s">
        <v>11462</v>
      </c>
      <c r="AP889" t="s">
        <v>74</v>
      </c>
      <c r="AQ889" t="s">
        <v>74</v>
      </c>
      <c r="AR889" t="s">
        <v>11463</v>
      </c>
      <c r="AS889" t="s">
        <v>11464</v>
      </c>
      <c r="AT889" t="s">
        <v>1091</v>
      </c>
      <c r="AU889">
        <v>2021</v>
      </c>
      <c r="AV889">
        <v>10</v>
      </c>
      <c r="AW889">
        <v>5</v>
      </c>
      <c r="AX889" t="s">
        <v>74</v>
      </c>
      <c r="AY889" t="s">
        <v>74</v>
      </c>
      <c r="AZ889" t="s">
        <v>74</v>
      </c>
      <c r="BA889" t="s">
        <v>74</v>
      </c>
      <c r="BB889" t="s">
        <v>74</v>
      </c>
      <c r="BC889" t="s">
        <v>74</v>
      </c>
      <c r="BD889" t="s">
        <v>17276</v>
      </c>
      <c r="BE889" t="s">
        <v>17277</v>
      </c>
      <c r="BF889" t="str">
        <f>HYPERLINK("http://dx.doi.org/10.1128/MRA.01453-20","http://dx.doi.org/10.1128/MRA.01453-20")</f>
        <v>http://dx.doi.org/10.1128/MRA.01453-20</v>
      </c>
      <c r="BG889" t="s">
        <v>74</v>
      </c>
      <c r="BH889" t="s">
        <v>74</v>
      </c>
      <c r="BI889">
        <v>2</v>
      </c>
      <c r="BJ889" t="s">
        <v>396</v>
      </c>
      <c r="BK889" t="s">
        <v>342</v>
      </c>
      <c r="BL889" t="s">
        <v>396</v>
      </c>
      <c r="BM889" t="s">
        <v>17278</v>
      </c>
      <c r="BN889">
        <v>33541887</v>
      </c>
      <c r="BO889" t="s">
        <v>298</v>
      </c>
      <c r="BP889" t="s">
        <v>74</v>
      </c>
      <c r="BQ889" t="s">
        <v>74</v>
      </c>
      <c r="BR889" t="s">
        <v>104</v>
      </c>
      <c r="BS889" t="s">
        <v>17279</v>
      </c>
      <c r="BT889" t="str">
        <f>HYPERLINK("https%3A%2F%2Fwww.webofscience.com%2Fwos%2Fwoscc%2Ffull-record%2FWOS:000615878400014","View Full Record in Web of Science")</f>
        <v>View Full Record in Web of Science</v>
      </c>
    </row>
    <row r="890" spans="1:72" x14ac:dyDescent="0.15">
      <c r="A890" t="s">
        <v>72</v>
      </c>
      <c r="B890" t="s">
        <v>17280</v>
      </c>
      <c r="C890" t="s">
        <v>74</v>
      </c>
      <c r="D890" t="s">
        <v>74</v>
      </c>
      <c r="E890" t="s">
        <v>74</v>
      </c>
      <c r="F890" t="s">
        <v>17281</v>
      </c>
      <c r="G890" t="s">
        <v>74</v>
      </c>
      <c r="H890" t="s">
        <v>74</v>
      </c>
      <c r="I890" t="s">
        <v>17282</v>
      </c>
      <c r="J890" t="s">
        <v>17283</v>
      </c>
      <c r="K890" t="s">
        <v>74</v>
      </c>
      <c r="L890" t="s">
        <v>74</v>
      </c>
      <c r="M890" t="s">
        <v>78</v>
      </c>
      <c r="N890" t="s">
        <v>79</v>
      </c>
      <c r="O890" t="s">
        <v>74</v>
      </c>
      <c r="P890" t="s">
        <v>74</v>
      </c>
      <c r="Q890" t="s">
        <v>74</v>
      </c>
      <c r="R890" t="s">
        <v>74</v>
      </c>
      <c r="S890" t="s">
        <v>74</v>
      </c>
      <c r="T890" t="s">
        <v>17284</v>
      </c>
      <c r="U890" t="s">
        <v>17285</v>
      </c>
      <c r="V890" t="s">
        <v>17286</v>
      </c>
      <c r="W890" t="s">
        <v>17287</v>
      </c>
      <c r="X890" t="s">
        <v>17288</v>
      </c>
      <c r="Y890" t="s">
        <v>17289</v>
      </c>
      <c r="Z890" t="s">
        <v>17290</v>
      </c>
      <c r="AA890" t="s">
        <v>17291</v>
      </c>
      <c r="AB890" t="s">
        <v>17292</v>
      </c>
      <c r="AC890" t="s">
        <v>17293</v>
      </c>
      <c r="AD890" t="s">
        <v>17294</v>
      </c>
      <c r="AE890" t="s">
        <v>17295</v>
      </c>
      <c r="AF890" t="s">
        <v>74</v>
      </c>
      <c r="AG890">
        <v>48</v>
      </c>
      <c r="AH890">
        <v>17</v>
      </c>
      <c r="AI890">
        <v>17</v>
      </c>
      <c r="AJ890">
        <v>1</v>
      </c>
      <c r="AK890">
        <v>20</v>
      </c>
      <c r="AL890" t="s">
        <v>335</v>
      </c>
      <c r="AM890" t="s">
        <v>336</v>
      </c>
      <c r="AN890" t="s">
        <v>337</v>
      </c>
      <c r="AO890" t="s">
        <v>74</v>
      </c>
      <c r="AP890" t="s">
        <v>17296</v>
      </c>
      <c r="AQ890" t="s">
        <v>74</v>
      </c>
      <c r="AR890" t="s">
        <v>17297</v>
      </c>
      <c r="AS890" t="s">
        <v>17298</v>
      </c>
      <c r="AT890" t="s">
        <v>1091</v>
      </c>
      <c r="AU890">
        <v>2021</v>
      </c>
      <c r="AV890">
        <v>11</v>
      </c>
      <c r="AW890">
        <v>2</v>
      </c>
      <c r="AX890" t="s">
        <v>74</v>
      </c>
      <c r="AY890" t="s">
        <v>74</v>
      </c>
      <c r="AZ890" t="s">
        <v>74</v>
      </c>
      <c r="BA890" t="s">
        <v>74</v>
      </c>
      <c r="BB890" t="s">
        <v>74</v>
      </c>
      <c r="BC890" t="s">
        <v>74</v>
      </c>
      <c r="BD890">
        <v>470</v>
      </c>
      <c r="BE890" t="s">
        <v>17299</v>
      </c>
      <c r="BF890" t="str">
        <f>HYPERLINK("http://dx.doi.org/10.3390/nano11020470","http://dx.doi.org/10.3390/nano11020470")</f>
        <v>http://dx.doi.org/10.3390/nano11020470</v>
      </c>
      <c r="BG890" t="s">
        <v>74</v>
      </c>
      <c r="BH890" t="s">
        <v>74</v>
      </c>
      <c r="BI890">
        <v>16</v>
      </c>
      <c r="BJ890" t="s">
        <v>17300</v>
      </c>
      <c r="BK890" t="s">
        <v>101</v>
      </c>
      <c r="BL890" t="s">
        <v>17301</v>
      </c>
      <c r="BM890" t="s">
        <v>17302</v>
      </c>
      <c r="BN890">
        <v>33673220</v>
      </c>
      <c r="BO890" t="s">
        <v>558</v>
      </c>
      <c r="BP890" t="s">
        <v>74</v>
      </c>
      <c r="BQ890" t="s">
        <v>74</v>
      </c>
      <c r="BR890" t="s">
        <v>104</v>
      </c>
      <c r="BS890" t="s">
        <v>17303</v>
      </c>
      <c r="BT890" t="str">
        <f>HYPERLINK("https%3A%2F%2Fwww.webofscience.com%2Fwos%2Fwoscc%2Ffull-record%2FWOS:000622949400001","View Full Record in Web of Science")</f>
        <v>View Full Record in Web of Science</v>
      </c>
    </row>
    <row r="891" spans="1:72" x14ac:dyDescent="0.15">
      <c r="A891" t="s">
        <v>72</v>
      </c>
      <c r="B891" t="s">
        <v>17304</v>
      </c>
      <c r="C891" t="s">
        <v>74</v>
      </c>
      <c r="D891" t="s">
        <v>74</v>
      </c>
      <c r="E891" t="s">
        <v>74</v>
      </c>
      <c r="F891" t="s">
        <v>17305</v>
      </c>
      <c r="G891" t="s">
        <v>74</v>
      </c>
      <c r="H891" t="s">
        <v>74</v>
      </c>
      <c r="I891" t="s">
        <v>17306</v>
      </c>
      <c r="J891" t="s">
        <v>13098</v>
      </c>
      <c r="K891" t="s">
        <v>74</v>
      </c>
      <c r="L891" t="s">
        <v>74</v>
      </c>
      <c r="M891" t="s">
        <v>78</v>
      </c>
      <c r="N891" t="s">
        <v>79</v>
      </c>
      <c r="O891" t="s">
        <v>74</v>
      </c>
      <c r="P891" t="s">
        <v>74</v>
      </c>
      <c r="Q891" t="s">
        <v>74</v>
      </c>
      <c r="R891" t="s">
        <v>74</v>
      </c>
      <c r="S891" t="s">
        <v>74</v>
      </c>
      <c r="T891" t="s">
        <v>74</v>
      </c>
      <c r="U891" t="s">
        <v>17307</v>
      </c>
      <c r="V891" t="s">
        <v>17308</v>
      </c>
      <c r="W891" t="s">
        <v>17309</v>
      </c>
      <c r="X891" t="s">
        <v>17310</v>
      </c>
      <c r="Y891" t="s">
        <v>17311</v>
      </c>
      <c r="Z891" t="s">
        <v>17312</v>
      </c>
      <c r="AA891" t="s">
        <v>74</v>
      </c>
      <c r="AB891" t="s">
        <v>17313</v>
      </c>
      <c r="AC891" t="s">
        <v>17314</v>
      </c>
      <c r="AD891" t="s">
        <v>5166</v>
      </c>
      <c r="AE891" t="s">
        <v>74</v>
      </c>
      <c r="AF891" t="s">
        <v>74</v>
      </c>
      <c r="AG891">
        <v>61</v>
      </c>
      <c r="AH891">
        <v>55</v>
      </c>
      <c r="AI891">
        <v>58</v>
      </c>
      <c r="AJ891">
        <v>11</v>
      </c>
      <c r="AK891">
        <v>79</v>
      </c>
      <c r="AL891" t="s">
        <v>861</v>
      </c>
      <c r="AM891" t="s">
        <v>862</v>
      </c>
      <c r="AN891" t="s">
        <v>863</v>
      </c>
      <c r="AO891" t="s">
        <v>13110</v>
      </c>
      <c r="AP891" t="s">
        <v>13111</v>
      </c>
      <c r="AQ891" t="s">
        <v>74</v>
      </c>
      <c r="AR891" t="s">
        <v>13112</v>
      </c>
      <c r="AS891" t="s">
        <v>13113</v>
      </c>
      <c r="AT891" t="s">
        <v>1091</v>
      </c>
      <c r="AU891">
        <v>2021</v>
      </c>
      <c r="AV891">
        <v>14</v>
      </c>
      <c r="AW891">
        <v>2</v>
      </c>
      <c r="AX891" t="s">
        <v>74</v>
      </c>
      <c r="AY891" t="s">
        <v>74</v>
      </c>
      <c r="AZ891" t="s">
        <v>74</v>
      </c>
      <c r="BA891" t="s">
        <v>74</v>
      </c>
      <c r="BB891" t="s">
        <v>74</v>
      </c>
      <c r="BC891" t="s">
        <v>74</v>
      </c>
      <c r="BD891" t="s">
        <v>74</v>
      </c>
      <c r="BE891" t="s">
        <v>17315</v>
      </c>
      <c r="BF891" t="str">
        <f>HYPERLINK("http://dx.doi.org/10.1038/s41561-020-00680-2","http://dx.doi.org/10.1038/s41561-020-00680-2")</f>
        <v>http://dx.doi.org/10.1038/s41561-020-00680-2</v>
      </c>
      <c r="BG891" t="s">
        <v>74</v>
      </c>
      <c r="BH891" t="s">
        <v>74</v>
      </c>
      <c r="BI891">
        <v>18</v>
      </c>
      <c r="BJ891" t="s">
        <v>100</v>
      </c>
      <c r="BK891" t="s">
        <v>101</v>
      </c>
      <c r="BL891" t="s">
        <v>102</v>
      </c>
      <c r="BM891" t="s">
        <v>17316</v>
      </c>
      <c r="BN891" t="s">
        <v>74</v>
      </c>
      <c r="BO891" t="s">
        <v>74</v>
      </c>
      <c r="BP891" t="s">
        <v>74</v>
      </c>
      <c r="BQ891" t="s">
        <v>74</v>
      </c>
      <c r="BR891" t="s">
        <v>104</v>
      </c>
      <c r="BS891" t="s">
        <v>17317</v>
      </c>
      <c r="BT891" t="str">
        <f>HYPERLINK("https%3A%2F%2Fwww.webofscience.com%2Fwos%2Fwoscc%2Ffull-record%2FWOS:000614892900009","View Full Record in Web of Science")</f>
        <v>View Full Record in Web of Science</v>
      </c>
    </row>
    <row r="892" spans="1:72" x14ac:dyDescent="0.15">
      <c r="A892" t="s">
        <v>72</v>
      </c>
      <c r="B892" t="s">
        <v>17318</v>
      </c>
      <c r="C892" t="s">
        <v>74</v>
      </c>
      <c r="D892" t="s">
        <v>74</v>
      </c>
      <c r="E892" t="s">
        <v>74</v>
      </c>
      <c r="F892" t="s">
        <v>17319</v>
      </c>
      <c r="G892" t="s">
        <v>74</v>
      </c>
      <c r="H892" t="s">
        <v>74</v>
      </c>
      <c r="I892" t="s">
        <v>17320</v>
      </c>
      <c r="J892" t="s">
        <v>15281</v>
      </c>
      <c r="K892" t="s">
        <v>74</v>
      </c>
      <c r="L892" t="s">
        <v>74</v>
      </c>
      <c r="M892" t="s">
        <v>78</v>
      </c>
      <c r="N892" t="s">
        <v>79</v>
      </c>
      <c r="O892" t="s">
        <v>74</v>
      </c>
      <c r="P892" t="s">
        <v>74</v>
      </c>
      <c r="Q892" t="s">
        <v>74</v>
      </c>
      <c r="R892" t="s">
        <v>74</v>
      </c>
      <c r="S892" t="s">
        <v>74</v>
      </c>
      <c r="T892" t="s">
        <v>17321</v>
      </c>
      <c r="U892" t="s">
        <v>17322</v>
      </c>
      <c r="V892" t="s">
        <v>17323</v>
      </c>
      <c r="W892" t="s">
        <v>17324</v>
      </c>
      <c r="X892" t="s">
        <v>9821</v>
      </c>
      <c r="Y892" t="s">
        <v>17325</v>
      </c>
      <c r="Z892" t="s">
        <v>17326</v>
      </c>
      <c r="AA892" t="s">
        <v>17327</v>
      </c>
      <c r="AB892" t="s">
        <v>17328</v>
      </c>
      <c r="AC892" t="s">
        <v>17329</v>
      </c>
      <c r="AD892" t="s">
        <v>8825</v>
      </c>
      <c r="AE892" t="s">
        <v>17330</v>
      </c>
      <c r="AF892" t="s">
        <v>74</v>
      </c>
      <c r="AG892">
        <v>35</v>
      </c>
      <c r="AH892">
        <v>5</v>
      </c>
      <c r="AI892">
        <v>5</v>
      </c>
      <c r="AJ892">
        <v>2</v>
      </c>
      <c r="AK892">
        <v>26</v>
      </c>
      <c r="AL892" t="s">
        <v>15293</v>
      </c>
      <c r="AM892" t="s">
        <v>15294</v>
      </c>
      <c r="AN892" t="s">
        <v>15295</v>
      </c>
      <c r="AO892" t="s">
        <v>15296</v>
      </c>
      <c r="AP892" t="s">
        <v>74</v>
      </c>
      <c r="AQ892" t="s">
        <v>74</v>
      </c>
      <c r="AR892" t="s">
        <v>15298</v>
      </c>
      <c r="AS892" t="s">
        <v>15299</v>
      </c>
      <c r="AT892" t="s">
        <v>1091</v>
      </c>
      <c r="AU892">
        <v>2021</v>
      </c>
      <c r="AV892">
        <v>159</v>
      </c>
      <c r="AW892" t="s">
        <v>74</v>
      </c>
      <c r="AX892" t="s">
        <v>74</v>
      </c>
      <c r="AY892" t="s">
        <v>74</v>
      </c>
      <c r="AZ892" t="s">
        <v>74</v>
      </c>
      <c r="BA892" t="s">
        <v>74</v>
      </c>
      <c r="BB892">
        <v>37</v>
      </c>
      <c r="BC892">
        <v>42</v>
      </c>
      <c r="BD892" t="s">
        <v>74</v>
      </c>
      <c r="BE892" t="s">
        <v>17331</v>
      </c>
      <c r="BF892" t="str">
        <f>HYPERLINK("http://dx.doi.org/10.1016/j.plaphy.2020.12.007","http://dx.doi.org/10.1016/j.plaphy.2020.12.007")</f>
        <v>http://dx.doi.org/10.1016/j.plaphy.2020.12.007</v>
      </c>
      <c r="BG892" t="s">
        <v>74</v>
      </c>
      <c r="BH892" t="s">
        <v>74</v>
      </c>
      <c r="BI892">
        <v>6</v>
      </c>
      <c r="BJ892" t="s">
        <v>2508</v>
      </c>
      <c r="BK892" t="s">
        <v>101</v>
      </c>
      <c r="BL892" t="s">
        <v>2508</v>
      </c>
      <c r="BM892" t="s">
        <v>17332</v>
      </c>
      <c r="BN892">
        <v>33321376</v>
      </c>
      <c r="BO892" t="s">
        <v>74</v>
      </c>
      <c r="BP892" t="s">
        <v>74</v>
      </c>
      <c r="BQ892" t="s">
        <v>74</v>
      </c>
      <c r="BR892" t="s">
        <v>104</v>
      </c>
      <c r="BS892" t="s">
        <v>17333</v>
      </c>
      <c r="BT892" t="str">
        <f>HYPERLINK("https%3A%2F%2Fwww.webofscience.com%2Fwos%2Fwoscc%2Ffull-record%2FWOS:000610843600005","View Full Record in Web of Science")</f>
        <v>View Full Record in Web of Science</v>
      </c>
    </row>
    <row r="893" spans="1:72" x14ac:dyDescent="0.15">
      <c r="A893" t="s">
        <v>72</v>
      </c>
      <c r="B893" t="s">
        <v>17334</v>
      </c>
      <c r="C893" t="s">
        <v>74</v>
      </c>
      <c r="D893" t="s">
        <v>74</v>
      </c>
      <c r="E893" t="s">
        <v>74</v>
      </c>
      <c r="F893" t="s">
        <v>17335</v>
      </c>
      <c r="G893" t="s">
        <v>74</v>
      </c>
      <c r="H893" t="s">
        <v>74</v>
      </c>
      <c r="I893" t="s">
        <v>17336</v>
      </c>
      <c r="J893" t="s">
        <v>17337</v>
      </c>
      <c r="K893" t="s">
        <v>74</v>
      </c>
      <c r="L893" t="s">
        <v>74</v>
      </c>
      <c r="M893" t="s">
        <v>78</v>
      </c>
      <c r="N893" t="s">
        <v>79</v>
      </c>
      <c r="O893" t="s">
        <v>74</v>
      </c>
      <c r="P893" t="s">
        <v>74</v>
      </c>
      <c r="Q893" t="s">
        <v>74</v>
      </c>
      <c r="R893" t="s">
        <v>74</v>
      </c>
      <c r="S893" t="s">
        <v>74</v>
      </c>
      <c r="T893" t="s">
        <v>17338</v>
      </c>
      <c r="U893" t="s">
        <v>17339</v>
      </c>
      <c r="V893" t="s">
        <v>17340</v>
      </c>
      <c r="W893" t="s">
        <v>17341</v>
      </c>
      <c r="X893" t="s">
        <v>17342</v>
      </c>
      <c r="Y893" t="s">
        <v>17343</v>
      </c>
      <c r="Z893" t="s">
        <v>17344</v>
      </c>
      <c r="AA893" t="s">
        <v>17345</v>
      </c>
      <c r="AB893" t="s">
        <v>17346</v>
      </c>
      <c r="AC893" t="s">
        <v>17347</v>
      </c>
      <c r="AD893" t="s">
        <v>17348</v>
      </c>
      <c r="AE893" t="s">
        <v>17349</v>
      </c>
      <c r="AF893" t="s">
        <v>74</v>
      </c>
      <c r="AG893">
        <v>37</v>
      </c>
      <c r="AH893">
        <v>9</v>
      </c>
      <c r="AI893">
        <v>10</v>
      </c>
      <c r="AJ893">
        <v>2</v>
      </c>
      <c r="AK893">
        <v>21</v>
      </c>
      <c r="AL893" t="s">
        <v>335</v>
      </c>
      <c r="AM893" t="s">
        <v>336</v>
      </c>
      <c r="AN893" t="s">
        <v>337</v>
      </c>
      <c r="AO893" t="s">
        <v>74</v>
      </c>
      <c r="AP893" t="s">
        <v>17350</v>
      </c>
      <c r="AQ893" t="s">
        <v>74</v>
      </c>
      <c r="AR893" t="s">
        <v>17337</v>
      </c>
      <c r="AS893" t="s">
        <v>17351</v>
      </c>
      <c r="AT893" t="s">
        <v>1091</v>
      </c>
      <c r="AU893">
        <v>2021</v>
      </c>
      <c r="AV893">
        <v>13</v>
      </c>
      <c r="AW893">
        <v>2</v>
      </c>
      <c r="AX893" t="s">
        <v>74</v>
      </c>
      <c r="AY893" t="s">
        <v>74</v>
      </c>
      <c r="AZ893" t="s">
        <v>74</v>
      </c>
      <c r="BA893" t="s">
        <v>74</v>
      </c>
      <c r="BB893" t="s">
        <v>74</v>
      </c>
      <c r="BC893" t="s">
        <v>74</v>
      </c>
      <c r="BD893">
        <v>93</v>
      </c>
      <c r="BE893" t="s">
        <v>17352</v>
      </c>
      <c r="BF893" t="str">
        <f>HYPERLINK("http://dx.doi.org/10.3390/toxins13020093","http://dx.doi.org/10.3390/toxins13020093")</f>
        <v>http://dx.doi.org/10.3390/toxins13020093</v>
      </c>
      <c r="BG893" t="s">
        <v>74</v>
      </c>
      <c r="BH893" t="s">
        <v>74</v>
      </c>
      <c r="BI893">
        <v>11</v>
      </c>
      <c r="BJ893" t="s">
        <v>17353</v>
      </c>
      <c r="BK893" t="s">
        <v>101</v>
      </c>
      <c r="BL893" t="s">
        <v>17353</v>
      </c>
      <c r="BM893" t="s">
        <v>17354</v>
      </c>
      <c r="BN893">
        <v>33530611</v>
      </c>
      <c r="BO893" t="s">
        <v>558</v>
      </c>
      <c r="BP893" t="s">
        <v>74</v>
      </c>
      <c r="BQ893" t="s">
        <v>74</v>
      </c>
      <c r="BR893" t="s">
        <v>104</v>
      </c>
      <c r="BS893" t="s">
        <v>17355</v>
      </c>
      <c r="BT893" t="str">
        <f>HYPERLINK("https%3A%2F%2Fwww.webofscience.com%2Fwos%2Fwoscc%2Ffull-record%2FWOS:000623269900001","View Full Record in Web of Science")</f>
        <v>View Full Record in Web of Science</v>
      </c>
    </row>
    <row r="894" spans="1:72" x14ac:dyDescent="0.15">
      <c r="A894" t="s">
        <v>72</v>
      </c>
      <c r="B894" t="s">
        <v>17356</v>
      </c>
      <c r="C894" t="s">
        <v>74</v>
      </c>
      <c r="D894" t="s">
        <v>74</v>
      </c>
      <c r="E894" t="s">
        <v>74</v>
      </c>
      <c r="F894" t="s">
        <v>17357</v>
      </c>
      <c r="G894" t="s">
        <v>74</v>
      </c>
      <c r="H894" t="s">
        <v>74</v>
      </c>
      <c r="I894" t="s">
        <v>17358</v>
      </c>
      <c r="J894" t="s">
        <v>17337</v>
      </c>
      <c r="K894" t="s">
        <v>74</v>
      </c>
      <c r="L894" t="s">
        <v>74</v>
      </c>
      <c r="M894" t="s">
        <v>78</v>
      </c>
      <c r="N894" t="s">
        <v>79</v>
      </c>
      <c r="O894" t="s">
        <v>74</v>
      </c>
      <c r="P894" t="s">
        <v>74</v>
      </c>
      <c r="Q894" t="s">
        <v>74</v>
      </c>
      <c r="R894" t="s">
        <v>74</v>
      </c>
      <c r="S894" t="s">
        <v>74</v>
      </c>
      <c r="T894" t="s">
        <v>17359</v>
      </c>
      <c r="U894" t="s">
        <v>74</v>
      </c>
      <c r="V894" t="s">
        <v>17360</v>
      </c>
      <c r="W894" t="s">
        <v>17361</v>
      </c>
      <c r="X894" t="s">
        <v>15262</v>
      </c>
      <c r="Y894" t="s">
        <v>17362</v>
      </c>
      <c r="Z894" t="s">
        <v>17363</v>
      </c>
      <c r="AA894" t="s">
        <v>17364</v>
      </c>
      <c r="AB894" t="s">
        <v>17365</v>
      </c>
      <c r="AC894" t="s">
        <v>17366</v>
      </c>
      <c r="AD894" t="s">
        <v>17367</v>
      </c>
      <c r="AE894" t="s">
        <v>17368</v>
      </c>
      <c r="AF894" t="s">
        <v>74</v>
      </c>
      <c r="AG894">
        <v>57</v>
      </c>
      <c r="AH894">
        <v>1</v>
      </c>
      <c r="AI894">
        <v>1</v>
      </c>
      <c r="AJ894">
        <v>1</v>
      </c>
      <c r="AK894">
        <v>5</v>
      </c>
      <c r="AL894" t="s">
        <v>335</v>
      </c>
      <c r="AM894" t="s">
        <v>336</v>
      </c>
      <c r="AN894" t="s">
        <v>337</v>
      </c>
      <c r="AO894" t="s">
        <v>74</v>
      </c>
      <c r="AP894" t="s">
        <v>17350</v>
      </c>
      <c r="AQ894" t="s">
        <v>74</v>
      </c>
      <c r="AR894" t="s">
        <v>17337</v>
      </c>
      <c r="AS894" t="s">
        <v>17351</v>
      </c>
      <c r="AT894" t="s">
        <v>1091</v>
      </c>
      <c r="AU894">
        <v>2021</v>
      </c>
      <c r="AV894">
        <v>13</v>
      </c>
      <c r="AW894">
        <v>2</v>
      </c>
      <c r="AX894" t="s">
        <v>74</v>
      </c>
      <c r="AY894" t="s">
        <v>74</v>
      </c>
      <c r="AZ894" t="s">
        <v>74</v>
      </c>
      <c r="BA894" t="s">
        <v>74</v>
      </c>
      <c r="BB894" t="s">
        <v>74</v>
      </c>
      <c r="BC894" t="s">
        <v>74</v>
      </c>
      <c r="BD894">
        <v>129</v>
      </c>
      <c r="BE894" t="s">
        <v>17369</v>
      </c>
      <c r="BF894" t="str">
        <f>HYPERLINK("http://dx.doi.org/10.3390/toxins13020129","http://dx.doi.org/10.3390/toxins13020129")</f>
        <v>http://dx.doi.org/10.3390/toxins13020129</v>
      </c>
      <c r="BG894" t="s">
        <v>74</v>
      </c>
      <c r="BH894" t="s">
        <v>74</v>
      </c>
      <c r="BI894">
        <v>15</v>
      </c>
      <c r="BJ894" t="s">
        <v>17353</v>
      </c>
      <c r="BK894" t="s">
        <v>101</v>
      </c>
      <c r="BL894" t="s">
        <v>17353</v>
      </c>
      <c r="BM894" t="s">
        <v>17370</v>
      </c>
      <c r="BN894">
        <v>33572356</v>
      </c>
      <c r="BO894" t="s">
        <v>558</v>
      </c>
      <c r="BP894" t="s">
        <v>74</v>
      </c>
      <c r="BQ894" t="s">
        <v>74</v>
      </c>
      <c r="BR894" t="s">
        <v>104</v>
      </c>
      <c r="BS894" t="s">
        <v>17371</v>
      </c>
      <c r="BT894" t="str">
        <f>HYPERLINK("https%3A%2F%2Fwww.webofscience.com%2Fwos%2Fwoscc%2Ffull-record%2FWOS:000623300900001","View Full Record in Web of Science")</f>
        <v>View Full Record in Web of Science</v>
      </c>
    </row>
    <row r="895" spans="1:72" x14ac:dyDescent="0.15">
      <c r="A895" t="s">
        <v>72</v>
      </c>
      <c r="B895" t="s">
        <v>17372</v>
      </c>
      <c r="C895" t="s">
        <v>74</v>
      </c>
      <c r="D895" t="s">
        <v>74</v>
      </c>
      <c r="E895" t="s">
        <v>74</v>
      </c>
      <c r="F895" t="s">
        <v>17373</v>
      </c>
      <c r="G895" t="s">
        <v>74</v>
      </c>
      <c r="H895" t="s">
        <v>74</v>
      </c>
      <c r="I895" t="s">
        <v>17374</v>
      </c>
      <c r="J895" t="s">
        <v>15467</v>
      </c>
      <c r="K895" t="s">
        <v>74</v>
      </c>
      <c r="L895" t="s">
        <v>74</v>
      </c>
      <c r="M895" t="s">
        <v>78</v>
      </c>
      <c r="N895" t="s">
        <v>79</v>
      </c>
      <c r="O895" t="s">
        <v>74</v>
      </c>
      <c r="P895" t="s">
        <v>74</v>
      </c>
      <c r="Q895" t="s">
        <v>74</v>
      </c>
      <c r="R895" t="s">
        <v>74</v>
      </c>
      <c r="S895" t="s">
        <v>74</v>
      </c>
      <c r="T895" t="s">
        <v>17375</v>
      </c>
      <c r="U895" t="s">
        <v>74</v>
      </c>
      <c r="V895" t="s">
        <v>17376</v>
      </c>
      <c r="W895" t="s">
        <v>17377</v>
      </c>
      <c r="X895" t="s">
        <v>17378</v>
      </c>
      <c r="Y895" t="s">
        <v>17379</v>
      </c>
      <c r="Z895" t="s">
        <v>17380</v>
      </c>
      <c r="AA895" t="s">
        <v>17381</v>
      </c>
      <c r="AB895" t="s">
        <v>17382</v>
      </c>
      <c r="AC895" t="s">
        <v>17383</v>
      </c>
      <c r="AD895" t="s">
        <v>17383</v>
      </c>
      <c r="AE895" t="s">
        <v>17384</v>
      </c>
      <c r="AF895" t="s">
        <v>74</v>
      </c>
      <c r="AG895">
        <v>33</v>
      </c>
      <c r="AH895">
        <v>2</v>
      </c>
      <c r="AI895">
        <v>2</v>
      </c>
      <c r="AJ895">
        <v>1</v>
      </c>
      <c r="AK895">
        <v>5</v>
      </c>
      <c r="AL895" t="s">
        <v>15479</v>
      </c>
      <c r="AM895" t="s">
        <v>1909</v>
      </c>
      <c r="AN895" t="s">
        <v>15480</v>
      </c>
      <c r="AO895" t="s">
        <v>15481</v>
      </c>
      <c r="AP895" t="s">
        <v>15482</v>
      </c>
      <c r="AQ895" t="s">
        <v>74</v>
      </c>
      <c r="AR895" t="s">
        <v>15467</v>
      </c>
      <c r="AS895" t="s">
        <v>15483</v>
      </c>
      <c r="AT895" t="s">
        <v>1091</v>
      </c>
      <c r="AU895">
        <v>2021</v>
      </c>
      <c r="AV895">
        <v>167</v>
      </c>
      <c r="AW895">
        <v>1</v>
      </c>
      <c r="AX895" t="s">
        <v>74</v>
      </c>
      <c r="AY895" t="s">
        <v>74</v>
      </c>
      <c r="AZ895" t="s">
        <v>74</v>
      </c>
      <c r="BA895" t="s">
        <v>74</v>
      </c>
      <c r="BB895">
        <v>27</v>
      </c>
      <c r="BC895">
        <v>32</v>
      </c>
      <c r="BD895" t="s">
        <v>74</v>
      </c>
      <c r="BE895" t="s">
        <v>17385</v>
      </c>
      <c r="BF895" t="str">
        <f>HYPERLINK("http://dx.doi.org/10.1136/jramc-2019-001175","http://dx.doi.org/10.1136/jramc-2019-001175")</f>
        <v>http://dx.doi.org/10.1136/jramc-2019-001175</v>
      </c>
      <c r="BG895" t="s">
        <v>74</v>
      </c>
      <c r="BH895" t="s">
        <v>74</v>
      </c>
      <c r="BI895">
        <v>6</v>
      </c>
      <c r="BJ895" t="s">
        <v>15485</v>
      </c>
      <c r="BK895" t="s">
        <v>101</v>
      </c>
      <c r="BL895" t="s">
        <v>15486</v>
      </c>
      <c r="BM895" t="s">
        <v>17386</v>
      </c>
      <c r="BN895">
        <v>31097481</v>
      </c>
      <c r="BO895" t="s">
        <v>74</v>
      </c>
      <c r="BP895" t="s">
        <v>74</v>
      </c>
      <c r="BQ895" t="s">
        <v>74</v>
      </c>
      <c r="BR895" t="s">
        <v>104</v>
      </c>
      <c r="BS895" t="s">
        <v>17387</v>
      </c>
      <c r="BT895" t="str">
        <f>HYPERLINK("https%3A%2F%2Fwww.webofscience.com%2Fwos%2Fwoscc%2Ffull-record%2FWOS:000615901800008","View Full Record in Web of Science")</f>
        <v>View Full Record in Web of Science</v>
      </c>
    </row>
    <row r="896" spans="1:72" x14ac:dyDescent="0.15">
      <c r="A896" t="s">
        <v>72</v>
      </c>
      <c r="B896" t="s">
        <v>17388</v>
      </c>
      <c r="C896" t="s">
        <v>74</v>
      </c>
      <c r="D896" t="s">
        <v>74</v>
      </c>
      <c r="E896" t="s">
        <v>74</v>
      </c>
      <c r="F896" t="s">
        <v>17389</v>
      </c>
      <c r="G896" t="s">
        <v>74</v>
      </c>
      <c r="H896" t="s">
        <v>74</v>
      </c>
      <c r="I896" t="s">
        <v>17390</v>
      </c>
      <c r="J896" t="s">
        <v>11231</v>
      </c>
      <c r="K896" t="s">
        <v>74</v>
      </c>
      <c r="L896" t="s">
        <v>74</v>
      </c>
      <c r="M896" t="s">
        <v>78</v>
      </c>
      <c r="N896" t="s">
        <v>79</v>
      </c>
      <c r="O896" t="s">
        <v>74</v>
      </c>
      <c r="P896" t="s">
        <v>74</v>
      </c>
      <c r="Q896" t="s">
        <v>74</v>
      </c>
      <c r="R896" t="s">
        <v>74</v>
      </c>
      <c r="S896" t="s">
        <v>74</v>
      </c>
      <c r="T896" t="s">
        <v>17391</v>
      </c>
      <c r="U896" t="s">
        <v>74</v>
      </c>
      <c r="V896" t="s">
        <v>17392</v>
      </c>
      <c r="W896" t="s">
        <v>17393</v>
      </c>
      <c r="X896" t="s">
        <v>17394</v>
      </c>
      <c r="Y896" t="s">
        <v>17395</v>
      </c>
      <c r="Z896" t="s">
        <v>17396</v>
      </c>
      <c r="AA896" t="s">
        <v>74</v>
      </c>
      <c r="AB896" t="s">
        <v>17397</v>
      </c>
      <c r="AC896" t="s">
        <v>17398</v>
      </c>
      <c r="AD896" t="s">
        <v>17399</v>
      </c>
      <c r="AE896" t="s">
        <v>17400</v>
      </c>
      <c r="AF896" t="s">
        <v>74</v>
      </c>
      <c r="AG896">
        <v>124</v>
      </c>
      <c r="AH896">
        <v>1</v>
      </c>
      <c r="AI896">
        <v>1</v>
      </c>
      <c r="AJ896">
        <v>2</v>
      </c>
      <c r="AK896">
        <v>9</v>
      </c>
      <c r="AL896" t="s">
        <v>335</v>
      </c>
      <c r="AM896" t="s">
        <v>336</v>
      </c>
      <c r="AN896" t="s">
        <v>337</v>
      </c>
      <c r="AO896" t="s">
        <v>74</v>
      </c>
      <c r="AP896" t="s">
        <v>11244</v>
      </c>
      <c r="AQ896" t="s">
        <v>74</v>
      </c>
      <c r="AR896" t="s">
        <v>11245</v>
      </c>
      <c r="AS896" t="s">
        <v>11246</v>
      </c>
      <c r="AT896" t="s">
        <v>1091</v>
      </c>
      <c r="AU896">
        <v>2021</v>
      </c>
      <c r="AV896">
        <v>12</v>
      </c>
      <c r="AW896">
        <v>2</v>
      </c>
      <c r="AX896" t="s">
        <v>74</v>
      </c>
      <c r="AY896" t="s">
        <v>74</v>
      </c>
      <c r="AZ896" t="s">
        <v>74</v>
      </c>
      <c r="BA896" t="s">
        <v>74</v>
      </c>
      <c r="BB896" t="s">
        <v>74</v>
      </c>
      <c r="BC896" t="s">
        <v>74</v>
      </c>
      <c r="BD896">
        <v>219</v>
      </c>
      <c r="BE896" t="s">
        <v>17401</v>
      </c>
      <c r="BF896" t="str">
        <f>HYPERLINK("http://dx.doi.org/10.3390/genes12020219","http://dx.doi.org/10.3390/genes12020219")</f>
        <v>http://dx.doi.org/10.3390/genes12020219</v>
      </c>
      <c r="BG896" t="s">
        <v>74</v>
      </c>
      <c r="BH896" t="s">
        <v>74</v>
      </c>
      <c r="BI896">
        <v>27</v>
      </c>
      <c r="BJ896" t="s">
        <v>3916</v>
      </c>
      <c r="BK896" t="s">
        <v>101</v>
      </c>
      <c r="BL896" t="s">
        <v>3916</v>
      </c>
      <c r="BM896" t="s">
        <v>17402</v>
      </c>
      <c r="BN896">
        <v>33546197</v>
      </c>
      <c r="BO896" t="s">
        <v>298</v>
      </c>
      <c r="BP896" t="s">
        <v>74</v>
      </c>
      <c r="BQ896" t="s">
        <v>74</v>
      </c>
      <c r="BR896" t="s">
        <v>104</v>
      </c>
      <c r="BS896" t="s">
        <v>17403</v>
      </c>
      <c r="BT896" t="str">
        <f>HYPERLINK("https%3A%2F%2Fwww.webofscience.com%2Fwos%2Fwoscc%2Ffull-record%2FWOS:000622570600001","View Full Record in Web of Science")</f>
        <v>View Full Record in Web of Science</v>
      </c>
    </row>
    <row r="897" spans="1:72" x14ac:dyDescent="0.15">
      <c r="A897" t="s">
        <v>72</v>
      </c>
      <c r="B897" t="s">
        <v>17404</v>
      </c>
      <c r="C897" t="s">
        <v>74</v>
      </c>
      <c r="D897" t="s">
        <v>74</v>
      </c>
      <c r="E897" t="s">
        <v>74</v>
      </c>
      <c r="F897" t="s">
        <v>17405</v>
      </c>
      <c r="G897" t="s">
        <v>74</v>
      </c>
      <c r="H897" t="s">
        <v>74</v>
      </c>
      <c r="I897" t="s">
        <v>17406</v>
      </c>
      <c r="J897" t="s">
        <v>17407</v>
      </c>
      <c r="K897" t="s">
        <v>74</v>
      </c>
      <c r="L897" t="s">
        <v>74</v>
      </c>
      <c r="M897" t="s">
        <v>78</v>
      </c>
      <c r="N897" t="s">
        <v>1074</v>
      </c>
      <c r="O897" t="s">
        <v>74</v>
      </c>
      <c r="P897" t="s">
        <v>74</v>
      </c>
      <c r="Q897" t="s">
        <v>74</v>
      </c>
      <c r="R897" t="s">
        <v>74</v>
      </c>
      <c r="S897" t="s">
        <v>74</v>
      </c>
      <c r="T897" t="s">
        <v>17408</v>
      </c>
      <c r="U897" t="s">
        <v>17409</v>
      </c>
      <c r="V897" t="s">
        <v>17410</v>
      </c>
      <c r="W897" t="s">
        <v>17411</v>
      </c>
      <c r="X897" t="s">
        <v>17412</v>
      </c>
      <c r="Y897" t="s">
        <v>17413</v>
      </c>
      <c r="Z897" t="s">
        <v>17414</v>
      </c>
      <c r="AA897" t="s">
        <v>17415</v>
      </c>
      <c r="AB897" t="s">
        <v>74</v>
      </c>
      <c r="AC897" t="s">
        <v>17416</v>
      </c>
      <c r="AD897" t="s">
        <v>17416</v>
      </c>
      <c r="AE897" t="s">
        <v>17417</v>
      </c>
      <c r="AF897" t="s">
        <v>74</v>
      </c>
      <c r="AG897">
        <v>124</v>
      </c>
      <c r="AH897">
        <v>9</v>
      </c>
      <c r="AI897">
        <v>9</v>
      </c>
      <c r="AJ897">
        <v>7</v>
      </c>
      <c r="AK897">
        <v>42</v>
      </c>
      <c r="AL897" t="s">
        <v>17418</v>
      </c>
      <c r="AM897" t="s">
        <v>604</v>
      </c>
      <c r="AN897" t="s">
        <v>17419</v>
      </c>
      <c r="AO897" t="s">
        <v>17420</v>
      </c>
      <c r="AP897" t="s">
        <v>17421</v>
      </c>
      <c r="AQ897" t="s">
        <v>74</v>
      </c>
      <c r="AR897" t="s">
        <v>17422</v>
      </c>
      <c r="AS897" t="s">
        <v>17423</v>
      </c>
      <c r="AT897" t="s">
        <v>1091</v>
      </c>
      <c r="AU897">
        <v>2021</v>
      </c>
      <c r="AV897">
        <v>215</v>
      </c>
      <c r="AW897" t="s">
        <v>74</v>
      </c>
      <c r="AX897" t="s">
        <v>74</v>
      </c>
      <c r="AY897" t="s">
        <v>74</v>
      </c>
      <c r="AZ897" t="s">
        <v>74</v>
      </c>
      <c r="BA897" t="s">
        <v>74</v>
      </c>
      <c r="BB897" t="s">
        <v>74</v>
      </c>
      <c r="BC897" t="s">
        <v>74</v>
      </c>
      <c r="BD897">
        <v>112113</v>
      </c>
      <c r="BE897" t="s">
        <v>17424</v>
      </c>
      <c r="BF897" t="str">
        <f>HYPERLINK("http://dx.doi.org/10.1016/j.jphotobiol.2020.112113","http://dx.doi.org/10.1016/j.jphotobiol.2020.112113")</f>
        <v>http://dx.doi.org/10.1016/j.jphotobiol.2020.112113</v>
      </c>
      <c r="BG897" t="s">
        <v>74</v>
      </c>
      <c r="BH897" t="s">
        <v>74</v>
      </c>
      <c r="BI897">
        <v>10</v>
      </c>
      <c r="BJ897" t="s">
        <v>7314</v>
      </c>
      <c r="BK897" t="s">
        <v>101</v>
      </c>
      <c r="BL897" t="s">
        <v>7314</v>
      </c>
      <c r="BM897" t="s">
        <v>17425</v>
      </c>
      <c r="BN897">
        <v>33383556</v>
      </c>
      <c r="BO897" t="s">
        <v>74</v>
      </c>
      <c r="BP897" t="s">
        <v>74</v>
      </c>
      <c r="BQ897" t="s">
        <v>74</v>
      </c>
      <c r="BR897" t="s">
        <v>104</v>
      </c>
      <c r="BS897" t="s">
        <v>17426</v>
      </c>
      <c r="BT897" t="str">
        <f>HYPERLINK("https%3A%2F%2Fwww.webofscience.com%2Fwos%2Fwoscc%2Ffull-record%2FWOS:000618601100004","View Full Record in Web of Science")</f>
        <v>View Full Record in Web of Science</v>
      </c>
    </row>
    <row r="898" spans="1:72" x14ac:dyDescent="0.15">
      <c r="A898" t="s">
        <v>72</v>
      </c>
      <c r="B898" t="s">
        <v>17427</v>
      </c>
      <c r="C898" t="s">
        <v>74</v>
      </c>
      <c r="D898" t="s">
        <v>74</v>
      </c>
      <c r="E898" t="s">
        <v>74</v>
      </c>
      <c r="F898" t="s">
        <v>17428</v>
      </c>
      <c r="G898" t="s">
        <v>74</v>
      </c>
      <c r="H898" t="s">
        <v>74</v>
      </c>
      <c r="I898" t="s">
        <v>17429</v>
      </c>
      <c r="J898" t="s">
        <v>109</v>
      </c>
      <c r="K898" t="s">
        <v>74</v>
      </c>
      <c r="L898" t="s">
        <v>74</v>
      </c>
      <c r="M898" t="s">
        <v>78</v>
      </c>
      <c r="N898" t="s">
        <v>79</v>
      </c>
      <c r="O898" t="s">
        <v>74</v>
      </c>
      <c r="P898" t="s">
        <v>74</v>
      </c>
      <c r="Q898" t="s">
        <v>74</v>
      </c>
      <c r="R898" t="s">
        <v>74</v>
      </c>
      <c r="S898" t="s">
        <v>74</v>
      </c>
      <c r="T898" t="s">
        <v>17430</v>
      </c>
      <c r="U898" t="s">
        <v>17431</v>
      </c>
      <c r="V898" t="s">
        <v>17432</v>
      </c>
      <c r="W898" t="s">
        <v>17433</v>
      </c>
      <c r="X898" t="s">
        <v>17434</v>
      </c>
      <c r="Y898" t="s">
        <v>17435</v>
      </c>
      <c r="Z898" t="s">
        <v>17436</v>
      </c>
      <c r="AA898" t="s">
        <v>17437</v>
      </c>
      <c r="AB898" t="s">
        <v>17438</v>
      </c>
      <c r="AC898" t="s">
        <v>17439</v>
      </c>
      <c r="AD898" t="s">
        <v>17440</v>
      </c>
      <c r="AE898" t="s">
        <v>17441</v>
      </c>
      <c r="AF898" t="s">
        <v>74</v>
      </c>
      <c r="AG898">
        <v>123</v>
      </c>
      <c r="AH898">
        <v>20</v>
      </c>
      <c r="AI898">
        <v>21</v>
      </c>
      <c r="AJ898">
        <v>0</v>
      </c>
      <c r="AK898">
        <v>9</v>
      </c>
      <c r="AL898" t="s">
        <v>120</v>
      </c>
      <c r="AM898" t="s">
        <v>121</v>
      </c>
      <c r="AN898" t="s">
        <v>363</v>
      </c>
      <c r="AO898" t="s">
        <v>123</v>
      </c>
      <c r="AP898" t="s">
        <v>124</v>
      </c>
      <c r="AQ898" t="s">
        <v>74</v>
      </c>
      <c r="AR898" t="s">
        <v>125</v>
      </c>
      <c r="AS898" t="s">
        <v>126</v>
      </c>
      <c r="AT898" t="s">
        <v>1091</v>
      </c>
      <c r="AU898">
        <v>2021</v>
      </c>
      <c r="AV898">
        <v>34</v>
      </c>
      <c r="AW898">
        <v>3</v>
      </c>
      <c r="AX898" t="s">
        <v>74</v>
      </c>
      <c r="AY898" t="s">
        <v>74</v>
      </c>
      <c r="AZ898" t="s">
        <v>74</v>
      </c>
      <c r="BA898" t="s">
        <v>74</v>
      </c>
      <c r="BB898">
        <v>883</v>
      </c>
      <c r="BC898">
        <v>899</v>
      </c>
      <c r="BD898" t="s">
        <v>74</v>
      </c>
      <c r="BE898" t="s">
        <v>17442</v>
      </c>
      <c r="BF898" t="str">
        <f>HYPERLINK("http://dx.doi.org/10.1175/JCLI-D-20-0297.1","http://dx.doi.org/10.1175/JCLI-D-20-0297.1")</f>
        <v>http://dx.doi.org/10.1175/JCLI-D-20-0297.1</v>
      </c>
      <c r="BG898" t="s">
        <v>74</v>
      </c>
      <c r="BH898" t="s">
        <v>74</v>
      </c>
      <c r="BI898">
        <v>17</v>
      </c>
      <c r="BJ898" t="s">
        <v>129</v>
      </c>
      <c r="BK898" t="s">
        <v>101</v>
      </c>
      <c r="BL898" t="s">
        <v>129</v>
      </c>
      <c r="BM898" t="s">
        <v>17443</v>
      </c>
      <c r="BN898" t="s">
        <v>74</v>
      </c>
      <c r="BO898" t="s">
        <v>10496</v>
      </c>
      <c r="BP898" t="s">
        <v>74</v>
      </c>
      <c r="BQ898" t="s">
        <v>74</v>
      </c>
      <c r="BR898" t="s">
        <v>104</v>
      </c>
      <c r="BS898" t="s">
        <v>17444</v>
      </c>
      <c r="BT898" t="str">
        <f>HYPERLINK("https%3A%2F%2Fwww.webofscience.com%2Fwos%2Fwoscc%2Ffull-record%2FWOS:000615485100003","View Full Record in Web of Science")</f>
        <v>View Full Record in Web of Science</v>
      </c>
    </row>
    <row r="899" spans="1:72" x14ac:dyDescent="0.15">
      <c r="A899" t="s">
        <v>72</v>
      </c>
      <c r="B899" t="s">
        <v>17445</v>
      </c>
      <c r="C899" t="s">
        <v>74</v>
      </c>
      <c r="D899" t="s">
        <v>74</v>
      </c>
      <c r="E899" t="s">
        <v>74</v>
      </c>
      <c r="F899" t="s">
        <v>17446</v>
      </c>
      <c r="G899" t="s">
        <v>74</v>
      </c>
      <c r="H899" t="s">
        <v>74</v>
      </c>
      <c r="I899" t="s">
        <v>17447</v>
      </c>
      <c r="J899" t="s">
        <v>109</v>
      </c>
      <c r="K899" t="s">
        <v>74</v>
      </c>
      <c r="L899" t="s">
        <v>74</v>
      </c>
      <c r="M899" t="s">
        <v>78</v>
      </c>
      <c r="N899" t="s">
        <v>79</v>
      </c>
      <c r="O899" t="s">
        <v>74</v>
      </c>
      <c r="P899" t="s">
        <v>74</v>
      </c>
      <c r="Q899" t="s">
        <v>74</v>
      </c>
      <c r="R899" t="s">
        <v>74</v>
      </c>
      <c r="S899" t="s">
        <v>74</v>
      </c>
      <c r="T899" t="s">
        <v>17448</v>
      </c>
      <c r="U899" t="s">
        <v>74</v>
      </c>
      <c r="V899" t="s">
        <v>17449</v>
      </c>
      <c r="W899" t="s">
        <v>17450</v>
      </c>
      <c r="X899" t="s">
        <v>17451</v>
      </c>
      <c r="Y899" t="s">
        <v>17452</v>
      </c>
      <c r="Z899" t="s">
        <v>17453</v>
      </c>
      <c r="AA899" t="s">
        <v>17454</v>
      </c>
      <c r="AB899" t="s">
        <v>17455</v>
      </c>
      <c r="AC899" t="s">
        <v>17456</v>
      </c>
      <c r="AD899" t="s">
        <v>17457</v>
      </c>
      <c r="AE899" t="s">
        <v>17458</v>
      </c>
      <c r="AF899" t="s">
        <v>74</v>
      </c>
      <c r="AG899">
        <v>56</v>
      </c>
      <c r="AH899">
        <v>41</v>
      </c>
      <c r="AI899">
        <v>43</v>
      </c>
      <c r="AJ899">
        <v>2</v>
      </c>
      <c r="AK899">
        <v>19</v>
      </c>
      <c r="AL899" t="s">
        <v>120</v>
      </c>
      <c r="AM899" t="s">
        <v>121</v>
      </c>
      <c r="AN899" t="s">
        <v>122</v>
      </c>
      <c r="AO899" t="s">
        <v>123</v>
      </c>
      <c r="AP899" t="s">
        <v>124</v>
      </c>
      <c r="AQ899" t="s">
        <v>74</v>
      </c>
      <c r="AR899" t="s">
        <v>125</v>
      </c>
      <c r="AS899" t="s">
        <v>126</v>
      </c>
      <c r="AT899" t="s">
        <v>1091</v>
      </c>
      <c r="AU899">
        <v>2021</v>
      </c>
      <c r="AV899">
        <v>34</v>
      </c>
      <c r="AW899">
        <v>3</v>
      </c>
      <c r="AX899" t="s">
        <v>74</v>
      </c>
      <c r="AY899" t="s">
        <v>74</v>
      </c>
      <c r="AZ899" t="s">
        <v>74</v>
      </c>
      <c r="BA899" t="s">
        <v>74</v>
      </c>
      <c r="BB899">
        <v>949</v>
      </c>
      <c r="BC899">
        <v>965</v>
      </c>
      <c r="BD899" t="s">
        <v>74</v>
      </c>
      <c r="BE899" t="s">
        <v>17459</v>
      </c>
      <c r="BF899" t="str">
        <f>HYPERLINK("http://dx.doi.org/10.1175/JCLI-D-20-0386.1","http://dx.doi.org/10.1175/JCLI-D-20-0386.1")</f>
        <v>http://dx.doi.org/10.1175/JCLI-D-20-0386.1</v>
      </c>
      <c r="BG899" t="s">
        <v>74</v>
      </c>
      <c r="BH899" t="s">
        <v>74</v>
      </c>
      <c r="BI899">
        <v>17</v>
      </c>
      <c r="BJ899" t="s">
        <v>129</v>
      </c>
      <c r="BK899" t="s">
        <v>101</v>
      </c>
      <c r="BL899" t="s">
        <v>129</v>
      </c>
      <c r="BM899" t="s">
        <v>17443</v>
      </c>
      <c r="BN899" t="s">
        <v>74</v>
      </c>
      <c r="BO899" t="s">
        <v>148</v>
      </c>
      <c r="BP899" t="s">
        <v>74</v>
      </c>
      <c r="BQ899" t="s">
        <v>74</v>
      </c>
      <c r="BR899" t="s">
        <v>104</v>
      </c>
      <c r="BS899" t="s">
        <v>17460</v>
      </c>
      <c r="BT899" t="str">
        <f>HYPERLINK("https%3A%2F%2Fwww.webofscience.com%2Fwos%2Fwoscc%2Ffull-record%2FWOS:000615485100007","View Full Record in Web of Science")</f>
        <v>View Full Record in Web of Science</v>
      </c>
    </row>
    <row r="900" spans="1:72" x14ac:dyDescent="0.15">
      <c r="A900" t="s">
        <v>72</v>
      </c>
      <c r="B900" t="s">
        <v>17461</v>
      </c>
      <c r="C900" t="s">
        <v>74</v>
      </c>
      <c r="D900" t="s">
        <v>74</v>
      </c>
      <c r="E900" t="s">
        <v>74</v>
      </c>
      <c r="F900" t="s">
        <v>17462</v>
      </c>
      <c r="G900" t="s">
        <v>74</v>
      </c>
      <c r="H900" t="s">
        <v>74</v>
      </c>
      <c r="I900" t="s">
        <v>17463</v>
      </c>
      <c r="J900" t="s">
        <v>109</v>
      </c>
      <c r="K900" t="s">
        <v>74</v>
      </c>
      <c r="L900" t="s">
        <v>74</v>
      </c>
      <c r="M900" t="s">
        <v>78</v>
      </c>
      <c r="N900" t="s">
        <v>79</v>
      </c>
      <c r="O900" t="s">
        <v>74</v>
      </c>
      <c r="P900" t="s">
        <v>74</v>
      </c>
      <c r="Q900" t="s">
        <v>74</v>
      </c>
      <c r="R900" t="s">
        <v>74</v>
      </c>
      <c r="S900" t="s">
        <v>74</v>
      </c>
      <c r="T900" t="s">
        <v>17464</v>
      </c>
      <c r="U900" t="s">
        <v>17465</v>
      </c>
      <c r="V900" t="s">
        <v>17466</v>
      </c>
      <c r="W900" t="s">
        <v>17467</v>
      </c>
      <c r="X900" t="s">
        <v>2407</v>
      </c>
      <c r="Y900" t="s">
        <v>17468</v>
      </c>
      <c r="Z900" t="s">
        <v>17469</v>
      </c>
      <c r="AA900" t="s">
        <v>74</v>
      </c>
      <c r="AB900" t="s">
        <v>74</v>
      </c>
      <c r="AC900" t="s">
        <v>17470</v>
      </c>
      <c r="AD900" t="s">
        <v>17471</v>
      </c>
      <c r="AE900" t="s">
        <v>17472</v>
      </c>
      <c r="AF900" t="s">
        <v>74</v>
      </c>
      <c r="AG900">
        <v>68</v>
      </c>
      <c r="AH900">
        <v>7</v>
      </c>
      <c r="AI900">
        <v>7</v>
      </c>
      <c r="AJ900">
        <v>1</v>
      </c>
      <c r="AK900">
        <v>26</v>
      </c>
      <c r="AL900" t="s">
        <v>120</v>
      </c>
      <c r="AM900" t="s">
        <v>121</v>
      </c>
      <c r="AN900" t="s">
        <v>363</v>
      </c>
      <c r="AO900" t="s">
        <v>123</v>
      </c>
      <c r="AP900" t="s">
        <v>124</v>
      </c>
      <c r="AQ900" t="s">
        <v>74</v>
      </c>
      <c r="AR900" t="s">
        <v>125</v>
      </c>
      <c r="AS900" t="s">
        <v>126</v>
      </c>
      <c r="AT900" t="s">
        <v>1091</v>
      </c>
      <c r="AU900">
        <v>2021</v>
      </c>
      <c r="AV900">
        <v>34</v>
      </c>
      <c r="AW900">
        <v>3</v>
      </c>
      <c r="AX900" t="s">
        <v>74</v>
      </c>
      <c r="AY900" t="s">
        <v>74</v>
      </c>
      <c r="AZ900" t="s">
        <v>74</v>
      </c>
      <c r="BA900" t="s">
        <v>74</v>
      </c>
      <c r="BB900">
        <v>1005</v>
      </c>
      <c r="BC900">
        <v>1021</v>
      </c>
      <c r="BD900" t="s">
        <v>74</v>
      </c>
      <c r="BE900" t="s">
        <v>17473</v>
      </c>
      <c r="BF900" t="str">
        <f>HYPERLINK("http://dx.doi.org/10.1175/JCLI-D-20-0566.1","http://dx.doi.org/10.1175/JCLI-D-20-0566.1")</f>
        <v>http://dx.doi.org/10.1175/JCLI-D-20-0566.1</v>
      </c>
      <c r="BG900" t="s">
        <v>74</v>
      </c>
      <c r="BH900" t="s">
        <v>74</v>
      </c>
      <c r="BI900">
        <v>17</v>
      </c>
      <c r="BJ900" t="s">
        <v>129</v>
      </c>
      <c r="BK900" t="s">
        <v>101</v>
      </c>
      <c r="BL900" t="s">
        <v>129</v>
      </c>
      <c r="BM900" t="s">
        <v>17443</v>
      </c>
      <c r="BN900" t="s">
        <v>74</v>
      </c>
      <c r="BO900" t="s">
        <v>1068</v>
      </c>
      <c r="BP900" t="s">
        <v>74</v>
      </c>
      <c r="BQ900" t="s">
        <v>74</v>
      </c>
      <c r="BR900" t="s">
        <v>104</v>
      </c>
      <c r="BS900" t="s">
        <v>17474</v>
      </c>
      <c r="BT900" t="str">
        <f>HYPERLINK("https%3A%2F%2Fwww.webofscience.com%2Fwos%2Fwoscc%2Ffull-record%2FWOS:000615485100010","View Full Record in Web of Science")</f>
        <v>View Full Record in Web of Science</v>
      </c>
    </row>
    <row r="901" spans="1:72" x14ac:dyDescent="0.15">
      <c r="A901" t="s">
        <v>72</v>
      </c>
      <c r="B901" t="s">
        <v>17475</v>
      </c>
      <c r="C901" t="s">
        <v>74</v>
      </c>
      <c r="D901" t="s">
        <v>74</v>
      </c>
      <c r="E901" t="s">
        <v>74</v>
      </c>
      <c r="F901" t="s">
        <v>17476</v>
      </c>
      <c r="G901" t="s">
        <v>74</v>
      </c>
      <c r="H901" t="s">
        <v>74</v>
      </c>
      <c r="I901" t="s">
        <v>17477</v>
      </c>
      <c r="J901" t="s">
        <v>2119</v>
      </c>
      <c r="K901" t="s">
        <v>74</v>
      </c>
      <c r="L901" t="s">
        <v>74</v>
      </c>
      <c r="M901" t="s">
        <v>78</v>
      </c>
      <c r="N901" t="s">
        <v>1074</v>
      </c>
      <c r="O901" t="s">
        <v>74</v>
      </c>
      <c r="P901" t="s">
        <v>74</v>
      </c>
      <c r="Q901" t="s">
        <v>74</v>
      </c>
      <c r="R901" t="s">
        <v>74</v>
      </c>
      <c r="S901" t="s">
        <v>74</v>
      </c>
      <c r="T901" t="s">
        <v>17478</v>
      </c>
      <c r="U901" t="s">
        <v>17479</v>
      </c>
      <c r="V901" t="s">
        <v>17480</v>
      </c>
      <c r="W901" t="s">
        <v>17481</v>
      </c>
      <c r="X901" t="s">
        <v>17482</v>
      </c>
      <c r="Y901" t="s">
        <v>17483</v>
      </c>
      <c r="Z901" t="s">
        <v>17484</v>
      </c>
      <c r="AA901" t="s">
        <v>17485</v>
      </c>
      <c r="AB901" t="s">
        <v>17486</v>
      </c>
      <c r="AC901" t="s">
        <v>17487</v>
      </c>
      <c r="AD901" t="s">
        <v>17488</v>
      </c>
      <c r="AE901" t="s">
        <v>17489</v>
      </c>
      <c r="AF901" t="s">
        <v>74</v>
      </c>
      <c r="AG901">
        <v>41</v>
      </c>
      <c r="AH901">
        <v>7</v>
      </c>
      <c r="AI901">
        <v>8</v>
      </c>
      <c r="AJ901">
        <v>1</v>
      </c>
      <c r="AK901">
        <v>5</v>
      </c>
      <c r="AL901" t="s">
        <v>1058</v>
      </c>
      <c r="AM901" t="s">
        <v>891</v>
      </c>
      <c r="AN901" t="s">
        <v>1059</v>
      </c>
      <c r="AO901" t="s">
        <v>2129</v>
      </c>
      <c r="AP901" t="s">
        <v>2130</v>
      </c>
      <c r="AQ901" t="s">
        <v>74</v>
      </c>
      <c r="AR901" t="s">
        <v>2131</v>
      </c>
      <c r="AS901" t="s">
        <v>2132</v>
      </c>
      <c r="AT901" t="s">
        <v>1091</v>
      </c>
      <c r="AU901">
        <v>2021</v>
      </c>
      <c r="AV901">
        <v>191</v>
      </c>
      <c r="AW901" t="s">
        <v>74</v>
      </c>
      <c r="AX901" t="s">
        <v>74</v>
      </c>
      <c r="AY901" t="s">
        <v>74</v>
      </c>
      <c r="AZ901" t="s">
        <v>74</v>
      </c>
      <c r="BA901" t="s">
        <v>74</v>
      </c>
      <c r="BB901" t="s">
        <v>74</v>
      </c>
      <c r="BC901" t="s">
        <v>74</v>
      </c>
      <c r="BD901">
        <v>102495</v>
      </c>
      <c r="BE901" t="s">
        <v>17490</v>
      </c>
      <c r="BF901" t="str">
        <f>HYPERLINK("http://dx.doi.org/10.1016/j.pocean.2020.102495","http://dx.doi.org/10.1016/j.pocean.2020.102495")</f>
        <v>http://dx.doi.org/10.1016/j.pocean.2020.102495</v>
      </c>
      <c r="BG901" t="s">
        <v>74</v>
      </c>
      <c r="BH901" t="s">
        <v>74</v>
      </c>
      <c r="BI901">
        <v>13</v>
      </c>
      <c r="BJ901" t="s">
        <v>369</v>
      </c>
      <c r="BK901" t="s">
        <v>101</v>
      </c>
      <c r="BL901" t="s">
        <v>369</v>
      </c>
      <c r="BM901" t="s">
        <v>17491</v>
      </c>
      <c r="BN901" t="s">
        <v>74</v>
      </c>
      <c r="BO901" t="s">
        <v>712</v>
      </c>
      <c r="BP901" t="s">
        <v>74</v>
      </c>
      <c r="BQ901" t="s">
        <v>74</v>
      </c>
      <c r="BR901" t="s">
        <v>104</v>
      </c>
      <c r="BS901" t="s">
        <v>17492</v>
      </c>
      <c r="BT901" t="str">
        <f>HYPERLINK("https%3A%2F%2Fwww.webofscience.com%2Fwos%2Fwoscc%2Ffull-record%2FWOS:000618567600005","View Full Record in Web of Science")</f>
        <v>View Full Record in Web of Science</v>
      </c>
    </row>
    <row r="902" spans="1:72" x14ac:dyDescent="0.15">
      <c r="A902" t="s">
        <v>72</v>
      </c>
      <c r="B902" t="s">
        <v>17493</v>
      </c>
      <c r="C902" t="s">
        <v>74</v>
      </c>
      <c r="D902" t="s">
        <v>74</v>
      </c>
      <c r="E902" t="s">
        <v>74</v>
      </c>
      <c r="F902" t="s">
        <v>17494</v>
      </c>
      <c r="G902" t="s">
        <v>74</v>
      </c>
      <c r="H902" t="s">
        <v>74</v>
      </c>
      <c r="I902" t="s">
        <v>17495</v>
      </c>
      <c r="J902" t="s">
        <v>17496</v>
      </c>
      <c r="K902" t="s">
        <v>74</v>
      </c>
      <c r="L902" t="s">
        <v>74</v>
      </c>
      <c r="M902" t="s">
        <v>78</v>
      </c>
      <c r="N902" t="s">
        <v>1074</v>
      </c>
      <c r="O902" t="s">
        <v>74</v>
      </c>
      <c r="P902" t="s">
        <v>74</v>
      </c>
      <c r="Q902" t="s">
        <v>74</v>
      </c>
      <c r="R902" t="s">
        <v>74</v>
      </c>
      <c r="S902" t="s">
        <v>74</v>
      </c>
      <c r="T902" t="s">
        <v>17497</v>
      </c>
      <c r="U902" t="s">
        <v>17498</v>
      </c>
      <c r="V902" t="s">
        <v>17499</v>
      </c>
      <c r="W902" t="s">
        <v>17500</v>
      </c>
      <c r="X902" t="s">
        <v>17501</v>
      </c>
      <c r="Y902" t="s">
        <v>17502</v>
      </c>
      <c r="Z902" t="s">
        <v>17503</v>
      </c>
      <c r="AA902" t="s">
        <v>17504</v>
      </c>
      <c r="AB902" t="s">
        <v>17505</v>
      </c>
      <c r="AC902" t="s">
        <v>17506</v>
      </c>
      <c r="AD902" t="s">
        <v>17507</v>
      </c>
      <c r="AE902" t="s">
        <v>17508</v>
      </c>
      <c r="AF902" t="s">
        <v>74</v>
      </c>
      <c r="AG902">
        <v>71</v>
      </c>
      <c r="AH902">
        <v>15</v>
      </c>
      <c r="AI902">
        <v>15</v>
      </c>
      <c r="AJ902">
        <v>4</v>
      </c>
      <c r="AK902">
        <v>25</v>
      </c>
      <c r="AL902" t="s">
        <v>335</v>
      </c>
      <c r="AM902" t="s">
        <v>336</v>
      </c>
      <c r="AN902" t="s">
        <v>337</v>
      </c>
      <c r="AO902" t="s">
        <v>74</v>
      </c>
      <c r="AP902" t="s">
        <v>17509</v>
      </c>
      <c r="AQ902" t="s">
        <v>74</v>
      </c>
      <c r="AR902" t="s">
        <v>17510</v>
      </c>
      <c r="AS902" t="s">
        <v>17511</v>
      </c>
      <c r="AT902" t="s">
        <v>1091</v>
      </c>
      <c r="AU902">
        <v>2021</v>
      </c>
      <c r="AV902">
        <v>11</v>
      </c>
      <c r="AW902">
        <v>3</v>
      </c>
      <c r="AX902" t="s">
        <v>74</v>
      </c>
      <c r="AY902" t="s">
        <v>74</v>
      </c>
      <c r="AZ902" t="s">
        <v>74</v>
      </c>
      <c r="BA902" t="s">
        <v>74</v>
      </c>
      <c r="BB902" t="s">
        <v>74</v>
      </c>
      <c r="BC902" t="s">
        <v>74</v>
      </c>
      <c r="BD902">
        <v>1123</v>
      </c>
      <c r="BE902" t="s">
        <v>17512</v>
      </c>
      <c r="BF902" t="str">
        <f>HYPERLINK("http://dx.doi.org/10.3390/app11031123","http://dx.doi.org/10.3390/app11031123")</f>
        <v>http://dx.doi.org/10.3390/app11031123</v>
      </c>
      <c r="BG902" t="s">
        <v>74</v>
      </c>
      <c r="BH902" t="s">
        <v>74</v>
      </c>
      <c r="BI902">
        <v>13</v>
      </c>
      <c r="BJ902" t="s">
        <v>17513</v>
      </c>
      <c r="BK902" t="s">
        <v>101</v>
      </c>
      <c r="BL902" t="s">
        <v>17514</v>
      </c>
      <c r="BM902" t="s">
        <v>17515</v>
      </c>
      <c r="BN902" t="s">
        <v>74</v>
      </c>
      <c r="BO902" t="s">
        <v>558</v>
      </c>
      <c r="BP902" t="s">
        <v>74</v>
      </c>
      <c r="BQ902" t="s">
        <v>74</v>
      </c>
      <c r="BR902" t="s">
        <v>104</v>
      </c>
      <c r="BS902" t="s">
        <v>17516</v>
      </c>
      <c r="BT902" t="str">
        <f>HYPERLINK("https%3A%2F%2Fwww.webofscience.com%2Fwos%2Fwoscc%2Ffull-record%2FWOS:000615007900001","View Full Record in Web of Science")</f>
        <v>View Full Record in Web of Science</v>
      </c>
    </row>
    <row r="903" spans="1:72" x14ac:dyDescent="0.15">
      <c r="A903" t="s">
        <v>72</v>
      </c>
      <c r="B903" t="s">
        <v>17517</v>
      </c>
      <c r="C903" t="s">
        <v>74</v>
      </c>
      <c r="D903" t="s">
        <v>74</v>
      </c>
      <c r="E903" t="s">
        <v>74</v>
      </c>
      <c r="F903" t="s">
        <v>17518</v>
      </c>
      <c r="G903" t="s">
        <v>74</v>
      </c>
      <c r="H903" t="s">
        <v>74</v>
      </c>
      <c r="I903" t="s">
        <v>17519</v>
      </c>
      <c r="J903" t="s">
        <v>425</v>
      </c>
      <c r="K903" t="s">
        <v>74</v>
      </c>
      <c r="L903" t="s">
        <v>74</v>
      </c>
      <c r="M903" t="s">
        <v>78</v>
      </c>
      <c r="N903" t="s">
        <v>79</v>
      </c>
      <c r="O903" t="s">
        <v>74</v>
      </c>
      <c r="P903" t="s">
        <v>74</v>
      </c>
      <c r="Q903" t="s">
        <v>74</v>
      </c>
      <c r="R903" t="s">
        <v>74</v>
      </c>
      <c r="S903" t="s">
        <v>74</v>
      </c>
      <c r="T903" t="s">
        <v>17520</v>
      </c>
      <c r="U903" t="s">
        <v>17521</v>
      </c>
      <c r="V903" t="s">
        <v>17522</v>
      </c>
      <c r="W903" t="s">
        <v>17523</v>
      </c>
      <c r="X903" t="s">
        <v>17524</v>
      </c>
      <c r="Y903" t="s">
        <v>17525</v>
      </c>
      <c r="Z903" t="s">
        <v>17526</v>
      </c>
      <c r="AA903" t="s">
        <v>17527</v>
      </c>
      <c r="AB903" t="s">
        <v>17528</v>
      </c>
      <c r="AC903" t="s">
        <v>17529</v>
      </c>
      <c r="AD903" t="s">
        <v>17530</v>
      </c>
      <c r="AE903" t="s">
        <v>17531</v>
      </c>
      <c r="AF903" t="s">
        <v>74</v>
      </c>
      <c r="AG903">
        <v>44</v>
      </c>
      <c r="AH903">
        <v>4</v>
      </c>
      <c r="AI903">
        <v>5</v>
      </c>
      <c r="AJ903">
        <v>3</v>
      </c>
      <c r="AK903">
        <v>16</v>
      </c>
      <c r="AL903" t="s">
        <v>335</v>
      </c>
      <c r="AM903" t="s">
        <v>336</v>
      </c>
      <c r="AN903" t="s">
        <v>337</v>
      </c>
      <c r="AO903" t="s">
        <v>74</v>
      </c>
      <c r="AP903" t="s">
        <v>438</v>
      </c>
      <c r="AQ903" t="s">
        <v>74</v>
      </c>
      <c r="AR903" t="s">
        <v>439</v>
      </c>
      <c r="AS903" t="s">
        <v>440</v>
      </c>
      <c r="AT903" t="s">
        <v>1091</v>
      </c>
      <c r="AU903">
        <v>2021</v>
      </c>
      <c r="AV903">
        <v>13</v>
      </c>
      <c r="AW903">
        <v>3</v>
      </c>
      <c r="AX903" t="s">
        <v>74</v>
      </c>
      <c r="AY903" t="s">
        <v>74</v>
      </c>
      <c r="AZ903" t="s">
        <v>74</v>
      </c>
      <c r="BA903" t="s">
        <v>74</v>
      </c>
      <c r="BB903" t="s">
        <v>74</v>
      </c>
      <c r="BC903" t="s">
        <v>74</v>
      </c>
      <c r="BD903">
        <v>430</v>
      </c>
      <c r="BE903" t="s">
        <v>17532</v>
      </c>
      <c r="BF903" t="str">
        <f>HYPERLINK("http://dx.doi.org/10.3390/rs13030430","http://dx.doi.org/10.3390/rs13030430")</f>
        <v>http://dx.doi.org/10.3390/rs13030430</v>
      </c>
      <c r="BG903" t="s">
        <v>74</v>
      </c>
      <c r="BH903" t="s">
        <v>74</v>
      </c>
      <c r="BI903">
        <v>17</v>
      </c>
      <c r="BJ903" t="s">
        <v>442</v>
      </c>
      <c r="BK903" t="s">
        <v>101</v>
      </c>
      <c r="BL903" t="s">
        <v>443</v>
      </c>
      <c r="BM903" t="s">
        <v>17533</v>
      </c>
      <c r="BN903" t="s">
        <v>74</v>
      </c>
      <c r="BO903" t="s">
        <v>558</v>
      </c>
      <c r="BP903" t="s">
        <v>74</v>
      </c>
      <c r="BQ903" t="s">
        <v>74</v>
      </c>
      <c r="BR903" t="s">
        <v>104</v>
      </c>
      <c r="BS903" t="s">
        <v>17534</v>
      </c>
      <c r="BT903" t="str">
        <f>HYPERLINK("https%3A%2F%2Fwww.webofscience.com%2Fwos%2Fwoscc%2Ffull-record%2FWOS:000615475400001","View Full Record in Web of Science")</f>
        <v>View Full Record in Web of Science</v>
      </c>
    </row>
    <row r="904" spans="1:72" x14ac:dyDescent="0.15">
      <c r="A904" t="s">
        <v>72</v>
      </c>
      <c r="B904" t="s">
        <v>17535</v>
      </c>
      <c r="C904" t="s">
        <v>74</v>
      </c>
      <c r="D904" t="s">
        <v>74</v>
      </c>
      <c r="E904" t="s">
        <v>74</v>
      </c>
      <c r="F904" t="s">
        <v>17536</v>
      </c>
      <c r="G904" t="s">
        <v>74</v>
      </c>
      <c r="H904" t="s">
        <v>74</v>
      </c>
      <c r="I904" t="s">
        <v>17537</v>
      </c>
      <c r="J904" t="s">
        <v>425</v>
      </c>
      <c r="K904" t="s">
        <v>74</v>
      </c>
      <c r="L904" t="s">
        <v>74</v>
      </c>
      <c r="M904" t="s">
        <v>78</v>
      </c>
      <c r="N904" t="s">
        <v>79</v>
      </c>
      <c r="O904" t="s">
        <v>74</v>
      </c>
      <c r="P904" t="s">
        <v>74</v>
      </c>
      <c r="Q904" t="s">
        <v>74</v>
      </c>
      <c r="R904" t="s">
        <v>74</v>
      </c>
      <c r="S904" t="s">
        <v>74</v>
      </c>
      <c r="T904" t="s">
        <v>17538</v>
      </c>
      <c r="U904" t="s">
        <v>74</v>
      </c>
      <c r="V904" t="s">
        <v>17539</v>
      </c>
      <c r="W904" t="s">
        <v>17540</v>
      </c>
      <c r="X904" t="s">
        <v>17541</v>
      </c>
      <c r="Y904" t="s">
        <v>17542</v>
      </c>
      <c r="Z904" t="s">
        <v>17543</v>
      </c>
      <c r="AA904" t="s">
        <v>17544</v>
      </c>
      <c r="AB904" t="s">
        <v>17545</v>
      </c>
      <c r="AC904" t="s">
        <v>17546</v>
      </c>
      <c r="AD904" t="s">
        <v>17547</v>
      </c>
      <c r="AE904" t="s">
        <v>17548</v>
      </c>
      <c r="AF904" t="s">
        <v>74</v>
      </c>
      <c r="AG904">
        <v>79</v>
      </c>
      <c r="AH904">
        <v>4</v>
      </c>
      <c r="AI904">
        <v>4</v>
      </c>
      <c r="AJ904">
        <v>0</v>
      </c>
      <c r="AK904">
        <v>5</v>
      </c>
      <c r="AL904" t="s">
        <v>335</v>
      </c>
      <c r="AM904" t="s">
        <v>336</v>
      </c>
      <c r="AN904" t="s">
        <v>337</v>
      </c>
      <c r="AO904" t="s">
        <v>74</v>
      </c>
      <c r="AP904" t="s">
        <v>438</v>
      </c>
      <c r="AQ904" t="s">
        <v>74</v>
      </c>
      <c r="AR904" t="s">
        <v>439</v>
      </c>
      <c r="AS904" t="s">
        <v>440</v>
      </c>
      <c r="AT904" t="s">
        <v>1091</v>
      </c>
      <c r="AU904">
        <v>2021</v>
      </c>
      <c r="AV904">
        <v>13</v>
      </c>
      <c r="AW904">
        <v>3</v>
      </c>
      <c r="AX904" t="s">
        <v>74</v>
      </c>
      <c r="AY904" t="s">
        <v>74</v>
      </c>
      <c r="AZ904" t="s">
        <v>74</v>
      </c>
      <c r="BA904" t="s">
        <v>74</v>
      </c>
      <c r="BB904" t="s">
        <v>74</v>
      </c>
      <c r="BC904" t="s">
        <v>74</v>
      </c>
      <c r="BD904">
        <v>518</v>
      </c>
      <c r="BE904" t="s">
        <v>17549</v>
      </c>
      <c r="BF904" t="str">
        <f>HYPERLINK("http://dx.doi.org/10.3390/rs13030518","http://dx.doi.org/10.3390/rs13030518")</f>
        <v>http://dx.doi.org/10.3390/rs13030518</v>
      </c>
      <c r="BG904" t="s">
        <v>74</v>
      </c>
      <c r="BH904" t="s">
        <v>74</v>
      </c>
      <c r="BI904">
        <v>19</v>
      </c>
      <c r="BJ904" t="s">
        <v>442</v>
      </c>
      <c r="BK904" t="s">
        <v>101</v>
      </c>
      <c r="BL904" t="s">
        <v>443</v>
      </c>
      <c r="BM904" t="s">
        <v>17550</v>
      </c>
      <c r="BN904" t="s">
        <v>74</v>
      </c>
      <c r="BO904" t="s">
        <v>298</v>
      </c>
      <c r="BP904" t="s">
        <v>74</v>
      </c>
      <c r="BQ904" t="s">
        <v>74</v>
      </c>
      <c r="BR904" t="s">
        <v>104</v>
      </c>
      <c r="BS904" t="s">
        <v>17551</v>
      </c>
      <c r="BT904" t="str">
        <f>HYPERLINK("https%3A%2F%2Fwww.webofscience.com%2Fwos%2Fwoscc%2Ffull-record%2FWOS:000615478200001","View Full Record in Web of Science")</f>
        <v>View Full Record in Web of Science</v>
      </c>
    </row>
    <row r="905" spans="1:72" x14ac:dyDescent="0.15">
      <c r="A905" t="s">
        <v>72</v>
      </c>
      <c r="B905" t="s">
        <v>17552</v>
      </c>
      <c r="C905" t="s">
        <v>74</v>
      </c>
      <c r="D905" t="s">
        <v>74</v>
      </c>
      <c r="E905" t="s">
        <v>74</v>
      </c>
      <c r="F905" t="s">
        <v>17553</v>
      </c>
      <c r="G905" t="s">
        <v>74</v>
      </c>
      <c r="H905" t="s">
        <v>74</v>
      </c>
      <c r="I905" t="s">
        <v>17554</v>
      </c>
      <c r="J905" t="s">
        <v>109</v>
      </c>
      <c r="K905" t="s">
        <v>74</v>
      </c>
      <c r="L905" t="s">
        <v>74</v>
      </c>
      <c r="M905" t="s">
        <v>78</v>
      </c>
      <c r="N905" t="s">
        <v>79</v>
      </c>
      <c r="O905" t="s">
        <v>74</v>
      </c>
      <c r="P905" t="s">
        <v>74</v>
      </c>
      <c r="Q905" t="s">
        <v>74</v>
      </c>
      <c r="R905" t="s">
        <v>74</v>
      </c>
      <c r="S905" t="s">
        <v>74</v>
      </c>
      <c r="T905" t="s">
        <v>17555</v>
      </c>
      <c r="U905" t="s">
        <v>74</v>
      </c>
      <c r="V905" t="s">
        <v>17556</v>
      </c>
      <c r="W905" t="s">
        <v>17557</v>
      </c>
      <c r="X905" t="s">
        <v>17558</v>
      </c>
      <c r="Y905" t="s">
        <v>17559</v>
      </c>
      <c r="Z905" t="s">
        <v>17560</v>
      </c>
      <c r="AA905" t="s">
        <v>17561</v>
      </c>
      <c r="AB905" t="s">
        <v>17562</v>
      </c>
      <c r="AC905" t="s">
        <v>17563</v>
      </c>
      <c r="AD905" t="s">
        <v>17564</v>
      </c>
      <c r="AE905" t="s">
        <v>17565</v>
      </c>
      <c r="AF905" t="s">
        <v>74</v>
      </c>
      <c r="AG905">
        <v>57</v>
      </c>
      <c r="AH905">
        <v>3</v>
      </c>
      <c r="AI905">
        <v>3</v>
      </c>
      <c r="AJ905">
        <v>0</v>
      </c>
      <c r="AK905">
        <v>11</v>
      </c>
      <c r="AL905" t="s">
        <v>120</v>
      </c>
      <c r="AM905" t="s">
        <v>121</v>
      </c>
      <c r="AN905" t="s">
        <v>122</v>
      </c>
      <c r="AO905" t="s">
        <v>123</v>
      </c>
      <c r="AP905" t="s">
        <v>124</v>
      </c>
      <c r="AQ905" t="s">
        <v>74</v>
      </c>
      <c r="AR905" t="s">
        <v>125</v>
      </c>
      <c r="AS905" t="s">
        <v>126</v>
      </c>
      <c r="AT905" t="s">
        <v>1091</v>
      </c>
      <c r="AU905">
        <v>2021</v>
      </c>
      <c r="AV905">
        <v>34</v>
      </c>
      <c r="AW905">
        <v>4</v>
      </c>
      <c r="AX905" t="s">
        <v>74</v>
      </c>
      <c r="AY905" t="s">
        <v>74</v>
      </c>
      <c r="AZ905" t="s">
        <v>74</v>
      </c>
      <c r="BA905" t="s">
        <v>74</v>
      </c>
      <c r="BB905">
        <v>1291</v>
      </c>
      <c r="BC905">
        <v>1303</v>
      </c>
      <c r="BD905" t="s">
        <v>74</v>
      </c>
      <c r="BE905" t="s">
        <v>17566</v>
      </c>
      <c r="BF905" t="str">
        <f>HYPERLINK("http://dx.doi.org/10.1175/JCLI-D-20-0402.1","http://dx.doi.org/10.1175/JCLI-D-20-0402.1")</f>
        <v>http://dx.doi.org/10.1175/JCLI-D-20-0402.1</v>
      </c>
      <c r="BG905" t="s">
        <v>74</v>
      </c>
      <c r="BH905" t="s">
        <v>74</v>
      </c>
      <c r="BI905">
        <v>13</v>
      </c>
      <c r="BJ905" t="s">
        <v>129</v>
      </c>
      <c r="BK905" t="s">
        <v>101</v>
      </c>
      <c r="BL905" t="s">
        <v>129</v>
      </c>
      <c r="BM905" t="s">
        <v>17567</v>
      </c>
      <c r="BN905" t="s">
        <v>74</v>
      </c>
      <c r="BO905" t="s">
        <v>10496</v>
      </c>
      <c r="BP905" t="s">
        <v>74</v>
      </c>
      <c r="BQ905" t="s">
        <v>74</v>
      </c>
      <c r="BR905" t="s">
        <v>104</v>
      </c>
      <c r="BS905" t="s">
        <v>17568</v>
      </c>
      <c r="BT905" t="str">
        <f>HYPERLINK("https%3A%2F%2Fwww.webofscience.com%2Fwos%2Fwoscc%2Ffull-record%2FWOS:000615485200004","View Full Record in Web of Science")</f>
        <v>View Full Record in Web of Science</v>
      </c>
    </row>
    <row r="906" spans="1:72" x14ac:dyDescent="0.15">
      <c r="A906" t="s">
        <v>72</v>
      </c>
      <c r="B906" t="s">
        <v>17569</v>
      </c>
      <c r="C906" t="s">
        <v>74</v>
      </c>
      <c r="D906" t="s">
        <v>74</v>
      </c>
      <c r="E906" t="s">
        <v>74</v>
      </c>
      <c r="F906" t="s">
        <v>17570</v>
      </c>
      <c r="G906" t="s">
        <v>74</v>
      </c>
      <c r="H906" t="s">
        <v>74</v>
      </c>
      <c r="I906" t="s">
        <v>17571</v>
      </c>
      <c r="J906" t="s">
        <v>109</v>
      </c>
      <c r="K906" t="s">
        <v>74</v>
      </c>
      <c r="L906" t="s">
        <v>74</v>
      </c>
      <c r="M906" t="s">
        <v>78</v>
      </c>
      <c r="N906" t="s">
        <v>79</v>
      </c>
      <c r="O906" t="s">
        <v>74</v>
      </c>
      <c r="P906" t="s">
        <v>74</v>
      </c>
      <c r="Q906" t="s">
        <v>74</v>
      </c>
      <c r="R906" t="s">
        <v>74</v>
      </c>
      <c r="S906" t="s">
        <v>74</v>
      </c>
      <c r="T906" t="s">
        <v>17572</v>
      </c>
      <c r="U906" t="s">
        <v>74</v>
      </c>
      <c r="V906" t="s">
        <v>17573</v>
      </c>
      <c r="W906" t="s">
        <v>17574</v>
      </c>
      <c r="X906" t="s">
        <v>17575</v>
      </c>
      <c r="Y906" t="s">
        <v>17576</v>
      </c>
      <c r="Z906" t="s">
        <v>17577</v>
      </c>
      <c r="AA906" t="s">
        <v>17578</v>
      </c>
      <c r="AB906" t="s">
        <v>17579</v>
      </c>
      <c r="AC906" t="s">
        <v>17580</v>
      </c>
      <c r="AD906" t="s">
        <v>17581</v>
      </c>
      <c r="AE906" t="s">
        <v>17582</v>
      </c>
      <c r="AF906" t="s">
        <v>74</v>
      </c>
      <c r="AG906">
        <v>67</v>
      </c>
      <c r="AH906">
        <v>10</v>
      </c>
      <c r="AI906">
        <v>10</v>
      </c>
      <c r="AJ906">
        <v>1</v>
      </c>
      <c r="AK906">
        <v>15</v>
      </c>
      <c r="AL906" t="s">
        <v>120</v>
      </c>
      <c r="AM906" t="s">
        <v>121</v>
      </c>
      <c r="AN906" t="s">
        <v>122</v>
      </c>
      <c r="AO906" t="s">
        <v>123</v>
      </c>
      <c r="AP906" t="s">
        <v>124</v>
      </c>
      <c r="AQ906" t="s">
        <v>74</v>
      </c>
      <c r="AR906" t="s">
        <v>125</v>
      </c>
      <c r="AS906" t="s">
        <v>126</v>
      </c>
      <c r="AT906" t="s">
        <v>1091</v>
      </c>
      <c r="AU906">
        <v>2021</v>
      </c>
      <c r="AV906">
        <v>34</v>
      </c>
      <c r="AW906">
        <v>4</v>
      </c>
      <c r="AX906" t="s">
        <v>74</v>
      </c>
      <c r="AY906" t="s">
        <v>74</v>
      </c>
      <c r="AZ906" t="s">
        <v>74</v>
      </c>
      <c r="BA906" t="s">
        <v>74</v>
      </c>
      <c r="BB906">
        <v>1403</v>
      </c>
      <c r="BC906">
        <v>1415</v>
      </c>
      <c r="BD906" t="s">
        <v>74</v>
      </c>
      <c r="BE906" t="s">
        <v>17583</v>
      </c>
      <c r="BF906" t="str">
        <f>HYPERLINK("http://dx.doi.org/10.1175/JCLI-D-20-0322.1","http://dx.doi.org/10.1175/JCLI-D-20-0322.1")</f>
        <v>http://dx.doi.org/10.1175/JCLI-D-20-0322.1</v>
      </c>
      <c r="BG906" t="s">
        <v>74</v>
      </c>
      <c r="BH906" t="s">
        <v>74</v>
      </c>
      <c r="BI906">
        <v>13</v>
      </c>
      <c r="BJ906" t="s">
        <v>129</v>
      </c>
      <c r="BK906" t="s">
        <v>101</v>
      </c>
      <c r="BL906" t="s">
        <v>129</v>
      </c>
      <c r="BM906" t="s">
        <v>17567</v>
      </c>
      <c r="BN906" t="s">
        <v>74</v>
      </c>
      <c r="BO906" t="s">
        <v>496</v>
      </c>
      <c r="BP906" t="s">
        <v>74</v>
      </c>
      <c r="BQ906" t="s">
        <v>74</v>
      </c>
      <c r="BR906" t="s">
        <v>104</v>
      </c>
      <c r="BS906" t="s">
        <v>17584</v>
      </c>
      <c r="BT906" t="str">
        <f>HYPERLINK("https%3A%2F%2Fwww.webofscience.com%2Fwos%2Fwoscc%2Ffull-record%2FWOS:000615485200011","View Full Record in Web of Science")</f>
        <v>View Full Record in Web of Science</v>
      </c>
    </row>
    <row r="907" spans="1:72" x14ac:dyDescent="0.15">
      <c r="A907" t="s">
        <v>72</v>
      </c>
      <c r="B907" t="s">
        <v>17585</v>
      </c>
      <c r="C907" t="s">
        <v>74</v>
      </c>
      <c r="D907" t="s">
        <v>74</v>
      </c>
      <c r="E907" t="s">
        <v>74</v>
      </c>
      <c r="F907" t="s">
        <v>17586</v>
      </c>
      <c r="G907" t="s">
        <v>74</v>
      </c>
      <c r="H907" t="s">
        <v>74</v>
      </c>
      <c r="I907" t="s">
        <v>17587</v>
      </c>
      <c r="J907" t="s">
        <v>4271</v>
      </c>
      <c r="K907" t="s">
        <v>74</v>
      </c>
      <c r="L907" t="s">
        <v>74</v>
      </c>
      <c r="M907" t="s">
        <v>78</v>
      </c>
      <c r="N907" t="s">
        <v>79</v>
      </c>
      <c r="O907" t="s">
        <v>74</v>
      </c>
      <c r="P907" t="s">
        <v>74</v>
      </c>
      <c r="Q907" t="s">
        <v>74</v>
      </c>
      <c r="R907" t="s">
        <v>74</v>
      </c>
      <c r="S907" t="s">
        <v>74</v>
      </c>
      <c r="T907" t="s">
        <v>74</v>
      </c>
      <c r="U907" t="s">
        <v>74</v>
      </c>
      <c r="V907" t="s">
        <v>17588</v>
      </c>
      <c r="W907" t="s">
        <v>17589</v>
      </c>
      <c r="X907" t="s">
        <v>17590</v>
      </c>
      <c r="Y907" t="s">
        <v>17591</v>
      </c>
      <c r="Z907" t="s">
        <v>9044</v>
      </c>
      <c r="AA907" t="s">
        <v>17592</v>
      </c>
      <c r="AB907" t="s">
        <v>17593</v>
      </c>
      <c r="AC907" t="s">
        <v>17594</v>
      </c>
      <c r="AD907" t="s">
        <v>17595</v>
      </c>
      <c r="AE907" t="s">
        <v>17596</v>
      </c>
      <c r="AF907" t="s">
        <v>74</v>
      </c>
      <c r="AG907">
        <v>58</v>
      </c>
      <c r="AH907">
        <v>10</v>
      </c>
      <c r="AI907">
        <v>12</v>
      </c>
      <c r="AJ907">
        <v>0</v>
      </c>
      <c r="AK907">
        <v>7</v>
      </c>
      <c r="AL907" t="s">
        <v>4283</v>
      </c>
      <c r="AM907" t="s">
        <v>390</v>
      </c>
      <c r="AN907" t="s">
        <v>4284</v>
      </c>
      <c r="AO907" t="s">
        <v>4285</v>
      </c>
      <c r="AP907" t="s">
        <v>74</v>
      </c>
      <c r="AQ907" t="s">
        <v>74</v>
      </c>
      <c r="AR907" t="s">
        <v>4286</v>
      </c>
      <c r="AS907" t="s">
        <v>4287</v>
      </c>
      <c r="AT907" t="s">
        <v>1091</v>
      </c>
      <c r="AU907">
        <v>2021</v>
      </c>
      <c r="AV907">
        <v>7</v>
      </c>
      <c r="AW907">
        <v>8</v>
      </c>
      <c r="AX907" t="s">
        <v>74</v>
      </c>
      <c r="AY907" t="s">
        <v>74</v>
      </c>
      <c r="AZ907" t="s">
        <v>74</v>
      </c>
      <c r="BA907" t="s">
        <v>74</v>
      </c>
      <c r="BB907" t="s">
        <v>74</v>
      </c>
      <c r="BC907" t="s">
        <v>74</v>
      </c>
      <c r="BD907" t="s">
        <v>17597</v>
      </c>
      <c r="BE907" t="s">
        <v>17598</v>
      </c>
      <c r="BF907" t="str">
        <f>HYPERLINK("http://dx.doi.org/10.1126/sciadv.abc3972","http://dx.doi.org/10.1126/sciadv.abc3972")</f>
        <v>http://dx.doi.org/10.1126/sciadv.abc3972</v>
      </c>
      <c r="BG907" t="s">
        <v>74</v>
      </c>
      <c r="BH907" t="s">
        <v>74</v>
      </c>
      <c r="BI907">
        <v>11</v>
      </c>
      <c r="BJ907" t="s">
        <v>555</v>
      </c>
      <c r="BK907" t="s">
        <v>101</v>
      </c>
      <c r="BL907" t="s">
        <v>556</v>
      </c>
      <c r="BM907" t="s">
        <v>17599</v>
      </c>
      <c r="BN907">
        <v>33597235</v>
      </c>
      <c r="BO907" t="s">
        <v>17600</v>
      </c>
      <c r="BP907" t="s">
        <v>74</v>
      </c>
      <c r="BQ907" t="s">
        <v>74</v>
      </c>
      <c r="BR907" t="s">
        <v>104</v>
      </c>
      <c r="BS907" t="s">
        <v>17601</v>
      </c>
      <c r="BT907" t="str">
        <f>HYPERLINK("https%3A%2F%2Fwww.webofscience.com%2Fwos%2Fwoscc%2Ffull-record%2FWOS:000620146100005","View Full Record in Web of Science")</f>
        <v>View Full Record in Web of Science</v>
      </c>
    </row>
    <row r="908" spans="1:72" x14ac:dyDescent="0.15">
      <c r="A908" t="s">
        <v>72</v>
      </c>
      <c r="B908" t="s">
        <v>17602</v>
      </c>
      <c r="C908" t="s">
        <v>74</v>
      </c>
      <c r="D908" t="s">
        <v>74</v>
      </c>
      <c r="E908" t="s">
        <v>74</v>
      </c>
      <c r="F908" t="s">
        <v>17603</v>
      </c>
      <c r="G908" t="s">
        <v>74</v>
      </c>
      <c r="H908" t="s">
        <v>74</v>
      </c>
      <c r="I908" t="s">
        <v>17604</v>
      </c>
      <c r="J908" t="s">
        <v>7320</v>
      </c>
      <c r="K908" t="s">
        <v>74</v>
      </c>
      <c r="L908" t="s">
        <v>74</v>
      </c>
      <c r="M908" t="s">
        <v>78</v>
      </c>
      <c r="N908" t="s">
        <v>79</v>
      </c>
      <c r="O908" t="s">
        <v>74</v>
      </c>
      <c r="P908" t="s">
        <v>74</v>
      </c>
      <c r="Q908" t="s">
        <v>74</v>
      </c>
      <c r="R908" t="s">
        <v>74</v>
      </c>
      <c r="S908" t="s">
        <v>74</v>
      </c>
      <c r="T908" t="s">
        <v>74</v>
      </c>
      <c r="U908" t="s">
        <v>74</v>
      </c>
      <c r="V908" t="s">
        <v>17605</v>
      </c>
      <c r="W908" t="s">
        <v>17606</v>
      </c>
      <c r="X908" t="s">
        <v>17607</v>
      </c>
      <c r="Y908" t="s">
        <v>17608</v>
      </c>
      <c r="Z908" t="s">
        <v>17609</v>
      </c>
      <c r="AA908" t="s">
        <v>17610</v>
      </c>
      <c r="AB908" t="s">
        <v>17611</v>
      </c>
      <c r="AC908" t="s">
        <v>10863</v>
      </c>
      <c r="AD908" t="s">
        <v>10863</v>
      </c>
      <c r="AE908" t="s">
        <v>14893</v>
      </c>
      <c r="AF908" t="s">
        <v>74</v>
      </c>
      <c r="AG908">
        <v>39</v>
      </c>
      <c r="AH908">
        <v>14</v>
      </c>
      <c r="AI908">
        <v>16</v>
      </c>
      <c r="AJ908">
        <v>4</v>
      </c>
      <c r="AK908">
        <v>11</v>
      </c>
      <c r="AL908" t="s">
        <v>3620</v>
      </c>
      <c r="AM908" t="s">
        <v>862</v>
      </c>
      <c r="AN908" t="s">
        <v>863</v>
      </c>
      <c r="AO908" t="s">
        <v>74</v>
      </c>
      <c r="AP908" t="s">
        <v>7331</v>
      </c>
      <c r="AQ908" t="s">
        <v>74</v>
      </c>
      <c r="AR908" t="s">
        <v>7332</v>
      </c>
      <c r="AS908" t="s">
        <v>7333</v>
      </c>
      <c r="AT908" t="s">
        <v>15943</v>
      </c>
      <c r="AU908">
        <v>2021</v>
      </c>
      <c r="AV908">
        <v>4</v>
      </c>
      <c r="AW908">
        <v>1</v>
      </c>
      <c r="AX908" t="s">
        <v>74</v>
      </c>
      <c r="AY908" t="s">
        <v>74</v>
      </c>
      <c r="AZ908" t="s">
        <v>74</v>
      </c>
      <c r="BA908" t="s">
        <v>74</v>
      </c>
      <c r="BB908" t="s">
        <v>74</v>
      </c>
      <c r="BC908" t="s">
        <v>74</v>
      </c>
      <c r="BD908">
        <v>149</v>
      </c>
      <c r="BE908" t="s">
        <v>17612</v>
      </c>
      <c r="BF908" t="str">
        <f>HYPERLINK("http://dx.doi.org/10.1038/s42003-021-01668-3","http://dx.doi.org/10.1038/s42003-021-01668-3")</f>
        <v>http://dx.doi.org/10.1038/s42003-021-01668-3</v>
      </c>
      <c r="BG908" t="s">
        <v>74</v>
      </c>
      <c r="BH908" t="s">
        <v>74</v>
      </c>
      <c r="BI908">
        <v>8</v>
      </c>
      <c r="BJ908" t="s">
        <v>7335</v>
      </c>
      <c r="BK908" t="s">
        <v>101</v>
      </c>
      <c r="BL908" t="s">
        <v>7336</v>
      </c>
      <c r="BM908" t="s">
        <v>17613</v>
      </c>
      <c r="BN908">
        <v>33526835</v>
      </c>
      <c r="BO908" t="s">
        <v>558</v>
      </c>
      <c r="BP908" t="s">
        <v>74</v>
      </c>
      <c r="BQ908" t="s">
        <v>74</v>
      </c>
      <c r="BR908" t="s">
        <v>104</v>
      </c>
      <c r="BS908" t="s">
        <v>17614</v>
      </c>
      <c r="BT908" t="str">
        <f>HYPERLINK("https%3A%2F%2Fwww.webofscience.com%2Fwos%2Fwoscc%2Ffull-record%2FWOS:000616932800001","View Full Record in Web of Science")</f>
        <v>View Full Record in Web of Science</v>
      </c>
    </row>
    <row r="909" spans="1:72" x14ac:dyDescent="0.15">
      <c r="A909" t="s">
        <v>72</v>
      </c>
      <c r="B909" t="s">
        <v>17615</v>
      </c>
      <c r="C909" t="s">
        <v>74</v>
      </c>
      <c r="D909" t="s">
        <v>74</v>
      </c>
      <c r="E909" t="s">
        <v>74</v>
      </c>
      <c r="F909" t="s">
        <v>17616</v>
      </c>
      <c r="G909" t="s">
        <v>74</v>
      </c>
      <c r="H909" t="s">
        <v>74</v>
      </c>
      <c r="I909" t="s">
        <v>17617</v>
      </c>
      <c r="J909" t="s">
        <v>425</v>
      </c>
      <c r="K909" t="s">
        <v>74</v>
      </c>
      <c r="L909" t="s">
        <v>74</v>
      </c>
      <c r="M909" t="s">
        <v>78</v>
      </c>
      <c r="N909" t="s">
        <v>79</v>
      </c>
      <c r="O909" t="s">
        <v>74</v>
      </c>
      <c r="P909" t="s">
        <v>74</v>
      </c>
      <c r="Q909" t="s">
        <v>74</v>
      </c>
      <c r="R909" t="s">
        <v>74</v>
      </c>
      <c r="S909" t="s">
        <v>74</v>
      </c>
      <c r="T909" t="s">
        <v>17618</v>
      </c>
      <c r="U909" t="s">
        <v>74</v>
      </c>
      <c r="V909" t="s">
        <v>17619</v>
      </c>
      <c r="W909" t="s">
        <v>17620</v>
      </c>
      <c r="X909" t="s">
        <v>17621</v>
      </c>
      <c r="Y909" t="s">
        <v>17542</v>
      </c>
      <c r="Z909" t="s">
        <v>17622</v>
      </c>
      <c r="AA909" t="s">
        <v>17544</v>
      </c>
      <c r="AB909" t="s">
        <v>17623</v>
      </c>
      <c r="AC909" t="s">
        <v>17624</v>
      </c>
      <c r="AD909" t="s">
        <v>14160</v>
      </c>
      <c r="AE909" t="s">
        <v>17625</v>
      </c>
      <c r="AF909" t="s">
        <v>74</v>
      </c>
      <c r="AG909">
        <v>66</v>
      </c>
      <c r="AH909">
        <v>8</v>
      </c>
      <c r="AI909">
        <v>8</v>
      </c>
      <c r="AJ909">
        <v>3</v>
      </c>
      <c r="AK909">
        <v>4</v>
      </c>
      <c r="AL909" t="s">
        <v>335</v>
      </c>
      <c r="AM909" t="s">
        <v>336</v>
      </c>
      <c r="AN909" t="s">
        <v>337</v>
      </c>
      <c r="AO909" t="s">
        <v>74</v>
      </c>
      <c r="AP909" t="s">
        <v>438</v>
      </c>
      <c r="AQ909" t="s">
        <v>74</v>
      </c>
      <c r="AR909" t="s">
        <v>439</v>
      </c>
      <c r="AS909" t="s">
        <v>440</v>
      </c>
      <c r="AT909" t="s">
        <v>1091</v>
      </c>
      <c r="AU909">
        <v>2021</v>
      </c>
      <c r="AV909">
        <v>13</v>
      </c>
      <c r="AW909">
        <v>3</v>
      </c>
      <c r="AX909" t="s">
        <v>74</v>
      </c>
      <c r="AY909" t="s">
        <v>74</v>
      </c>
      <c r="AZ909" t="s">
        <v>74</v>
      </c>
      <c r="BA909" t="s">
        <v>74</v>
      </c>
      <c r="BB909" t="s">
        <v>74</v>
      </c>
      <c r="BC909" t="s">
        <v>74</v>
      </c>
      <c r="BD909">
        <v>435</v>
      </c>
      <c r="BE909" t="s">
        <v>17626</v>
      </c>
      <c r="BF909" t="str">
        <f>HYPERLINK("http://dx.doi.org/10.3390/rs13030435","http://dx.doi.org/10.3390/rs13030435")</f>
        <v>http://dx.doi.org/10.3390/rs13030435</v>
      </c>
      <c r="BG909" t="s">
        <v>74</v>
      </c>
      <c r="BH909" t="s">
        <v>74</v>
      </c>
      <c r="BI909">
        <v>17</v>
      </c>
      <c r="BJ909" t="s">
        <v>442</v>
      </c>
      <c r="BK909" t="s">
        <v>101</v>
      </c>
      <c r="BL909" t="s">
        <v>443</v>
      </c>
      <c r="BM909" t="s">
        <v>17627</v>
      </c>
      <c r="BN909" t="s">
        <v>74</v>
      </c>
      <c r="BO909" t="s">
        <v>558</v>
      </c>
      <c r="BP909" t="s">
        <v>74</v>
      </c>
      <c r="BQ909" t="s">
        <v>74</v>
      </c>
      <c r="BR909" t="s">
        <v>104</v>
      </c>
      <c r="BS909" t="s">
        <v>17628</v>
      </c>
      <c r="BT909" t="str">
        <f>HYPERLINK("https%3A%2F%2Fwww.webofscience.com%2Fwos%2Fwoscc%2Ffull-record%2FWOS:000615521100001","View Full Record in Web of Science")</f>
        <v>View Full Record in Web of Science</v>
      </c>
    </row>
    <row r="910" spans="1:72" x14ac:dyDescent="0.15">
      <c r="A910" t="s">
        <v>72</v>
      </c>
      <c r="B910" t="s">
        <v>17629</v>
      </c>
      <c r="C910" t="s">
        <v>74</v>
      </c>
      <c r="D910" t="s">
        <v>74</v>
      </c>
      <c r="E910" t="s">
        <v>74</v>
      </c>
      <c r="F910" t="s">
        <v>17630</v>
      </c>
      <c r="G910" t="s">
        <v>74</v>
      </c>
      <c r="H910" t="s">
        <v>74</v>
      </c>
      <c r="I910" t="s">
        <v>17631</v>
      </c>
      <c r="J910" t="s">
        <v>425</v>
      </c>
      <c r="K910" t="s">
        <v>74</v>
      </c>
      <c r="L910" t="s">
        <v>74</v>
      </c>
      <c r="M910" t="s">
        <v>78</v>
      </c>
      <c r="N910" t="s">
        <v>79</v>
      </c>
      <c r="O910" t="s">
        <v>74</v>
      </c>
      <c r="P910" t="s">
        <v>74</v>
      </c>
      <c r="Q910" t="s">
        <v>74</v>
      </c>
      <c r="R910" t="s">
        <v>74</v>
      </c>
      <c r="S910" t="s">
        <v>74</v>
      </c>
      <c r="T910" t="s">
        <v>17632</v>
      </c>
      <c r="U910" t="s">
        <v>74</v>
      </c>
      <c r="V910" t="s">
        <v>17633</v>
      </c>
      <c r="W910" t="s">
        <v>17634</v>
      </c>
      <c r="X910" t="s">
        <v>17635</v>
      </c>
      <c r="Y910" t="s">
        <v>17636</v>
      </c>
      <c r="Z910" t="s">
        <v>17637</v>
      </c>
      <c r="AA910" t="s">
        <v>17638</v>
      </c>
      <c r="AB910" t="s">
        <v>17639</v>
      </c>
      <c r="AC910" t="s">
        <v>17640</v>
      </c>
      <c r="AD910" t="s">
        <v>511</v>
      </c>
      <c r="AE910" t="s">
        <v>17641</v>
      </c>
      <c r="AF910" t="s">
        <v>74</v>
      </c>
      <c r="AG910">
        <v>60</v>
      </c>
      <c r="AH910">
        <v>4</v>
      </c>
      <c r="AI910">
        <v>4</v>
      </c>
      <c r="AJ910">
        <v>1</v>
      </c>
      <c r="AK910">
        <v>21</v>
      </c>
      <c r="AL910" t="s">
        <v>335</v>
      </c>
      <c r="AM910" t="s">
        <v>336</v>
      </c>
      <c r="AN910" t="s">
        <v>337</v>
      </c>
      <c r="AO910" t="s">
        <v>74</v>
      </c>
      <c r="AP910" t="s">
        <v>438</v>
      </c>
      <c r="AQ910" t="s">
        <v>74</v>
      </c>
      <c r="AR910" t="s">
        <v>439</v>
      </c>
      <c r="AS910" t="s">
        <v>440</v>
      </c>
      <c r="AT910" t="s">
        <v>1091</v>
      </c>
      <c r="AU910">
        <v>2021</v>
      </c>
      <c r="AV910">
        <v>13</v>
      </c>
      <c r="AW910">
        <v>3</v>
      </c>
      <c r="AX910" t="s">
        <v>74</v>
      </c>
      <c r="AY910" t="s">
        <v>74</v>
      </c>
      <c r="AZ910" t="s">
        <v>74</v>
      </c>
      <c r="BA910" t="s">
        <v>74</v>
      </c>
      <c r="BB910" t="s">
        <v>74</v>
      </c>
      <c r="BC910" t="s">
        <v>74</v>
      </c>
      <c r="BD910">
        <v>480</v>
      </c>
      <c r="BE910" t="s">
        <v>17642</v>
      </c>
      <c r="BF910" t="str">
        <f>HYPERLINK("http://dx.doi.org/10.3390/rs13030480","http://dx.doi.org/10.3390/rs13030480")</f>
        <v>http://dx.doi.org/10.3390/rs13030480</v>
      </c>
      <c r="BG910" t="s">
        <v>74</v>
      </c>
      <c r="BH910" t="s">
        <v>74</v>
      </c>
      <c r="BI910">
        <v>19</v>
      </c>
      <c r="BJ910" t="s">
        <v>442</v>
      </c>
      <c r="BK910" t="s">
        <v>101</v>
      </c>
      <c r="BL910" t="s">
        <v>443</v>
      </c>
      <c r="BM910" t="s">
        <v>17643</v>
      </c>
      <c r="BN910" t="s">
        <v>74</v>
      </c>
      <c r="BO910" t="s">
        <v>317</v>
      </c>
      <c r="BP910" t="s">
        <v>74</v>
      </c>
      <c r="BQ910" t="s">
        <v>74</v>
      </c>
      <c r="BR910" t="s">
        <v>104</v>
      </c>
      <c r="BS910" t="s">
        <v>17644</v>
      </c>
      <c r="BT910" t="str">
        <f>HYPERLINK("https%3A%2F%2Fwww.webofscience.com%2Fwos%2Fwoscc%2Ffull-record%2FWOS:000615467200001","View Full Record in Web of Science")</f>
        <v>View Full Record in Web of Science</v>
      </c>
    </row>
    <row r="911" spans="1:72" x14ac:dyDescent="0.15">
      <c r="A911" t="s">
        <v>72</v>
      </c>
      <c r="B911" t="s">
        <v>17645</v>
      </c>
      <c r="C911" t="s">
        <v>74</v>
      </c>
      <c r="D911" t="s">
        <v>74</v>
      </c>
      <c r="E911" t="s">
        <v>74</v>
      </c>
      <c r="F911" t="s">
        <v>17646</v>
      </c>
      <c r="G911" t="s">
        <v>74</v>
      </c>
      <c r="H911" t="s">
        <v>74</v>
      </c>
      <c r="I911" t="s">
        <v>17647</v>
      </c>
      <c r="J911" t="s">
        <v>17648</v>
      </c>
      <c r="K911" t="s">
        <v>74</v>
      </c>
      <c r="L911" t="s">
        <v>74</v>
      </c>
      <c r="M911" t="s">
        <v>78</v>
      </c>
      <c r="N911" t="s">
        <v>79</v>
      </c>
      <c r="O911" t="s">
        <v>74</v>
      </c>
      <c r="P911" t="s">
        <v>74</v>
      </c>
      <c r="Q911" t="s">
        <v>74</v>
      </c>
      <c r="R911" t="s">
        <v>74</v>
      </c>
      <c r="S911" t="s">
        <v>74</v>
      </c>
      <c r="T911" t="s">
        <v>17649</v>
      </c>
      <c r="U911" t="s">
        <v>74</v>
      </c>
      <c r="V911" t="s">
        <v>17650</v>
      </c>
      <c r="W911" t="s">
        <v>17651</v>
      </c>
      <c r="X911" t="s">
        <v>17652</v>
      </c>
      <c r="Y911" t="s">
        <v>17653</v>
      </c>
      <c r="Z911" t="s">
        <v>17654</v>
      </c>
      <c r="AA911" t="s">
        <v>17655</v>
      </c>
      <c r="AB911" t="s">
        <v>17656</v>
      </c>
      <c r="AC911" t="s">
        <v>17657</v>
      </c>
      <c r="AD911" t="s">
        <v>17658</v>
      </c>
      <c r="AE911" t="s">
        <v>17659</v>
      </c>
      <c r="AF911" t="s">
        <v>74</v>
      </c>
      <c r="AG911">
        <v>71</v>
      </c>
      <c r="AH911">
        <v>9</v>
      </c>
      <c r="AI911">
        <v>9</v>
      </c>
      <c r="AJ911">
        <v>0</v>
      </c>
      <c r="AK911">
        <v>9</v>
      </c>
      <c r="AL911" t="s">
        <v>17660</v>
      </c>
      <c r="AM911" t="s">
        <v>17661</v>
      </c>
      <c r="AN911" t="s">
        <v>17662</v>
      </c>
      <c r="AO911" t="s">
        <v>17663</v>
      </c>
      <c r="AP911" t="s">
        <v>17664</v>
      </c>
      <c r="AQ911" t="s">
        <v>74</v>
      </c>
      <c r="AR911" t="s">
        <v>17648</v>
      </c>
      <c r="AS911" t="s">
        <v>17665</v>
      </c>
      <c r="AT911" t="s">
        <v>4706</v>
      </c>
      <c r="AU911">
        <v>2021</v>
      </c>
      <c r="AV911">
        <v>21</v>
      </c>
      <c r="AW911">
        <v>5</v>
      </c>
      <c r="AX911" t="s">
        <v>74</v>
      </c>
      <c r="AY911" t="s">
        <v>74</v>
      </c>
      <c r="AZ911" t="s">
        <v>74</v>
      </c>
      <c r="BA911" t="s">
        <v>74</v>
      </c>
      <c r="BB911">
        <v>551</v>
      </c>
      <c r="BC911">
        <v>565</v>
      </c>
      <c r="BD911" t="s">
        <v>74</v>
      </c>
      <c r="BE911" t="s">
        <v>17666</v>
      </c>
      <c r="BF911" t="str">
        <f>HYPERLINK("http://dx.doi.org/10.1089/ast.2020.2238","http://dx.doi.org/10.1089/ast.2020.2238")</f>
        <v>http://dx.doi.org/10.1089/ast.2020.2238</v>
      </c>
      <c r="BG911" t="s">
        <v>74</v>
      </c>
      <c r="BH911" t="s">
        <v>12028</v>
      </c>
      <c r="BI911">
        <v>15</v>
      </c>
      <c r="BJ911" t="s">
        <v>17667</v>
      </c>
      <c r="BK911" t="s">
        <v>101</v>
      </c>
      <c r="BL911" t="s">
        <v>17668</v>
      </c>
      <c r="BM911" t="s">
        <v>17669</v>
      </c>
      <c r="BN911">
        <v>33524277</v>
      </c>
      <c r="BO911" t="s">
        <v>74</v>
      </c>
      <c r="BP911" t="s">
        <v>74</v>
      </c>
      <c r="BQ911" t="s">
        <v>74</v>
      </c>
      <c r="BR911" t="s">
        <v>104</v>
      </c>
      <c r="BS911" t="s">
        <v>17670</v>
      </c>
      <c r="BT911" t="str">
        <f>HYPERLINK("https%3A%2F%2Fwww.webofscience.com%2Fwos%2Fwoscc%2Ffull-record%2FWOS:000614551900001","View Full Record in Web of Science")</f>
        <v>View Full Record in Web of Science</v>
      </c>
    </row>
    <row r="912" spans="1:72" x14ac:dyDescent="0.15">
      <c r="A912" t="s">
        <v>72</v>
      </c>
      <c r="B912" t="s">
        <v>17671</v>
      </c>
      <c r="C912" t="s">
        <v>74</v>
      </c>
      <c r="D912" t="s">
        <v>74</v>
      </c>
      <c r="E912" t="s">
        <v>74</v>
      </c>
      <c r="F912" t="s">
        <v>17672</v>
      </c>
      <c r="G912" t="s">
        <v>74</v>
      </c>
      <c r="H912" t="s">
        <v>74</v>
      </c>
      <c r="I912" t="s">
        <v>17673</v>
      </c>
      <c r="J912" t="s">
        <v>17674</v>
      </c>
      <c r="K912" t="s">
        <v>74</v>
      </c>
      <c r="L912" t="s">
        <v>74</v>
      </c>
      <c r="M912" t="s">
        <v>78</v>
      </c>
      <c r="N912" t="s">
        <v>79</v>
      </c>
      <c r="O912" t="s">
        <v>74</v>
      </c>
      <c r="P912" t="s">
        <v>74</v>
      </c>
      <c r="Q912" t="s">
        <v>74</v>
      </c>
      <c r="R912" t="s">
        <v>74</v>
      </c>
      <c r="S912" t="s">
        <v>74</v>
      </c>
      <c r="T912" t="s">
        <v>17675</v>
      </c>
      <c r="U912" t="s">
        <v>17676</v>
      </c>
      <c r="V912" t="s">
        <v>17677</v>
      </c>
      <c r="W912" t="s">
        <v>17678</v>
      </c>
      <c r="X912" t="s">
        <v>17679</v>
      </c>
      <c r="Y912" t="s">
        <v>17680</v>
      </c>
      <c r="Z912" t="s">
        <v>17681</v>
      </c>
      <c r="AA912" t="s">
        <v>17682</v>
      </c>
      <c r="AB912" t="s">
        <v>17683</v>
      </c>
      <c r="AC912" t="s">
        <v>17684</v>
      </c>
      <c r="AD912" t="s">
        <v>17685</v>
      </c>
      <c r="AE912" t="s">
        <v>17686</v>
      </c>
      <c r="AF912" t="s">
        <v>74</v>
      </c>
      <c r="AG912">
        <v>50</v>
      </c>
      <c r="AH912">
        <v>7</v>
      </c>
      <c r="AI912">
        <v>7</v>
      </c>
      <c r="AJ912">
        <v>1</v>
      </c>
      <c r="AK912">
        <v>20</v>
      </c>
      <c r="AL912" t="s">
        <v>486</v>
      </c>
      <c r="AM912" t="s">
        <v>487</v>
      </c>
      <c r="AN912" t="s">
        <v>488</v>
      </c>
      <c r="AO912" t="s">
        <v>17687</v>
      </c>
      <c r="AP912" t="s">
        <v>17688</v>
      </c>
      <c r="AQ912" t="s">
        <v>74</v>
      </c>
      <c r="AR912" t="s">
        <v>17674</v>
      </c>
      <c r="AS912" t="s">
        <v>17689</v>
      </c>
      <c r="AT912" t="s">
        <v>1091</v>
      </c>
      <c r="AU912">
        <v>2021</v>
      </c>
      <c r="AV912">
        <v>11</v>
      </c>
      <c r="AW912">
        <v>2</v>
      </c>
      <c r="AX912" t="s">
        <v>74</v>
      </c>
      <c r="AY912" t="s">
        <v>74</v>
      </c>
      <c r="AZ912" t="s">
        <v>74</v>
      </c>
      <c r="BA912" t="s">
        <v>74</v>
      </c>
      <c r="BB912" t="s">
        <v>74</v>
      </c>
      <c r="BC912" t="s">
        <v>74</v>
      </c>
      <c r="BD912">
        <v>102</v>
      </c>
      <c r="BE912" t="s">
        <v>17690</v>
      </c>
      <c r="BF912" t="str">
        <f>HYPERLINK("http://dx.doi.org/10.1007/s13205-021-02660-8","http://dx.doi.org/10.1007/s13205-021-02660-8")</f>
        <v>http://dx.doi.org/10.1007/s13205-021-02660-8</v>
      </c>
      <c r="BG912" t="s">
        <v>74</v>
      </c>
      <c r="BH912" t="s">
        <v>74</v>
      </c>
      <c r="BI912">
        <v>9</v>
      </c>
      <c r="BJ912" t="s">
        <v>10043</v>
      </c>
      <c r="BK912" t="s">
        <v>101</v>
      </c>
      <c r="BL912" t="s">
        <v>10043</v>
      </c>
      <c r="BM912" t="s">
        <v>17691</v>
      </c>
      <c r="BN912">
        <v>33552830</v>
      </c>
      <c r="BO912" t="s">
        <v>398</v>
      </c>
      <c r="BP912" t="s">
        <v>74</v>
      </c>
      <c r="BQ912" t="s">
        <v>74</v>
      </c>
      <c r="BR912" t="s">
        <v>104</v>
      </c>
      <c r="BS912" t="s">
        <v>17692</v>
      </c>
      <c r="BT912" t="str">
        <f>HYPERLINK("https%3A%2F%2Fwww.webofscience.com%2Fwos%2Fwoscc%2Ffull-record%2FWOS:000613469200001","View Full Record in Web of Science")</f>
        <v>View Full Record in Web of Science</v>
      </c>
    </row>
    <row r="913" spans="1:72" x14ac:dyDescent="0.15">
      <c r="A913" t="s">
        <v>72</v>
      </c>
      <c r="B913" t="s">
        <v>17693</v>
      </c>
      <c r="C913" t="s">
        <v>74</v>
      </c>
      <c r="D913" t="s">
        <v>74</v>
      </c>
      <c r="E913" t="s">
        <v>74</v>
      </c>
      <c r="F913" t="s">
        <v>17694</v>
      </c>
      <c r="G913" t="s">
        <v>74</v>
      </c>
      <c r="H913" t="s">
        <v>74</v>
      </c>
      <c r="I913" t="s">
        <v>17695</v>
      </c>
      <c r="J913" t="s">
        <v>3374</v>
      </c>
      <c r="K913" t="s">
        <v>74</v>
      </c>
      <c r="L913" t="s">
        <v>74</v>
      </c>
      <c r="M913" t="s">
        <v>78</v>
      </c>
      <c r="N913" t="s">
        <v>79</v>
      </c>
      <c r="O913" t="s">
        <v>74</v>
      </c>
      <c r="P913" t="s">
        <v>74</v>
      </c>
      <c r="Q913" t="s">
        <v>74</v>
      </c>
      <c r="R913" t="s">
        <v>74</v>
      </c>
      <c r="S913" t="s">
        <v>74</v>
      </c>
      <c r="T913" t="s">
        <v>17696</v>
      </c>
      <c r="U913" t="s">
        <v>74</v>
      </c>
      <c r="V913" t="s">
        <v>17697</v>
      </c>
      <c r="W913" t="s">
        <v>17698</v>
      </c>
      <c r="X913" t="s">
        <v>17699</v>
      </c>
      <c r="Y913" t="s">
        <v>17700</v>
      </c>
      <c r="Z913" t="s">
        <v>2652</v>
      </c>
      <c r="AA913" t="s">
        <v>17701</v>
      </c>
      <c r="AB913" t="s">
        <v>17702</v>
      </c>
      <c r="AC913" t="s">
        <v>17703</v>
      </c>
      <c r="AD913" t="s">
        <v>17704</v>
      </c>
      <c r="AE913" t="s">
        <v>17705</v>
      </c>
      <c r="AF913" t="s">
        <v>74</v>
      </c>
      <c r="AG913">
        <v>29</v>
      </c>
      <c r="AH913">
        <v>10</v>
      </c>
      <c r="AI913">
        <v>11</v>
      </c>
      <c r="AJ913">
        <v>2</v>
      </c>
      <c r="AK913">
        <v>21</v>
      </c>
      <c r="AL913" t="s">
        <v>3386</v>
      </c>
      <c r="AM913" t="s">
        <v>3387</v>
      </c>
      <c r="AN913" t="s">
        <v>3388</v>
      </c>
      <c r="AO913" t="s">
        <v>3389</v>
      </c>
      <c r="AP913" t="s">
        <v>3390</v>
      </c>
      <c r="AQ913" t="s">
        <v>74</v>
      </c>
      <c r="AR913" t="s">
        <v>3391</v>
      </c>
      <c r="AS913" t="s">
        <v>3392</v>
      </c>
      <c r="AT913" t="s">
        <v>1809</v>
      </c>
      <c r="AU913">
        <v>2021</v>
      </c>
      <c r="AV913">
        <v>44</v>
      </c>
      <c r="AW913">
        <v>1</v>
      </c>
      <c r="AX913" t="s">
        <v>74</v>
      </c>
      <c r="AY913" t="s">
        <v>74</v>
      </c>
      <c r="AZ913" t="s">
        <v>74</v>
      </c>
      <c r="BA913" t="s">
        <v>74</v>
      </c>
      <c r="BB913">
        <v>79</v>
      </c>
      <c r="BC913">
        <v>84</v>
      </c>
      <c r="BD913" t="s">
        <v>74</v>
      </c>
      <c r="BE913" t="s">
        <v>17706</v>
      </c>
      <c r="BF913" t="str">
        <f>HYPERLINK("http://dx.doi.org/10.1007/s40415-020-00684-7","http://dx.doi.org/10.1007/s40415-020-00684-7")</f>
        <v>http://dx.doi.org/10.1007/s40415-020-00684-7</v>
      </c>
      <c r="BG913" t="s">
        <v>74</v>
      </c>
      <c r="BH913" t="s">
        <v>12028</v>
      </c>
      <c r="BI913">
        <v>6</v>
      </c>
      <c r="BJ913" t="s">
        <v>2508</v>
      </c>
      <c r="BK913" t="s">
        <v>101</v>
      </c>
      <c r="BL913" t="s">
        <v>2508</v>
      </c>
      <c r="BM913" t="s">
        <v>17707</v>
      </c>
      <c r="BN913" t="s">
        <v>74</v>
      </c>
      <c r="BO913" t="s">
        <v>74</v>
      </c>
      <c r="BP913" t="s">
        <v>74</v>
      </c>
      <c r="BQ913" t="s">
        <v>74</v>
      </c>
      <c r="BR913" t="s">
        <v>104</v>
      </c>
      <c r="BS913" t="s">
        <v>17708</v>
      </c>
      <c r="BT913" t="str">
        <f>HYPERLINK("https%3A%2F%2Fwww.webofscience.com%2Fwos%2Fwoscc%2Ffull-record%2FWOS:000613611600003","View Full Record in Web of Science")</f>
        <v>View Full Record in Web of Science</v>
      </c>
    </row>
    <row r="914" spans="1:72" x14ac:dyDescent="0.15">
      <c r="A914" t="s">
        <v>72</v>
      </c>
      <c r="B914" t="s">
        <v>17709</v>
      </c>
      <c r="C914" t="s">
        <v>74</v>
      </c>
      <c r="D914" t="s">
        <v>74</v>
      </c>
      <c r="E914" t="s">
        <v>74</v>
      </c>
      <c r="F914" t="s">
        <v>17710</v>
      </c>
      <c r="G914" t="s">
        <v>74</v>
      </c>
      <c r="H914" t="s">
        <v>74</v>
      </c>
      <c r="I914" t="s">
        <v>17711</v>
      </c>
      <c r="J914" t="s">
        <v>17712</v>
      </c>
      <c r="K914" t="s">
        <v>74</v>
      </c>
      <c r="L914" t="s">
        <v>74</v>
      </c>
      <c r="M914" t="s">
        <v>78</v>
      </c>
      <c r="N914" t="s">
        <v>79</v>
      </c>
      <c r="O914" t="s">
        <v>74</v>
      </c>
      <c r="P914" t="s">
        <v>74</v>
      </c>
      <c r="Q914" t="s">
        <v>74</v>
      </c>
      <c r="R914" t="s">
        <v>74</v>
      </c>
      <c r="S914" t="s">
        <v>74</v>
      </c>
      <c r="T914" t="s">
        <v>17713</v>
      </c>
      <c r="U914" t="s">
        <v>17714</v>
      </c>
      <c r="V914" t="s">
        <v>17715</v>
      </c>
      <c r="W914" t="s">
        <v>17716</v>
      </c>
      <c r="X914" t="s">
        <v>17717</v>
      </c>
      <c r="Y914" t="s">
        <v>17718</v>
      </c>
      <c r="Z914" t="s">
        <v>17719</v>
      </c>
      <c r="AA914" t="s">
        <v>17720</v>
      </c>
      <c r="AB914" t="s">
        <v>17721</v>
      </c>
      <c r="AC914" t="s">
        <v>17722</v>
      </c>
      <c r="AD914" t="s">
        <v>17723</v>
      </c>
      <c r="AE914" t="s">
        <v>17724</v>
      </c>
      <c r="AF914" t="s">
        <v>74</v>
      </c>
      <c r="AG914">
        <v>30</v>
      </c>
      <c r="AH914">
        <v>1</v>
      </c>
      <c r="AI914">
        <v>1</v>
      </c>
      <c r="AJ914">
        <v>1</v>
      </c>
      <c r="AK914">
        <v>8</v>
      </c>
      <c r="AL914" t="s">
        <v>166</v>
      </c>
      <c r="AM914" t="s">
        <v>192</v>
      </c>
      <c r="AN914" t="s">
        <v>193</v>
      </c>
      <c r="AO914" t="s">
        <v>17725</v>
      </c>
      <c r="AP914" t="s">
        <v>17726</v>
      </c>
      <c r="AQ914" t="s">
        <v>74</v>
      </c>
      <c r="AR914" t="s">
        <v>17727</v>
      </c>
      <c r="AS914" t="s">
        <v>17728</v>
      </c>
      <c r="AT914" t="s">
        <v>2859</v>
      </c>
      <c r="AU914">
        <v>2021</v>
      </c>
      <c r="AV914">
        <v>47</v>
      </c>
      <c r="AW914">
        <v>2</v>
      </c>
      <c r="AX914" t="s">
        <v>74</v>
      </c>
      <c r="AY914" t="s">
        <v>74</v>
      </c>
      <c r="AZ914" t="s">
        <v>74</v>
      </c>
      <c r="BA914" t="s">
        <v>74</v>
      </c>
      <c r="BB914">
        <v>533</v>
      </c>
      <c r="BC914">
        <v>546</v>
      </c>
      <c r="BD914" t="s">
        <v>74</v>
      </c>
      <c r="BE914" t="s">
        <v>17729</v>
      </c>
      <c r="BF914" t="str">
        <f>HYPERLINK("http://dx.doi.org/10.1007/s10695-021-00931-y","http://dx.doi.org/10.1007/s10695-021-00931-y")</f>
        <v>http://dx.doi.org/10.1007/s10695-021-00931-y</v>
      </c>
      <c r="BG914" t="s">
        <v>74</v>
      </c>
      <c r="BH914" t="s">
        <v>12028</v>
      </c>
      <c r="BI914">
        <v>14</v>
      </c>
      <c r="BJ914" t="s">
        <v>17730</v>
      </c>
      <c r="BK914" t="s">
        <v>101</v>
      </c>
      <c r="BL914" t="s">
        <v>17730</v>
      </c>
      <c r="BM914" t="s">
        <v>17731</v>
      </c>
      <c r="BN914">
        <v>33523350</v>
      </c>
      <c r="BO914" t="s">
        <v>74</v>
      </c>
      <c r="BP914" t="s">
        <v>74</v>
      </c>
      <c r="BQ914" t="s">
        <v>74</v>
      </c>
      <c r="BR914" t="s">
        <v>104</v>
      </c>
      <c r="BS914" t="s">
        <v>17732</v>
      </c>
      <c r="BT914" t="str">
        <f>HYPERLINK("https%3A%2F%2Fwww.webofscience.com%2Fwos%2Fwoscc%2Ffull-record%2FWOS:000613581800002","View Full Record in Web of Science")</f>
        <v>View Full Record in Web of Science</v>
      </c>
    </row>
    <row r="915" spans="1:72" x14ac:dyDescent="0.15">
      <c r="A915" t="s">
        <v>72</v>
      </c>
      <c r="B915" t="s">
        <v>17733</v>
      </c>
      <c r="C915" t="s">
        <v>74</v>
      </c>
      <c r="D915" t="s">
        <v>74</v>
      </c>
      <c r="E915" t="s">
        <v>74</v>
      </c>
      <c r="F915" t="s">
        <v>17734</v>
      </c>
      <c r="G915" t="s">
        <v>74</v>
      </c>
      <c r="H915" t="s">
        <v>74</v>
      </c>
      <c r="I915" t="s">
        <v>17735</v>
      </c>
      <c r="J915" t="s">
        <v>4092</v>
      </c>
      <c r="K915" t="s">
        <v>74</v>
      </c>
      <c r="L915" t="s">
        <v>74</v>
      </c>
      <c r="M915" t="s">
        <v>78</v>
      </c>
      <c r="N915" t="s">
        <v>79</v>
      </c>
      <c r="O915" t="s">
        <v>74</v>
      </c>
      <c r="P915" t="s">
        <v>74</v>
      </c>
      <c r="Q915" t="s">
        <v>74</v>
      </c>
      <c r="R915" t="s">
        <v>74</v>
      </c>
      <c r="S915" t="s">
        <v>74</v>
      </c>
      <c r="T915" t="s">
        <v>17736</v>
      </c>
      <c r="U915" t="s">
        <v>17737</v>
      </c>
      <c r="V915" t="s">
        <v>17738</v>
      </c>
      <c r="W915" t="s">
        <v>17739</v>
      </c>
      <c r="X915" t="s">
        <v>17740</v>
      </c>
      <c r="Y915" t="s">
        <v>17741</v>
      </c>
      <c r="Z915" t="s">
        <v>17742</v>
      </c>
      <c r="AA915" t="s">
        <v>17743</v>
      </c>
      <c r="AB915" t="s">
        <v>17744</v>
      </c>
      <c r="AC915" t="s">
        <v>17745</v>
      </c>
      <c r="AD915" t="s">
        <v>17746</v>
      </c>
      <c r="AE915" t="s">
        <v>17747</v>
      </c>
      <c r="AF915" t="s">
        <v>74</v>
      </c>
      <c r="AG915">
        <v>64</v>
      </c>
      <c r="AH915">
        <v>12</v>
      </c>
      <c r="AI915">
        <v>12</v>
      </c>
      <c r="AJ915">
        <v>1</v>
      </c>
      <c r="AK915">
        <v>11</v>
      </c>
      <c r="AL915" t="s">
        <v>795</v>
      </c>
      <c r="AM915" t="s">
        <v>796</v>
      </c>
      <c r="AN915" t="s">
        <v>797</v>
      </c>
      <c r="AO915" t="s">
        <v>4105</v>
      </c>
      <c r="AP915" t="s">
        <v>4106</v>
      </c>
      <c r="AQ915" t="s">
        <v>74</v>
      </c>
      <c r="AR915" t="s">
        <v>4107</v>
      </c>
      <c r="AS915" t="s">
        <v>4108</v>
      </c>
      <c r="AT915" t="s">
        <v>2859</v>
      </c>
      <c r="AU915">
        <v>2021</v>
      </c>
      <c r="AV915">
        <v>90</v>
      </c>
      <c r="AW915">
        <v>4</v>
      </c>
      <c r="AX915" t="s">
        <v>74</v>
      </c>
      <c r="AY915" t="s">
        <v>74</v>
      </c>
      <c r="AZ915" t="s">
        <v>74</v>
      </c>
      <c r="BA915" t="s">
        <v>74</v>
      </c>
      <c r="BB915">
        <v>931</v>
      </c>
      <c r="BC915">
        <v>942</v>
      </c>
      <c r="BD915" t="s">
        <v>74</v>
      </c>
      <c r="BE915" t="s">
        <v>17748</v>
      </c>
      <c r="BF915" t="str">
        <f>HYPERLINK("http://dx.doi.org/10.1111/1365-2656.13422","http://dx.doi.org/10.1111/1365-2656.13422")</f>
        <v>http://dx.doi.org/10.1111/1365-2656.13422</v>
      </c>
      <c r="BG915" t="s">
        <v>74</v>
      </c>
      <c r="BH915" t="s">
        <v>12028</v>
      </c>
      <c r="BI915">
        <v>12</v>
      </c>
      <c r="BJ915" t="s">
        <v>4110</v>
      </c>
      <c r="BK915" t="s">
        <v>101</v>
      </c>
      <c r="BL915" t="s">
        <v>4111</v>
      </c>
      <c r="BM915" t="s">
        <v>17749</v>
      </c>
      <c r="BN915">
        <v>33426705</v>
      </c>
      <c r="BO915" t="s">
        <v>74</v>
      </c>
      <c r="BP915" t="s">
        <v>74</v>
      </c>
      <c r="BQ915" t="s">
        <v>74</v>
      </c>
      <c r="BR915" t="s">
        <v>104</v>
      </c>
      <c r="BS915" t="s">
        <v>17750</v>
      </c>
      <c r="BT915" t="str">
        <f>HYPERLINK("https%3A%2F%2Fwww.webofscience.com%2Fwos%2Fwoscc%2Ffull-record%2FWOS:000613397800001","View Full Record in Web of Science")</f>
        <v>View Full Record in Web of Science</v>
      </c>
    </row>
    <row r="916" spans="1:72" x14ac:dyDescent="0.15">
      <c r="A916" t="s">
        <v>72</v>
      </c>
      <c r="B916" t="s">
        <v>17751</v>
      </c>
      <c r="C916" t="s">
        <v>74</v>
      </c>
      <c r="D916" t="s">
        <v>74</v>
      </c>
      <c r="E916" t="s">
        <v>74</v>
      </c>
      <c r="F916" t="s">
        <v>17752</v>
      </c>
      <c r="G916" t="s">
        <v>74</v>
      </c>
      <c r="H916" t="s">
        <v>74</v>
      </c>
      <c r="I916" t="s">
        <v>17753</v>
      </c>
      <c r="J916" t="s">
        <v>17754</v>
      </c>
      <c r="K916" t="s">
        <v>74</v>
      </c>
      <c r="L916" t="s">
        <v>74</v>
      </c>
      <c r="M916" t="s">
        <v>78</v>
      </c>
      <c r="N916" t="s">
        <v>79</v>
      </c>
      <c r="O916" t="s">
        <v>74</v>
      </c>
      <c r="P916" t="s">
        <v>74</v>
      </c>
      <c r="Q916" t="s">
        <v>74</v>
      </c>
      <c r="R916" t="s">
        <v>74</v>
      </c>
      <c r="S916" t="s">
        <v>74</v>
      </c>
      <c r="T916" t="s">
        <v>17755</v>
      </c>
      <c r="U916" t="s">
        <v>74</v>
      </c>
      <c r="V916" t="s">
        <v>17756</v>
      </c>
      <c r="W916" t="s">
        <v>17757</v>
      </c>
      <c r="X916" t="s">
        <v>17758</v>
      </c>
      <c r="Y916" t="s">
        <v>17759</v>
      </c>
      <c r="Z916" t="s">
        <v>17760</v>
      </c>
      <c r="AA916" t="s">
        <v>17761</v>
      </c>
      <c r="AB916" t="s">
        <v>17762</v>
      </c>
      <c r="AC916" t="s">
        <v>74</v>
      </c>
      <c r="AD916" t="s">
        <v>74</v>
      </c>
      <c r="AE916" t="s">
        <v>74</v>
      </c>
      <c r="AF916" t="s">
        <v>74</v>
      </c>
      <c r="AG916">
        <v>45</v>
      </c>
      <c r="AH916">
        <v>8</v>
      </c>
      <c r="AI916">
        <v>9</v>
      </c>
      <c r="AJ916">
        <v>2</v>
      </c>
      <c r="AK916">
        <v>15</v>
      </c>
      <c r="AL916" t="s">
        <v>1058</v>
      </c>
      <c r="AM916" t="s">
        <v>891</v>
      </c>
      <c r="AN916" t="s">
        <v>1059</v>
      </c>
      <c r="AO916" t="s">
        <v>17763</v>
      </c>
      <c r="AP916" t="s">
        <v>17764</v>
      </c>
      <c r="AQ916" t="s">
        <v>74</v>
      </c>
      <c r="AR916" t="s">
        <v>17765</v>
      </c>
      <c r="AS916" t="s">
        <v>17766</v>
      </c>
      <c r="AT916" t="s">
        <v>1091</v>
      </c>
      <c r="AU916">
        <v>2021</v>
      </c>
      <c r="AV916">
        <v>132</v>
      </c>
      <c r="AW916" t="s">
        <v>74</v>
      </c>
      <c r="AX916" t="s">
        <v>74</v>
      </c>
      <c r="AY916" t="s">
        <v>74</v>
      </c>
      <c r="AZ916" t="s">
        <v>74</v>
      </c>
      <c r="BA916" t="s">
        <v>74</v>
      </c>
      <c r="BB916" t="s">
        <v>74</v>
      </c>
      <c r="BC916" t="s">
        <v>74</v>
      </c>
      <c r="BD916">
        <v>103606</v>
      </c>
      <c r="BE916" t="s">
        <v>17767</v>
      </c>
      <c r="BF916" t="str">
        <f>HYPERLINK("http://dx.doi.org/10.1016/j.pnucene.2020.103606","http://dx.doi.org/10.1016/j.pnucene.2020.103606")</f>
        <v>http://dx.doi.org/10.1016/j.pnucene.2020.103606</v>
      </c>
      <c r="BG916" t="s">
        <v>74</v>
      </c>
      <c r="BH916" t="s">
        <v>74</v>
      </c>
      <c r="BI916">
        <v>10</v>
      </c>
      <c r="BJ916" t="s">
        <v>17768</v>
      </c>
      <c r="BK916" t="s">
        <v>101</v>
      </c>
      <c r="BL916" t="s">
        <v>17768</v>
      </c>
      <c r="BM916" t="s">
        <v>17769</v>
      </c>
      <c r="BN916" t="s">
        <v>74</v>
      </c>
      <c r="BO916" t="s">
        <v>74</v>
      </c>
      <c r="BP916" t="s">
        <v>74</v>
      </c>
      <c r="BQ916" t="s">
        <v>74</v>
      </c>
      <c r="BR916" t="s">
        <v>104</v>
      </c>
      <c r="BS916" t="s">
        <v>17770</v>
      </c>
      <c r="BT916" t="str">
        <f>HYPERLINK("https%3A%2F%2Fwww.webofscience.com%2Fwos%2Fwoscc%2Ffull-record%2FWOS:000613917800003","View Full Record in Web of Science")</f>
        <v>View Full Record in Web of Science</v>
      </c>
    </row>
    <row r="917" spans="1:72" x14ac:dyDescent="0.15">
      <c r="A917" t="s">
        <v>72</v>
      </c>
      <c r="B917" t="s">
        <v>17771</v>
      </c>
      <c r="C917" t="s">
        <v>74</v>
      </c>
      <c r="D917" t="s">
        <v>74</v>
      </c>
      <c r="E917" t="s">
        <v>74</v>
      </c>
      <c r="F917" t="s">
        <v>17772</v>
      </c>
      <c r="G917" t="s">
        <v>74</v>
      </c>
      <c r="H917" t="s">
        <v>74</v>
      </c>
      <c r="I917" t="s">
        <v>17773</v>
      </c>
      <c r="J917" t="s">
        <v>425</v>
      </c>
      <c r="K917" t="s">
        <v>74</v>
      </c>
      <c r="L917" t="s">
        <v>74</v>
      </c>
      <c r="M917" t="s">
        <v>78</v>
      </c>
      <c r="N917" t="s">
        <v>79</v>
      </c>
      <c r="O917" t="s">
        <v>74</v>
      </c>
      <c r="P917" t="s">
        <v>74</v>
      </c>
      <c r="Q917" t="s">
        <v>74</v>
      </c>
      <c r="R917" t="s">
        <v>74</v>
      </c>
      <c r="S917" t="s">
        <v>74</v>
      </c>
      <c r="T917" t="s">
        <v>17774</v>
      </c>
      <c r="U917" t="s">
        <v>74</v>
      </c>
      <c r="V917" t="s">
        <v>17775</v>
      </c>
      <c r="W917" t="s">
        <v>17776</v>
      </c>
      <c r="X917" t="s">
        <v>17777</v>
      </c>
      <c r="Y917" t="s">
        <v>17778</v>
      </c>
      <c r="Z917" t="s">
        <v>17779</v>
      </c>
      <c r="AA917" t="s">
        <v>74</v>
      </c>
      <c r="AB917" t="s">
        <v>17780</v>
      </c>
      <c r="AC917" t="s">
        <v>17781</v>
      </c>
      <c r="AD917" t="s">
        <v>17782</v>
      </c>
      <c r="AE917" t="s">
        <v>17783</v>
      </c>
      <c r="AF917" t="s">
        <v>74</v>
      </c>
      <c r="AG917">
        <v>31</v>
      </c>
      <c r="AH917">
        <v>5</v>
      </c>
      <c r="AI917">
        <v>6</v>
      </c>
      <c r="AJ917">
        <v>2</v>
      </c>
      <c r="AK917">
        <v>6</v>
      </c>
      <c r="AL917" t="s">
        <v>335</v>
      </c>
      <c r="AM917" t="s">
        <v>336</v>
      </c>
      <c r="AN917" t="s">
        <v>337</v>
      </c>
      <c r="AO917" t="s">
        <v>74</v>
      </c>
      <c r="AP917" t="s">
        <v>438</v>
      </c>
      <c r="AQ917" t="s">
        <v>74</v>
      </c>
      <c r="AR917" t="s">
        <v>439</v>
      </c>
      <c r="AS917" t="s">
        <v>440</v>
      </c>
      <c r="AT917" t="s">
        <v>1091</v>
      </c>
      <c r="AU917">
        <v>2021</v>
      </c>
      <c r="AV917">
        <v>13</v>
      </c>
      <c r="AW917">
        <v>3</v>
      </c>
      <c r="AX917" t="s">
        <v>74</v>
      </c>
      <c r="AY917" t="s">
        <v>74</v>
      </c>
      <c r="AZ917" t="s">
        <v>74</v>
      </c>
      <c r="BA917" t="s">
        <v>74</v>
      </c>
      <c r="BB917" t="s">
        <v>74</v>
      </c>
      <c r="BC917" t="s">
        <v>74</v>
      </c>
      <c r="BD917">
        <v>460</v>
      </c>
      <c r="BE917" t="s">
        <v>17784</v>
      </c>
      <c r="BF917" t="str">
        <f>HYPERLINK("http://dx.doi.org/10.3390/rs13030460","http://dx.doi.org/10.3390/rs13030460")</f>
        <v>http://dx.doi.org/10.3390/rs13030460</v>
      </c>
      <c r="BG917" t="s">
        <v>74</v>
      </c>
      <c r="BH917" t="s">
        <v>74</v>
      </c>
      <c r="BI917">
        <v>13</v>
      </c>
      <c r="BJ917" t="s">
        <v>442</v>
      </c>
      <c r="BK917" t="s">
        <v>101</v>
      </c>
      <c r="BL917" t="s">
        <v>443</v>
      </c>
      <c r="BM917" t="s">
        <v>17785</v>
      </c>
      <c r="BN917" t="s">
        <v>74</v>
      </c>
      <c r="BO917" t="s">
        <v>317</v>
      </c>
      <c r="BP917" t="s">
        <v>74</v>
      </c>
      <c r="BQ917" t="s">
        <v>74</v>
      </c>
      <c r="BR917" t="s">
        <v>104</v>
      </c>
      <c r="BS917" t="s">
        <v>17786</v>
      </c>
      <c r="BT917" t="str">
        <f>HYPERLINK("https%3A%2F%2Fwww.webofscience.com%2Fwos%2Fwoscc%2Ffull-record%2FWOS:000615469900001","View Full Record in Web of Science")</f>
        <v>View Full Record in Web of Science</v>
      </c>
    </row>
    <row r="918" spans="1:72" x14ac:dyDescent="0.15">
      <c r="A918" t="s">
        <v>72</v>
      </c>
      <c r="B918" t="s">
        <v>17787</v>
      </c>
      <c r="C918" t="s">
        <v>74</v>
      </c>
      <c r="D918" t="s">
        <v>74</v>
      </c>
      <c r="E918" t="s">
        <v>74</v>
      </c>
      <c r="F918" t="s">
        <v>17788</v>
      </c>
      <c r="G918" t="s">
        <v>74</v>
      </c>
      <c r="H918" t="s">
        <v>74</v>
      </c>
      <c r="I918" t="s">
        <v>17789</v>
      </c>
      <c r="J918" t="s">
        <v>11487</v>
      </c>
      <c r="K918" t="s">
        <v>74</v>
      </c>
      <c r="L918" t="s">
        <v>74</v>
      </c>
      <c r="M918" t="s">
        <v>78</v>
      </c>
      <c r="N918" t="s">
        <v>79</v>
      </c>
      <c r="O918" t="s">
        <v>74</v>
      </c>
      <c r="P918" t="s">
        <v>74</v>
      </c>
      <c r="Q918" t="s">
        <v>74</v>
      </c>
      <c r="R918" t="s">
        <v>74</v>
      </c>
      <c r="S918" t="s">
        <v>74</v>
      </c>
      <c r="T918" t="s">
        <v>17790</v>
      </c>
      <c r="U918" t="s">
        <v>74</v>
      </c>
      <c r="V918" t="s">
        <v>17791</v>
      </c>
      <c r="W918" t="s">
        <v>17792</v>
      </c>
      <c r="X918" t="s">
        <v>17793</v>
      </c>
      <c r="Y918" t="s">
        <v>17794</v>
      </c>
      <c r="Z918" t="s">
        <v>17795</v>
      </c>
      <c r="AA918" t="s">
        <v>17796</v>
      </c>
      <c r="AB918" t="s">
        <v>17797</v>
      </c>
      <c r="AC918" t="s">
        <v>17798</v>
      </c>
      <c r="AD918" t="s">
        <v>5166</v>
      </c>
      <c r="AE918" t="s">
        <v>74</v>
      </c>
      <c r="AF918" t="s">
        <v>74</v>
      </c>
      <c r="AG918">
        <v>30</v>
      </c>
      <c r="AH918">
        <v>22</v>
      </c>
      <c r="AI918">
        <v>24</v>
      </c>
      <c r="AJ918">
        <v>0</v>
      </c>
      <c r="AK918">
        <v>12</v>
      </c>
      <c r="AL918" t="s">
        <v>335</v>
      </c>
      <c r="AM918" t="s">
        <v>336</v>
      </c>
      <c r="AN918" t="s">
        <v>337</v>
      </c>
      <c r="AO918" t="s">
        <v>74</v>
      </c>
      <c r="AP918" t="s">
        <v>11499</v>
      </c>
      <c r="AQ918" t="s">
        <v>74</v>
      </c>
      <c r="AR918" t="s">
        <v>11500</v>
      </c>
      <c r="AS918" t="s">
        <v>11501</v>
      </c>
      <c r="AT918" t="s">
        <v>1091</v>
      </c>
      <c r="AU918">
        <v>2021</v>
      </c>
      <c r="AV918">
        <v>21</v>
      </c>
      <c r="AW918">
        <v>3</v>
      </c>
      <c r="AX918" t="s">
        <v>74</v>
      </c>
      <c r="AY918" t="s">
        <v>74</v>
      </c>
      <c r="AZ918" t="s">
        <v>74</v>
      </c>
      <c r="BA918" t="s">
        <v>74</v>
      </c>
      <c r="BB918" t="s">
        <v>74</v>
      </c>
      <c r="BC918" t="s">
        <v>74</v>
      </c>
      <c r="BD918">
        <v>963</v>
      </c>
      <c r="BE918" t="s">
        <v>17799</v>
      </c>
      <c r="BF918" t="str">
        <f>HYPERLINK("http://dx.doi.org/10.3390/s21030963","http://dx.doi.org/10.3390/s21030963")</f>
        <v>http://dx.doi.org/10.3390/s21030963</v>
      </c>
      <c r="BG918" t="s">
        <v>74</v>
      </c>
      <c r="BH918" t="s">
        <v>74</v>
      </c>
      <c r="BI918">
        <v>6</v>
      </c>
      <c r="BJ918" t="s">
        <v>11503</v>
      </c>
      <c r="BK918" t="s">
        <v>101</v>
      </c>
      <c r="BL918" t="s">
        <v>11504</v>
      </c>
      <c r="BM918" t="s">
        <v>17800</v>
      </c>
      <c r="BN918">
        <v>33535463</v>
      </c>
      <c r="BO918" t="s">
        <v>1319</v>
      </c>
      <c r="BP918" t="s">
        <v>74</v>
      </c>
      <c r="BQ918" t="s">
        <v>74</v>
      </c>
      <c r="BR918" t="s">
        <v>104</v>
      </c>
      <c r="BS918" t="s">
        <v>17801</v>
      </c>
      <c r="BT918" t="str">
        <f>HYPERLINK("https%3A%2F%2Fwww.webofscience.com%2Fwos%2Fwoscc%2Ffull-record%2FWOS:000615494000001","View Full Record in Web of Science")</f>
        <v>View Full Record in Web of Science</v>
      </c>
    </row>
    <row r="919" spans="1:72" x14ac:dyDescent="0.15">
      <c r="A919" t="s">
        <v>72</v>
      </c>
      <c r="B919" t="s">
        <v>17802</v>
      </c>
      <c r="C919" t="s">
        <v>74</v>
      </c>
      <c r="D919" t="s">
        <v>74</v>
      </c>
      <c r="E919" t="s">
        <v>74</v>
      </c>
      <c r="F919" t="s">
        <v>17803</v>
      </c>
      <c r="G919" t="s">
        <v>74</v>
      </c>
      <c r="H919" t="s">
        <v>74</v>
      </c>
      <c r="I919" t="s">
        <v>17804</v>
      </c>
      <c r="J919" t="s">
        <v>11487</v>
      </c>
      <c r="K919" t="s">
        <v>74</v>
      </c>
      <c r="L919" t="s">
        <v>74</v>
      </c>
      <c r="M919" t="s">
        <v>78</v>
      </c>
      <c r="N919" t="s">
        <v>79</v>
      </c>
      <c r="O919" t="s">
        <v>74</v>
      </c>
      <c r="P919" t="s">
        <v>74</v>
      </c>
      <c r="Q919" t="s">
        <v>74</v>
      </c>
      <c r="R919" t="s">
        <v>74</v>
      </c>
      <c r="S919" t="s">
        <v>74</v>
      </c>
      <c r="T919" t="s">
        <v>17805</v>
      </c>
      <c r="U919" t="s">
        <v>17806</v>
      </c>
      <c r="V919" t="s">
        <v>17807</v>
      </c>
      <c r="W919" t="s">
        <v>17808</v>
      </c>
      <c r="X919" t="s">
        <v>17809</v>
      </c>
      <c r="Y919" t="s">
        <v>17810</v>
      </c>
      <c r="Z919" t="s">
        <v>17811</v>
      </c>
      <c r="AA919" t="s">
        <v>17812</v>
      </c>
      <c r="AB919" t="s">
        <v>17813</v>
      </c>
      <c r="AC919" t="s">
        <v>17814</v>
      </c>
      <c r="AD919" t="s">
        <v>17815</v>
      </c>
      <c r="AE919" t="s">
        <v>17816</v>
      </c>
      <c r="AF919" t="s">
        <v>74</v>
      </c>
      <c r="AG919">
        <v>26</v>
      </c>
      <c r="AH919">
        <v>2</v>
      </c>
      <c r="AI919">
        <v>3</v>
      </c>
      <c r="AJ919">
        <v>2</v>
      </c>
      <c r="AK919">
        <v>13</v>
      </c>
      <c r="AL919" t="s">
        <v>335</v>
      </c>
      <c r="AM919" t="s">
        <v>336</v>
      </c>
      <c r="AN919" t="s">
        <v>337</v>
      </c>
      <c r="AO919" t="s">
        <v>74</v>
      </c>
      <c r="AP919" t="s">
        <v>11499</v>
      </c>
      <c r="AQ919" t="s">
        <v>74</v>
      </c>
      <c r="AR919" t="s">
        <v>11500</v>
      </c>
      <c r="AS919" t="s">
        <v>11501</v>
      </c>
      <c r="AT919" t="s">
        <v>1091</v>
      </c>
      <c r="AU919">
        <v>2021</v>
      </c>
      <c r="AV919">
        <v>21</v>
      </c>
      <c r="AW919">
        <v>3</v>
      </c>
      <c r="AX919" t="s">
        <v>74</v>
      </c>
      <c r="AY919" t="s">
        <v>74</v>
      </c>
      <c r="AZ919" t="s">
        <v>74</v>
      </c>
      <c r="BA919" t="s">
        <v>74</v>
      </c>
      <c r="BB919" t="s">
        <v>74</v>
      </c>
      <c r="BC919" t="s">
        <v>74</v>
      </c>
      <c r="BD919">
        <v>755</v>
      </c>
      <c r="BE919" t="s">
        <v>17817</v>
      </c>
      <c r="BF919" t="str">
        <f>HYPERLINK("http://dx.doi.org/10.3390/s21030755","http://dx.doi.org/10.3390/s21030755")</f>
        <v>http://dx.doi.org/10.3390/s21030755</v>
      </c>
      <c r="BG919" t="s">
        <v>74</v>
      </c>
      <c r="BH919" t="s">
        <v>74</v>
      </c>
      <c r="BI919">
        <v>24</v>
      </c>
      <c r="BJ919" t="s">
        <v>11503</v>
      </c>
      <c r="BK919" t="s">
        <v>101</v>
      </c>
      <c r="BL919" t="s">
        <v>11504</v>
      </c>
      <c r="BM919" t="s">
        <v>17818</v>
      </c>
      <c r="BN919">
        <v>33498699</v>
      </c>
      <c r="BO919" t="s">
        <v>298</v>
      </c>
      <c r="BP919" t="s">
        <v>74</v>
      </c>
      <c r="BQ919" t="s">
        <v>74</v>
      </c>
      <c r="BR919" t="s">
        <v>104</v>
      </c>
      <c r="BS919" t="s">
        <v>17819</v>
      </c>
      <c r="BT919" t="str">
        <f>HYPERLINK("https%3A%2F%2Fwww.webofscience.com%2Fwos%2Fwoscc%2Ffull-record%2FWOS:000615512000001","View Full Record in Web of Science")</f>
        <v>View Full Record in Web of Science</v>
      </c>
    </row>
    <row r="920" spans="1:72" x14ac:dyDescent="0.15">
      <c r="A920" t="s">
        <v>72</v>
      </c>
      <c r="B920" t="s">
        <v>17820</v>
      </c>
      <c r="C920" t="s">
        <v>74</v>
      </c>
      <c r="D920" t="s">
        <v>74</v>
      </c>
      <c r="E920" t="s">
        <v>74</v>
      </c>
      <c r="F920" t="s">
        <v>17821</v>
      </c>
      <c r="G920" t="s">
        <v>74</v>
      </c>
      <c r="H920" t="s">
        <v>74</v>
      </c>
      <c r="I920" t="s">
        <v>17822</v>
      </c>
      <c r="J920" t="s">
        <v>17823</v>
      </c>
      <c r="K920" t="s">
        <v>74</v>
      </c>
      <c r="L920" t="s">
        <v>74</v>
      </c>
      <c r="M920" t="s">
        <v>78</v>
      </c>
      <c r="N920" t="s">
        <v>79</v>
      </c>
      <c r="O920" t="s">
        <v>74</v>
      </c>
      <c r="P920" t="s">
        <v>74</v>
      </c>
      <c r="Q920" t="s">
        <v>74</v>
      </c>
      <c r="R920" t="s">
        <v>74</v>
      </c>
      <c r="S920" t="s">
        <v>74</v>
      </c>
      <c r="T920" t="s">
        <v>17824</v>
      </c>
      <c r="U920" t="s">
        <v>17825</v>
      </c>
      <c r="V920" t="s">
        <v>17826</v>
      </c>
      <c r="W920" t="s">
        <v>17827</v>
      </c>
      <c r="X920" t="s">
        <v>17828</v>
      </c>
      <c r="Y920" t="s">
        <v>17829</v>
      </c>
      <c r="Z920" t="s">
        <v>17830</v>
      </c>
      <c r="AA920" t="s">
        <v>8593</v>
      </c>
      <c r="AB920" t="s">
        <v>8594</v>
      </c>
      <c r="AC920" t="s">
        <v>17831</v>
      </c>
      <c r="AD920" t="s">
        <v>17832</v>
      </c>
      <c r="AE920" t="s">
        <v>17833</v>
      </c>
      <c r="AF920" t="s">
        <v>74</v>
      </c>
      <c r="AG920">
        <v>40</v>
      </c>
      <c r="AH920">
        <v>16</v>
      </c>
      <c r="AI920">
        <v>16</v>
      </c>
      <c r="AJ920">
        <v>4</v>
      </c>
      <c r="AK920">
        <v>22</v>
      </c>
      <c r="AL920" t="s">
        <v>17834</v>
      </c>
      <c r="AM920" t="s">
        <v>17835</v>
      </c>
      <c r="AN920" t="s">
        <v>17836</v>
      </c>
      <c r="AO920" t="s">
        <v>17837</v>
      </c>
      <c r="AP920" t="s">
        <v>17838</v>
      </c>
      <c r="AQ920" t="s">
        <v>74</v>
      </c>
      <c r="AR920" t="s">
        <v>17839</v>
      </c>
      <c r="AS920" t="s">
        <v>17840</v>
      </c>
      <c r="AT920" t="s">
        <v>1091</v>
      </c>
      <c r="AU920">
        <v>2021</v>
      </c>
      <c r="AV920">
        <v>72</v>
      </c>
      <c r="AW920">
        <v>1</v>
      </c>
      <c r="AX920" t="s">
        <v>74</v>
      </c>
      <c r="AY920" t="s">
        <v>74</v>
      </c>
      <c r="AZ920" t="s">
        <v>74</v>
      </c>
      <c r="BA920" t="s">
        <v>74</v>
      </c>
      <c r="BB920" t="s">
        <v>74</v>
      </c>
      <c r="BC920" t="s">
        <v>74</v>
      </c>
      <c r="BD920">
        <v>27</v>
      </c>
      <c r="BE920" t="s">
        <v>17841</v>
      </c>
      <c r="BF920" t="str">
        <f>HYPERLINK("http://dx.doi.org/10.1007/s00033-020-01452-z","http://dx.doi.org/10.1007/s00033-020-01452-z")</f>
        <v>http://dx.doi.org/10.1007/s00033-020-01452-z</v>
      </c>
      <c r="BG920" t="s">
        <v>74</v>
      </c>
      <c r="BH920" t="s">
        <v>74</v>
      </c>
      <c r="BI920">
        <v>18</v>
      </c>
      <c r="BJ920" t="s">
        <v>2749</v>
      </c>
      <c r="BK920" t="s">
        <v>101</v>
      </c>
      <c r="BL920" t="s">
        <v>2750</v>
      </c>
      <c r="BM920" t="s">
        <v>17842</v>
      </c>
      <c r="BN920" t="s">
        <v>74</v>
      </c>
      <c r="BO920" t="s">
        <v>74</v>
      </c>
      <c r="BP920" t="s">
        <v>74</v>
      </c>
      <c r="BQ920" t="s">
        <v>74</v>
      </c>
      <c r="BR920" t="s">
        <v>104</v>
      </c>
      <c r="BS920" t="s">
        <v>17843</v>
      </c>
      <c r="BT920" t="str">
        <f>HYPERLINK("https%3A%2F%2Fwww.webofscience.com%2Fwos%2Fwoscc%2Ffull-record%2FWOS:000609425000008","View Full Record in Web of Science")</f>
        <v>View Full Record in Web of Science</v>
      </c>
    </row>
    <row r="921" spans="1:72" x14ac:dyDescent="0.15">
      <c r="A921" t="s">
        <v>72</v>
      </c>
      <c r="B921" t="s">
        <v>17844</v>
      </c>
      <c r="C921" t="s">
        <v>74</v>
      </c>
      <c r="D921" t="s">
        <v>74</v>
      </c>
      <c r="E921" t="s">
        <v>74</v>
      </c>
      <c r="F921" t="s">
        <v>17845</v>
      </c>
      <c r="G921" t="s">
        <v>74</v>
      </c>
      <c r="H921" t="s">
        <v>74</v>
      </c>
      <c r="I921" t="s">
        <v>17846</v>
      </c>
      <c r="J921" t="s">
        <v>17847</v>
      </c>
      <c r="K921" t="s">
        <v>74</v>
      </c>
      <c r="L921" t="s">
        <v>74</v>
      </c>
      <c r="M921" t="s">
        <v>78</v>
      </c>
      <c r="N921" t="s">
        <v>79</v>
      </c>
      <c r="O921" t="s">
        <v>74</v>
      </c>
      <c r="P921" t="s">
        <v>74</v>
      </c>
      <c r="Q921" t="s">
        <v>74</v>
      </c>
      <c r="R921" t="s">
        <v>74</v>
      </c>
      <c r="S921" t="s">
        <v>74</v>
      </c>
      <c r="T921" t="s">
        <v>17848</v>
      </c>
      <c r="U921" t="s">
        <v>17849</v>
      </c>
      <c r="V921" t="s">
        <v>17850</v>
      </c>
      <c r="W921" t="s">
        <v>17851</v>
      </c>
      <c r="X921" t="s">
        <v>17852</v>
      </c>
      <c r="Y921" t="s">
        <v>17853</v>
      </c>
      <c r="Z921" t="s">
        <v>17854</v>
      </c>
      <c r="AA921" t="s">
        <v>74</v>
      </c>
      <c r="AB921" t="s">
        <v>74</v>
      </c>
      <c r="AC921" t="s">
        <v>17855</v>
      </c>
      <c r="AD921" t="s">
        <v>17856</v>
      </c>
      <c r="AE921" t="s">
        <v>17857</v>
      </c>
      <c r="AF921" t="s">
        <v>74</v>
      </c>
      <c r="AG921">
        <v>77</v>
      </c>
      <c r="AH921">
        <v>8</v>
      </c>
      <c r="AI921">
        <v>8</v>
      </c>
      <c r="AJ921">
        <v>0</v>
      </c>
      <c r="AK921">
        <v>5</v>
      </c>
      <c r="AL921" t="s">
        <v>486</v>
      </c>
      <c r="AM921" t="s">
        <v>487</v>
      </c>
      <c r="AN921" t="s">
        <v>488</v>
      </c>
      <c r="AO921" t="s">
        <v>17858</v>
      </c>
      <c r="AP921" t="s">
        <v>17859</v>
      </c>
      <c r="AQ921" t="s">
        <v>74</v>
      </c>
      <c r="AR921" t="s">
        <v>17860</v>
      </c>
      <c r="AS921" t="s">
        <v>17861</v>
      </c>
      <c r="AT921" t="s">
        <v>1091</v>
      </c>
      <c r="AU921">
        <v>2021</v>
      </c>
      <c r="AV921">
        <v>51</v>
      </c>
      <c r="AW921">
        <v>1</v>
      </c>
      <c r="AX921" t="s">
        <v>74</v>
      </c>
      <c r="AY921" t="s">
        <v>74</v>
      </c>
      <c r="AZ921" t="s">
        <v>74</v>
      </c>
      <c r="BA921" t="s">
        <v>74</v>
      </c>
      <c r="BB921" t="s">
        <v>74</v>
      </c>
      <c r="BC921" t="s">
        <v>74</v>
      </c>
      <c r="BD921">
        <v>18</v>
      </c>
      <c r="BE921" t="s">
        <v>17862</v>
      </c>
      <c r="BF921" t="str">
        <f>HYPERLINK("http://dx.doi.org/10.1007/s12526-020-01124-1","http://dx.doi.org/10.1007/s12526-020-01124-1")</f>
        <v>http://dx.doi.org/10.1007/s12526-020-01124-1</v>
      </c>
      <c r="BG921" t="s">
        <v>74</v>
      </c>
      <c r="BH921" t="s">
        <v>74</v>
      </c>
      <c r="BI921">
        <v>27</v>
      </c>
      <c r="BJ921" t="s">
        <v>17863</v>
      </c>
      <c r="BK921" t="s">
        <v>101</v>
      </c>
      <c r="BL921" t="s">
        <v>17864</v>
      </c>
      <c r="BM921" t="s">
        <v>17865</v>
      </c>
      <c r="BN921" t="s">
        <v>74</v>
      </c>
      <c r="BO921" t="s">
        <v>74</v>
      </c>
      <c r="BP921" t="s">
        <v>74</v>
      </c>
      <c r="BQ921" t="s">
        <v>74</v>
      </c>
      <c r="BR921" t="s">
        <v>104</v>
      </c>
      <c r="BS921" t="s">
        <v>17866</v>
      </c>
      <c r="BT921" t="str">
        <f>HYPERLINK("https%3A%2F%2Fwww.webofscience.com%2Fwos%2Fwoscc%2Ffull-record%2FWOS:000613423800001","View Full Record in Web of Science")</f>
        <v>View Full Record in Web of Science</v>
      </c>
    </row>
    <row r="922" spans="1:72" x14ac:dyDescent="0.15">
      <c r="A922" t="s">
        <v>72</v>
      </c>
      <c r="B922" t="s">
        <v>17867</v>
      </c>
      <c r="C922" t="s">
        <v>74</v>
      </c>
      <c r="D922" t="s">
        <v>74</v>
      </c>
      <c r="E922" t="s">
        <v>74</v>
      </c>
      <c r="F922" t="s">
        <v>17868</v>
      </c>
      <c r="G922" t="s">
        <v>74</v>
      </c>
      <c r="H922" t="s">
        <v>74</v>
      </c>
      <c r="I922" t="s">
        <v>17869</v>
      </c>
      <c r="J922" t="s">
        <v>3228</v>
      </c>
      <c r="K922" t="s">
        <v>74</v>
      </c>
      <c r="L922" t="s">
        <v>74</v>
      </c>
      <c r="M922" t="s">
        <v>78</v>
      </c>
      <c r="N922" t="s">
        <v>79</v>
      </c>
      <c r="O922" t="s">
        <v>74</v>
      </c>
      <c r="P922" t="s">
        <v>74</v>
      </c>
      <c r="Q922" t="s">
        <v>74</v>
      </c>
      <c r="R922" t="s">
        <v>74</v>
      </c>
      <c r="S922" t="s">
        <v>74</v>
      </c>
      <c r="T922" t="s">
        <v>17870</v>
      </c>
      <c r="U922" t="s">
        <v>74</v>
      </c>
      <c r="V922" t="s">
        <v>17871</v>
      </c>
      <c r="W922" t="s">
        <v>17872</v>
      </c>
      <c r="X922" t="s">
        <v>7283</v>
      </c>
      <c r="Y922" t="s">
        <v>17873</v>
      </c>
      <c r="Z922" t="s">
        <v>17874</v>
      </c>
      <c r="AA922" t="s">
        <v>74</v>
      </c>
      <c r="AB922" t="s">
        <v>17875</v>
      </c>
      <c r="AC922" t="s">
        <v>17876</v>
      </c>
      <c r="AD922" t="s">
        <v>17877</v>
      </c>
      <c r="AE922" t="s">
        <v>17878</v>
      </c>
      <c r="AF922" t="s">
        <v>74</v>
      </c>
      <c r="AG922">
        <v>64</v>
      </c>
      <c r="AH922">
        <v>21</v>
      </c>
      <c r="AI922">
        <v>21</v>
      </c>
      <c r="AJ922">
        <v>0</v>
      </c>
      <c r="AK922">
        <v>20</v>
      </c>
      <c r="AL922" t="s">
        <v>890</v>
      </c>
      <c r="AM922" t="s">
        <v>891</v>
      </c>
      <c r="AN922" t="s">
        <v>892</v>
      </c>
      <c r="AO922" t="s">
        <v>3240</v>
      </c>
      <c r="AP922" t="s">
        <v>3241</v>
      </c>
      <c r="AQ922" t="s">
        <v>74</v>
      </c>
      <c r="AR922" t="s">
        <v>3242</v>
      </c>
      <c r="AS922" t="s">
        <v>3243</v>
      </c>
      <c r="AT922" t="s">
        <v>1091</v>
      </c>
      <c r="AU922">
        <v>2021</v>
      </c>
      <c r="AV922">
        <v>124</v>
      </c>
      <c r="AW922" t="s">
        <v>74</v>
      </c>
      <c r="AX922" t="s">
        <v>74</v>
      </c>
      <c r="AY922" t="s">
        <v>74</v>
      </c>
      <c r="AZ922" t="s">
        <v>74</v>
      </c>
      <c r="BA922" t="s">
        <v>74</v>
      </c>
      <c r="BB922" t="s">
        <v>74</v>
      </c>
      <c r="BC922" t="s">
        <v>74</v>
      </c>
      <c r="BD922">
        <v>104370</v>
      </c>
      <c r="BE922" t="s">
        <v>17879</v>
      </c>
      <c r="BF922" t="str">
        <f>HYPERLINK("http://dx.doi.org/10.1016/j.marpol.2020.104370","http://dx.doi.org/10.1016/j.marpol.2020.104370")</f>
        <v>http://dx.doi.org/10.1016/j.marpol.2020.104370</v>
      </c>
      <c r="BG922" t="s">
        <v>74</v>
      </c>
      <c r="BH922" t="s">
        <v>74</v>
      </c>
      <c r="BI922">
        <v>10</v>
      </c>
      <c r="BJ922" t="s">
        <v>3245</v>
      </c>
      <c r="BK922" t="s">
        <v>3246</v>
      </c>
      <c r="BL922" t="s">
        <v>3247</v>
      </c>
      <c r="BM922" t="s">
        <v>17880</v>
      </c>
      <c r="BN922" t="s">
        <v>74</v>
      </c>
      <c r="BO922" t="s">
        <v>227</v>
      </c>
      <c r="BP922" t="s">
        <v>74</v>
      </c>
      <c r="BQ922" t="s">
        <v>74</v>
      </c>
      <c r="BR922" t="s">
        <v>104</v>
      </c>
      <c r="BS922" t="s">
        <v>17881</v>
      </c>
      <c r="BT922" t="str">
        <f>HYPERLINK("https%3A%2F%2Fwww.webofscience.com%2Fwos%2Fwoscc%2Ffull-record%2FWOS:000609164600013","View Full Record in Web of Science")</f>
        <v>View Full Record in Web of Science</v>
      </c>
    </row>
    <row r="923" spans="1:72" x14ac:dyDescent="0.15">
      <c r="A923" t="s">
        <v>72</v>
      </c>
      <c r="B923" t="s">
        <v>17882</v>
      </c>
      <c r="C923" t="s">
        <v>74</v>
      </c>
      <c r="D923" t="s">
        <v>74</v>
      </c>
      <c r="E923" t="s">
        <v>74</v>
      </c>
      <c r="F923" t="s">
        <v>17883</v>
      </c>
      <c r="G923" t="s">
        <v>74</v>
      </c>
      <c r="H923" t="s">
        <v>74</v>
      </c>
      <c r="I923" t="s">
        <v>17884</v>
      </c>
      <c r="J923" t="s">
        <v>1421</v>
      </c>
      <c r="K923" t="s">
        <v>74</v>
      </c>
      <c r="L923" t="s">
        <v>74</v>
      </c>
      <c r="M923" t="s">
        <v>78</v>
      </c>
      <c r="N923" t="s">
        <v>79</v>
      </c>
      <c r="O923" t="s">
        <v>74</v>
      </c>
      <c r="P923" t="s">
        <v>74</v>
      </c>
      <c r="Q923" t="s">
        <v>74</v>
      </c>
      <c r="R923" t="s">
        <v>74</v>
      </c>
      <c r="S923" t="s">
        <v>74</v>
      </c>
      <c r="T923" t="s">
        <v>17885</v>
      </c>
      <c r="U923" t="s">
        <v>17886</v>
      </c>
      <c r="V923" t="s">
        <v>17887</v>
      </c>
      <c r="W923" t="s">
        <v>17888</v>
      </c>
      <c r="X923" t="s">
        <v>17889</v>
      </c>
      <c r="Y923" t="s">
        <v>17890</v>
      </c>
      <c r="Z923" t="s">
        <v>8381</v>
      </c>
      <c r="AA923" t="s">
        <v>74</v>
      </c>
      <c r="AB923" t="s">
        <v>74</v>
      </c>
      <c r="AC923" t="s">
        <v>17891</v>
      </c>
      <c r="AD923" t="s">
        <v>17892</v>
      </c>
      <c r="AE923" t="s">
        <v>17893</v>
      </c>
      <c r="AF923" t="s">
        <v>74</v>
      </c>
      <c r="AG923">
        <v>58</v>
      </c>
      <c r="AH923">
        <v>8</v>
      </c>
      <c r="AI923">
        <v>8</v>
      </c>
      <c r="AJ923">
        <v>2</v>
      </c>
      <c r="AK923">
        <v>14</v>
      </c>
      <c r="AL923" t="s">
        <v>166</v>
      </c>
      <c r="AM923" t="s">
        <v>167</v>
      </c>
      <c r="AN923" t="s">
        <v>168</v>
      </c>
      <c r="AO923" t="s">
        <v>1433</v>
      </c>
      <c r="AP923" t="s">
        <v>1434</v>
      </c>
      <c r="AQ923" t="s">
        <v>74</v>
      </c>
      <c r="AR923" t="s">
        <v>1435</v>
      </c>
      <c r="AS923" t="s">
        <v>1436</v>
      </c>
      <c r="AT923" t="s">
        <v>1091</v>
      </c>
      <c r="AU923">
        <v>2021</v>
      </c>
      <c r="AV923">
        <v>44</v>
      </c>
      <c r="AW923">
        <v>2</v>
      </c>
      <c r="AX923" t="s">
        <v>74</v>
      </c>
      <c r="AY923" t="s">
        <v>74</v>
      </c>
      <c r="AZ923" t="s">
        <v>74</v>
      </c>
      <c r="BA923" t="s">
        <v>74</v>
      </c>
      <c r="BB923">
        <v>379</v>
      </c>
      <c r="BC923">
        <v>388</v>
      </c>
      <c r="BD923" t="s">
        <v>74</v>
      </c>
      <c r="BE923" t="s">
        <v>17894</v>
      </c>
      <c r="BF923" t="str">
        <f>HYPERLINK("http://dx.doi.org/10.1007/s00300-021-02799-3","http://dx.doi.org/10.1007/s00300-021-02799-3")</f>
        <v>http://dx.doi.org/10.1007/s00300-021-02799-3</v>
      </c>
      <c r="BG923" t="s">
        <v>74</v>
      </c>
      <c r="BH923" t="s">
        <v>12028</v>
      </c>
      <c r="BI923">
        <v>10</v>
      </c>
      <c r="BJ923" t="s">
        <v>1438</v>
      </c>
      <c r="BK923" t="s">
        <v>101</v>
      </c>
      <c r="BL923" t="s">
        <v>1439</v>
      </c>
      <c r="BM923" t="s">
        <v>15164</v>
      </c>
      <c r="BN923" t="s">
        <v>74</v>
      </c>
      <c r="BO923" t="s">
        <v>74</v>
      </c>
      <c r="BP923" t="s">
        <v>74</v>
      </c>
      <c r="BQ923" t="s">
        <v>74</v>
      </c>
      <c r="BR923" t="s">
        <v>104</v>
      </c>
      <c r="BS923" t="s">
        <v>17895</v>
      </c>
      <c r="BT923" t="str">
        <f>HYPERLINK("https%3A%2F%2Fwww.webofscience.com%2Fwos%2Fwoscc%2Ffull-record%2FWOS:000613187000001","View Full Record in Web of Science")</f>
        <v>View Full Record in Web of Science</v>
      </c>
    </row>
    <row r="924" spans="1:72" x14ac:dyDescent="0.15">
      <c r="A924" t="s">
        <v>72</v>
      </c>
      <c r="B924" t="s">
        <v>17896</v>
      </c>
      <c r="C924" t="s">
        <v>74</v>
      </c>
      <c r="D924" t="s">
        <v>74</v>
      </c>
      <c r="E924" t="s">
        <v>74</v>
      </c>
      <c r="F924" t="s">
        <v>17897</v>
      </c>
      <c r="G924" t="s">
        <v>74</v>
      </c>
      <c r="H924" t="s">
        <v>74</v>
      </c>
      <c r="I924" t="s">
        <v>17898</v>
      </c>
      <c r="J924" t="s">
        <v>232</v>
      </c>
      <c r="K924" t="s">
        <v>74</v>
      </c>
      <c r="L924" t="s">
        <v>74</v>
      </c>
      <c r="M924" t="s">
        <v>78</v>
      </c>
      <c r="N924" t="s">
        <v>79</v>
      </c>
      <c r="O924" t="s">
        <v>74</v>
      </c>
      <c r="P924" t="s">
        <v>74</v>
      </c>
      <c r="Q924" t="s">
        <v>74</v>
      </c>
      <c r="R924" t="s">
        <v>74</v>
      </c>
      <c r="S924" t="s">
        <v>74</v>
      </c>
      <c r="T924" t="s">
        <v>17899</v>
      </c>
      <c r="U924" t="s">
        <v>74</v>
      </c>
      <c r="V924" t="s">
        <v>17900</v>
      </c>
      <c r="W924" t="s">
        <v>17901</v>
      </c>
      <c r="X924" t="s">
        <v>237</v>
      </c>
      <c r="Y924" t="s">
        <v>17902</v>
      </c>
      <c r="Z924" t="s">
        <v>17903</v>
      </c>
      <c r="AA924" t="s">
        <v>240</v>
      </c>
      <c r="AB924" t="s">
        <v>17904</v>
      </c>
      <c r="AC924" t="s">
        <v>17905</v>
      </c>
      <c r="AD924" t="s">
        <v>17906</v>
      </c>
      <c r="AE924" t="s">
        <v>17907</v>
      </c>
      <c r="AF924" t="s">
        <v>74</v>
      </c>
      <c r="AG924">
        <v>38</v>
      </c>
      <c r="AH924">
        <v>6</v>
      </c>
      <c r="AI924">
        <v>6</v>
      </c>
      <c r="AJ924">
        <v>3</v>
      </c>
      <c r="AK924">
        <v>24</v>
      </c>
      <c r="AL924" t="s">
        <v>245</v>
      </c>
      <c r="AM924" t="s">
        <v>246</v>
      </c>
      <c r="AN924" t="s">
        <v>247</v>
      </c>
      <c r="AO924" t="s">
        <v>248</v>
      </c>
      <c r="AP924" t="s">
        <v>249</v>
      </c>
      <c r="AQ924" t="s">
        <v>74</v>
      </c>
      <c r="AR924" t="s">
        <v>250</v>
      </c>
      <c r="AS924" t="s">
        <v>251</v>
      </c>
      <c r="AT924" t="s">
        <v>1091</v>
      </c>
      <c r="AU924">
        <v>2021</v>
      </c>
      <c r="AV924">
        <v>59</v>
      </c>
      <c r="AW924">
        <v>2</v>
      </c>
      <c r="AX924" t="s">
        <v>74</v>
      </c>
      <c r="AY924" t="s">
        <v>74</v>
      </c>
      <c r="AZ924" t="s">
        <v>74</v>
      </c>
      <c r="BA924" t="s">
        <v>74</v>
      </c>
      <c r="BB924">
        <v>1700</v>
      </c>
      <c r="BC924">
        <v>1717</v>
      </c>
      <c r="BD924" t="s">
        <v>74</v>
      </c>
      <c r="BE924" t="s">
        <v>17908</v>
      </c>
      <c r="BF924" t="str">
        <f>HYPERLINK("http://dx.doi.org/10.1109/TGRS.2020.2999132","http://dx.doi.org/10.1109/TGRS.2020.2999132")</f>
        <v>http://dx.doi.org/10.1109/TGRS.2020.2999132</v>
      </c>
      <c r="BG924" t="s">
        <v>74</v>
      </c>
      <c r="BH924" t="s">
        <v>74</v>
      </c>
      <c r="BI924">
        <v>18</v>
      </c>
      <c r="BJ924" t="s">
        <v>253</v>
      </c>
      <c r="BK924" t="s">
        <v>101</v>
      </c>
      <c r="BL924" t="s">
        <v>254</v>
      </c>
      <c r="BM924" t="s">
        <v>17909</v>
      </c>
      <c r="BN924" t="s">
        <v>74</v>
      </c>
      <c r="BO924" t="s">
        <v>74</v>
      </c>
      <c r="BP924" t="s">
        <v>74</v>
      </c>
      <c r="BQ924" t="s">
        <v>74</v>
      </c>
      <c r="BR924" t="s">
        <v>104</v>
      </c>
      <c r="BS924" t="s">
        <v>17910</v>
      </c>
      <c r="BT924" t="str">
        <f>HYPERLINK("https%3A%2F%2Fwww.webofscience.com%2Fwos%2Fwoscc%2Ffull-record%2FWOS:000611222400057","View Full Record in Web of Science")</f>
        <v>View Full Record in Web of Science</v>
      </c>
    </row>
    <row r="925" spans="1:72" x14ac:dyDescent="0.15">
      <c r="A925" t="s">
        <v>72</v>
      </c>
      <c r="B925" t="s">
        <v>17911</v>
      </c>
      <c r="C925" t="s">
        <v>74</v>
      </c>
      <c r="D925" t="s">
        <v>74</v>
      </c>
      <c r="E925" t="s">
        <v>74</v>
      </c>
      <c r="F925" t="s">
        <v>17912</v>
      </c>
      <c r="G925" t="s">
        <v>74</v>
      </c>
      <c r="H925" t="s">
        <v>74</v>
      </c>
      <c r="I925" t="s">
        <v>17913</v>
      </c>
      <c r="J925" t="s">
        <v>3228</v>
      </c>
      <c r="K925" t="s">
        <v>74</v>
      </c>
      <c r="L925" t="s">
        <v>74</v>
      </c>
      <c r="M925" t="s">
        <v>78</v>
      </c>
      <c r="N925" t="s">
        <v>79</v>
      </c>
      <c r="O925" t="s">
        <v>74</v>
      </c>
      <c r="P925" t="s">
        <v>74</v>
      </c>
      <c r="Q925" t="s">
        <v>74</v>
      </c>
      <c r="R925" t="s">
        <v>74</v>
      </c>
      <c r="S925" t="s">
        <v>74</v>
      </c>
      <c r="T925" t="s">
        <v>17914</v>
      </c>
      <c r="U925" t="s">
        <v>17915</v>
      </c>
      <c r="V925" t="s">
        <v>17916</v>
      </c>
      <c r="W925" t="s">
        <v>17917</v>
      </c>
      <c r="X925" t="s">
        <v>17918</v>
      </c>
      <c r="Y925" t="s">
        <v>17919</v>
      </c>
      <c r="Z925" t="s">
        <v>17920</v>
      </c>
      <c r="AA925" t="s">
        <v>17921</v>
      </c>
      <c r="AB925" t="s">
        <v>17922</v>
      </c>
      <c r="AC925" t="s">
        <v>17923</v>
      </c>
      <c r="AD925" t="s">
        <v>17924</v>
      </c>
      <c r="AE925" t="s">
        <v>17925</v>
      </c>
      <c r="AF925" t="s">
        <v>74</v>
      </c>
      <c r="AG925">
        <v>80</v>
      </c>
      <c r="AH925">
        <v>4</v>
      </c>
      <c r="AI925">
        <v>4</v>
      </c>
      <c r="AJ925">
        <v>1</v>
      </c>
      <c r="AK925">
        <v>5</v>
      </c>
      <c r="AL925" t="s">
        <v>890</v>
      </c>
      <c r="AM925" t="s">
        <v>891</v>
      </c>
      <c r="AN925" t="s">
        <v>892</v>
      </c>
      <c r="AO925" t="s">
        <v>3240</v>
      </c>
      <c r="AP925" t="s">
        <v>3241</v>
      </c>
      <c r="AQ925" t="s">
        <v>74</v>
      </c>
      <c r="AR925" t="s">
        <v>3242</v>
      </c>
      <c r="AS925" t="s">
        <v>3243</v>
      </c>
      <c r="AT925" t="s">
        <v>1091</v>
      </c>
      <c r="AU925">
        <v>2021</v>
      </c>
      <c r="AV925">
        <v>124</v>
      </c>
      <c r="AW925" t="s">
        <v>74</v>
      </c>
      <c r="AX925" t="s">
        <v>74</v>
      </c>
      <c r="AY925" t="s">
        <v>74</v>
      </c>
      <c r="AZ925" t="s">
        <v>74</v>
      </c>
      <c r="BA925" t="s">
        <v>74</v>
      </c>
      <c r="BB925" t="s">
        <v>74</v>
      </c>
      <c r="BC925" t="s">
        <v>74</v>
      </c>
      <c r="BD925">
        <v>104353</v>
      </c>
      <c r="BE925" t="s">
        <v>17926</v>
      </c>
      <c r="BF925" t="str">
        <f>HYPERLINK("http://dx.doi.org/10.1016/j.marpol.2020.104353","http://dx.doi.org/10.1016/j.marpol.2020.104353")</f>
        <v>http://dx.doi.org/10.1016/j.marpol.2020.104353</v>
      </c>
      <c r="BG925" t="s">
        <v>74</v>
      </c>
      <c r="BH925" t="s">
        <v>74</v>
      </c>
      <c r="BI925">
        <v>11</v>
      </c>
      <c r="BJ925" t="s">
        <v>3245</v>
      </c>
      <c r="BK925" t="s">
        <v>3246</v>
      </c>
      <c r="BL925" t="s">
        <v>3247</v>
      </c>
      <c r="BM925" t="s">
        <v>17927</v>
      </c>
      <c r="BN925" t="s">
        <v>74</v>
      </c>
      <c r="BO925" t="s">
        <v>74</v>
      </c>
      <c r="BP925" t="s">
        <v>74</v>
      </c>
      <c r="BQ925" t="s">
        <v>74</v>
      </c>
      <c r="BR925" t="s">
        <v>104</v>
      </c>
      <c r="BS925" t="s">
        <v>17928</v>
      </c>
      <c r="BT925" t="str">
        <f>HYPERLINK("https%3A%2F%2Fwww.webofscience.com%2Fwos%2Fwoscc%2Ffull-record%2FWOS:000609164100001","View Full Record in Web of Science")</f>
        <v>View Full Record in Web of Science</v>
      </c>
    </row>
    <row r="926" spans="1:72" x14ac:dyDescent="0.15">
      <c r="A926" t="s">
        <v>72</v>
      </c>
      <c r="B926" t="s">
        <v>17929</v>
      </c>
      <c r="C926" t="s">
        <v>74</v>
      </c>
      <c r="D926" t="s">
        <v>74</v>
      </c>
      <c r="E926" t="s">
        <v>74</v>
      </c>
      <c r="F926" t="s">
        <v>17930</v>
      </c>
      <c r="G926" t="s">
        <v>74</v>
      </c>
      <c r="H926" t="s">
        <v>74</v>
      </c>
      <c r="I926" t="s">
        <v>17931</v>
      </c>
      <c r="J926" t="s">
        <v>17932</v>
      </c>
      <c r="K926" t="s">
        <v>74</v>
      </c>
      <c r="L926" t="s">
        <v>74</v>
      </c>
      <c r="M926" t="s">
        <v>78</v>
      </c>
      <c r="N926" t="s">
        <v>79</v>
      </c>
      <c r="O926" t="s">
        <v>74</v>
      </c>
      <c r="P926" t="s">
        <v>74</v>
      </c>
      <c r="Q926" t="s">
        <v>74</v>
      </c>
      <c r="R926" t="s">
        <v>74</v>
      </c>
      <c r="S926" t="s">
        <v>74</v>
      </c>
      <c r="T926" t="s">
        <v>17933</v>
      </c>
      <c r="U926" t="s">
        <v>17934</v>
      </c>
      <c r="V926" t="s">
        <v>17935</v>
      </c>
      <c r="W926" t="s">
        <v>17936</v>
      </c>
      <c r="X926" t="s">
        <v>17937</v>
      </c>
      <c r="Y926" t="s">
        <v>17938</v>
      </c>
      <c r="Z926" t="s">
        <v>15831</v>
      </c>
      <c r="AA926" t="s">
        <v>17939</v>
      </c>
      <c r="AB926" t="s">
        <v>17940</v>
      </c>
      <c r="AC926" t="s">
        <v>17941</v>
      </c>
      <c r="AD926" t="s">
        <v>17942</v>
      </c>
      <c r="AE926" t="s">
        <v>17943</v>
      </c>
      <c r="AF926" t="s">
        <v>74</v>
      </c>
      <c r="AG926">
        <v>38</v>
      </c>
      <c r="AH926">
        <v>12</v>
      </c>
      <c r="AI926">
        <v>12</v>
      </c>
      <c r="AJ926">
        <v>5</v>
      </c>
      <c r="AK926">
        <v>47</v>
      </c>
      <c r="AL926" t="s">
        <v>12198</v>
      </c>
      <c r="AM926" t="s">
        <v>1909</v>
      </c>
      <c r="AN926" t="s">
        <v>12199</v>
      </c>
      <c r="AO926" t="s">
        <v>17944</v>
      </c>
      <c r="AP926" t="s">
        <v>17945</v>
      </c>
      <c r="AQ926" t="s">
        <v>74</v>
      </c>
      <c r="AR926" t="s">
        <v>17946</v>
      </c>
      <c r="AS926" t="s">
        <v>17947</v>
      </c>
      <c r="AT926" t="s">
        <v>15943</v>
      </c>
      <c r="AU926">
        <v>2021</v>
      </c>
      <c r="AV926">
        <v>279</v>
      </c>
      <c r="AW926" t="s">
        <v>74</v>
      </c>
      <c r="AX926" t="s">
        <v>74</v>
      </c>
      <c r="AY926" t="s">
        <v>74</v>
      </c>
      <c r="AZ926" t="s">
        <v>74</v>
      </c>
      <c r="BA926" t="s">
        <v>74</v>
      </c>
      <c r="BB926" t="s">
        <v>74</v>
      </c>
      <c r="BC926" t="s">
        <v>74</v>
      </c>
      <c r="BD926">
        <v>111735</v>
      </c>
      <c r="BE926" t="s">
        <v>17948</v>
      </c>
      <c r="BF926" t="str">
        <f>HYPERLINK("http://dx.doi.org/10.1016/j.jenvman.2020.111735","http://dx.doi.org/10.1016/j.jenvman.2020.111735")</f>
        <v>http://dx.doi.org/10.1016/j.jenvman.2020.111735</v>
      </c>
      <c r="BG926" t="s">
        <v>74</v>
      </c>
      <c r="BH926" t="s">
        <v>74</v>
      </c>
      <c r="BI926">
        <v>7</v>
      </c>
      <c r="BJ926" t="s">
        <v>224</v>
      </c>
      <c r="BK926" t="s">
        <v>101</v>
      </c>
      <c r="BL926" t="s">
        <v>225</v>
      </c>
      <c r="BM926" t="s">
        <v>17949</v>
      </c>
      <c r="BN926">
        <v>33310236</v>
      </c>
      <c r="BO926" t="s">
        <v>74</v>
      </c>
      <c r="BP926" t="s">
        <v>74</v>
      </c>
      <c r="BQ926" t="s">
        <v>74</v>
      </c>
      <c r="BR926" t="s">
        <v>104</v>
      </c>
      <c r="BS926" t="s">
        <v>17950</v>
      </c>
      <c r="BT926" t="str">
        <f>HYPERLINK("https%3A%2F%2Fwww.webofscience.com%2Fwos%2Fwoscc%2Ffull-record%2FWOS:000608236500004","View Full Record in Web of Science")</f>
        <v>View Full Record in Web of Science</v>
      </c>
    </row>
    <row r="927" spans="1:72" x14ac:dyDescent="0.15">
      <c r="A927" t="s">
        <v>72</v>
      </c>
      <c r="B927" t="s">
        <v>17951</v>
      </c>
      <c r="C927" t="s">
        <v>74</v>
      </c>
      <c r="D927" t="s">
        <v>74</v>
      </c>
      <c r="E927" t="s">
        <v>74</v>
      </c>
      <c r="F927" t="s">
        <v>17952</v>
      </c>
      <c r="G927" t="s">
        <v>74</v>
      </c>
      <c r="H927" t="s">
        <v>74</v>
      </c>
      <c r="I927" t="s">
        <v>17953</v>
      </c>
      <c r="J927" t="s">
        <v>6029</v>
      </c>
      <c r="K927" t="s">
        <v>74</v>
      </c>
      <c r="L927" t="s">
        <v>74</v>
      </c>
      <c r="M927" t="s">
        <v>78</v>
      </c>
      <c r="N927" t="s">
        <v>79</v>
      </c>
      <c r="O927" t="s">
        <v>74</v>
      </c>
      <c r="P927" t="s">
        <v>74</v>
      </c>
      <c r="Q927" t="s">
        <v>74</v>
      </c>
      <c r="R927" t="s">
        <v>74</v>
      </c>
      <c r="S927" t="s">
        <v>74</v>
      </c>
      <c r="T927" t="s">
        <v>17954</v>
      </c>
      <c r="U927" t="s">
        <v>17955</v>
      </c>
      <c r="V927" t="s">
        <v>17956</v>
      </c>
      <c r="W927" t="s">
        <v>17957</v>
      </c>
      <c r="X927" t="s">
        <v>17958</v>
      </c>
      <c r="Y927" t="s">
        <v>17959</v>
      </c>
      <c r="Z927" t="s">
        <v>17960</v>
      </c>
      <c r="AA927" t="s">
        <v>17961</v>
      </c>
      <c r="AB927" t="s">
        <v>17962</v>
      </c>
      <c r="AC927" t="s">
        <v>17963</v>
      </c>
      <c r="AD927" t="s">
        <v>17964</v>
      </c>
      <c r="AE927" t="s">
        <v>17965</v>
      </c>
      <c r="AF927" t="s">
        <v>74</v>
      </c>
      <c r="AG927">
        <v>51</v>
      </c>
      <c r="AH927">
        <v>21</v>
      </c>
      <c r="AI927">
        <v>21</v>
      </c>
      <c r="AJ927">
        <v>2</v>
      </c>
      <c r="AK927">
        <v>20</v>
      </c>
      <c r="AL927" t="s">
        <v>625</v>
      </c>
      <c r="AM927" t="s">
        <v>1482</v>
      </c>
      <c r="AN927" t="s">
        <v>4351</v>
      </c>
      <c r="AO927" t="s">
        <v>6040</v>
      </c>
      <c r="AP927" t="s">
        <v>6041</v>
      </c>
      <c r="AQ927" t="s">
        <v>74</v>
      </c>
      <c r="AR927" t="s">
        <v>6042</v>
      </c>
      <c r="AS927" t="s">
        <v>6043</v>
      </c>
      <c r="AT927" t="s">
        <v>1091</v>
      </c>
      <c r="AU927">
        <v>2021</v>
      </c>
      <c r="AV927">
        <v>67</v>
      </c>
      <c r="AW927">
        <v>261</v>
      </c>
      <c r="AX927" t="s">
        <v>74</v>
      </c>
      <c r="AY927" t="s">
        <v>74</v>
      </c>
      <c r="AZ927" t="s">
        <v>74</v>
      </c>
      <c r="BA927" t="s">
        <v>74</v>
      </c>
      <c r="BB927">
        <v>13</v>
      </c>
      <c r="BC927">
        <v>26</v>
      </c>
      <c r="BD927" t="s">
        <v>17966</v>
      </c>
      <c r="BE927" t="s">
        <v>17967</v>
      </c>
      <c r="BF927" t="str">
        <f>HYPERLINK("http://dx.doi.org/10.1017/jog.2020.78","http://dx.doi.org/10.1017/jog.2020.78")</f>
        <v>http://dx.doi.org/10.1017/jog.2020.78</v>
      </c>
      <c r="BG927" t="s">
        <v>74</v>
      </c>
      <c r="BH927" t="s">
        <v>74</v>
      </c>
      <c r="BI927">
        <v>14</v>
      </c>
      <c r="BJ927" t="s">
        <v>1685</v>
      </c>
      <c r="BK927" t="s">
        <v>101</v>
      </c>
      <c r="BL927" t="s">
        <v>1686</v>
      </c>
      <c r="BM927" t="s">
        <v>17968</v>
      </c>
      <c r="BN927" t="s">
        <v>74</v>
      </c>
      <c r="BO927" t="s">
        <v>558</v>
      </c>
      <c r="BP927" t="s">
        <v>74</v>
      </c>
      <c r="BQ927" t="s">
        <v>74</v>
      </c>
      <c r="BR927" t="s">
        <v>104</v>
      </c>
      <c r="BS927" t="s">
        <v>17969</v>
      </c>
      <c r="BT927" t="str">
        <f>HYPERLINK("https%3A%2F%2Fwww.webofscience.com%2Fwos%2Fwoscc%2Ffull-record%2FWOS:000608835500002","View Full Record in Web of Science")</f>
        <v>View Full Record in Web of Science</v>
      </c>
    </row>
    <row r="928" spans="1:72" x14ac:dyDescent="0.15">
      <c r="A928" t="s">
        <v>72</v>
      </c>
      <c r="B928" t="s">
        <v>17970</v>
      </c>
      <c r="C928" t="s">
        <v>74</v>
      </c>
      <c r="D928" t="s">
        <v>74</v>
      </c>
      <c r="E928" t="s">
        <v>74</v>
      </c>
      <c r="F928" t="s">
        <v>17971</v>
      </c>
      <c r="G928" t="s">
        <v>74</v>
      </c>
      <c r="H928" t="s">
        <v>74</v>
      </c>
      <c r="I928" t="s">
        <v>17972</v>
      </c>
      <c r="J928" t="s">
        <v>6029</v>
      </c>
      <c r="K928" t="s">
        <v>74</v>
      </c>
      <c r="L928" t="s">
        <v>74</v>
      </c>
      <c r="M928" t="s">
        <v>78</v>
      </c>
      <c r="N928" t="s">
        <v>79</v>
      </c>
      <c r="O928" t="s">
        <v>74</v>
      </c>
      <c r="P928" t="s">
        <v>74</v>
      </c>
      <c r="Q928" t="s">
        <v>74</v>
      </c>
      <c r="R928" t="s">
        <v>74</v>
      </c>
      <c r="S928" t="s">
        <v>74</v>
      </c>
      <c r="T928" t="s">
        <v>17973</v>
      </c>
      <c r="U928" t="s">
        <v>17974</v>
      </c>
      <c r="V928" t="s">
        <v>17975</v>
      </c>
      <c r="W928" t="s">
        <v>17976</v>
      </c>
      <c r="X928" t="s">
        <v>17977</v>
      </c>
      <c r="Y928" t="s">
        <v>17978</v>
      </c>
      <c r="Z928" t="s">
        <v>17979</v>
      </c>
      <c r="AA928" t="s">
        <v>17980</v>
      </c>
      <c r="AB928" t="s">
        <v>17981</v>
      </c>
      <c r="AC928" t="s">
        <v>17982</v>
      </c>
      <c r="AD928" t="s">
        <v>17983</v>
      </c>
      <c r="AE928" t="s">
        <v>17984</v>
      </c>
      <c r="AF928" t="s">
        <v>74</v>
      </c>
      <c r="AG928">
        <v>76</v>
      </c>
      <c r="AH928">
        <v>5</v>
      </c>
      <c r="AI928">
        <v>5</v>
      </c>
      <c r="AJ928">
        <v>1</v>
      </c>
      <c r="AK928">
        <v>6</v>
      </c>
      <c r="AL928" t="s">
        <v>625</v>
      </c>
      <c r="AM928" t="s">
        <v>1482</v>
      </c>
      <c r="AN928" t="s">
        <v>4351</v>
      </c>
      <c r="AO928" t="s">
        <v>6040</v>
      </c>
      <c r="AP928" t="s">
        <v>6041</v>
      </c>
      <c r="AQ928" t="s">
        <v>74</v>
      </c>
      <c r="AR928" t="s">
        <v>6042</v>
      </c>
      <c r="AS928" t="s">
        <v>6043</v>
      </c>
      <c r="AT928" t="s">
        <v>1091</v>
      </c>
      <c r="AU928">
        <v>2021</v>
      </c>
      <c r="AV928">
        <v>67</v>
      </c>
      <c r="AW928">
        <v>261</v>
      </c>
      <c r="AX928" t="s">
        <v>74</v>
      </c>
      <c r="AY928" t="s">
        <v>74</v>
      </c>
      <c r="AZ928" t="s">
        <v>74</v>
      </c>
      <c r="BA928" t="s">
        <v>74</v>
      </c>
      <c r="BB928">
        <v>58</v>
      </c>
      <c r="BC928">
        <v>74</v>
      </c>
      <c r="BD928" t="s">
        <v>17985</v>
      </c>
      <c r="BE928" t="s">
        <v>17986</v>
      </c>
      <c r="BF928" t="str">
        <f>HYPERLINK("http://dx.doi.org/10.1017/jog.2020.83","http://dx.doi.org/10.1017/jog.2020.83")</f>
        <v>http://dx.doi.org/10.1017/jog.2020.83</v>
      </c>
      <c r="BG928" t="s">
        <v>74</v>
      </c>
      <c r="BH928" t="s">
        <v>74</v>
      </c>
      <c r="BI928">
        <v>17</v>
      </c>
      <c r="BJ928" t="s">
        <v>1685</v>
      </c>
      <c r="BK928" t="s">
        <v>101</v>
      </c>
      <c r="BL928" t="s">
        <v>1686</v>
      </c>
      <c r="BM928" t="s">
        <v>17968</v>
      </c>
      <c r="BN928" t="s">
        <v>74</v>
      </c>
      <c r="BO928" t="s">
        <v>317</v>
      </c>
      <c r="BP928" t="s">
        <v>74</v>
      </c>
      <c r="BQ928" t="s">
        <v>74</v>
      </c>
      <c r="BR928" t="s">
        <v>104</v>
      </c>
      <c r="BS928" t="s">
        <v>17987</v>
      </c>
      <c r="BT928" t="str">
        <f>HYPERLINK("https%3A%2F%2Fwww.webofscience.com%2Fwos%2Fwoscc%2Ffull-record%2FWOS:000608835500006","View Full Record in Web of Science")</f>
        <v>View Full Record in Web of Science</v>
      </c>
    </row>
    <row r="929" spans="1:72" x14ac:dyDescent="0.15">
      <c r="A929" t="s">
        <v>72</v>
      </c>
      <c r="B929" t="s">
        <v>17988</v>
      </c>
      <c r="C929" t="s">
        <v>74</v>
      </c>
      <c r="D929" t="s">
        <v>74</v>
      </c>
      <c r="E929" t="s">
        <v>74</v>
      </c>
      <c r="F929" t="s">
        <v>17989</v>
      </c>
      <c r="G929" t="s">
        <v>74</v>
      </c>
      <c r="H929" t="s">
        <v>74</v>
      </c>
      <c r="I929" t="s">
        <v>17990</v>
      </c>
      <c r="J929" t="s">
        <v>6029</v>
      </c>
      <c r="K929" t="s">
        <v>74</v>
      </c>
      <c r="L929" t="s">
        <v>74</v>
      </c>
      <c r="M929" t="s">
        <v>78</v>
      </c>
      <c r="N929" t="s">
        <v>79</v>
      </c>
      <c r="O929" t="s">
        <v>74</v>
      </c>
      <c r="P929" t="s">
        <v>74</v>
      </c>
      <c r="Q929" t="s">
        <v>74</v>
      </c>
      <c r="R929" t="s">
        <v>74</v>
      </c>
      <c r="S929" t="s">
        <v>74</v>
      </c>
      <c r="T929" t="s">
        <v>17991</v>
      </c>
      <c r="U929" t="s">
        <v>17992</v>
      </c>
      <c r="V929" t="s">
        <v>17993</v>
      </c>
      <c r="W929" t="s">
        <v>17994</v>
      </c>
      <c r="X929" t="s">
        <v>17995</v>
      </c>
      <c r="Y929" t="s">
        <v>17996</v>
      </c>
      <c r="Z929" t="s">
        <v>17997</v>
      </c>
      <c r="AA929" t="s">
        <v>17998</v>
      </c>
      <c r="AB929" t="s">
        <v>17999</v>
      </c>
      <c r="AC929" t="s">
        <v>18000</v>
      </c>
      <c r="AD929" t="s">
        <v>18001</v>
      </c>
      <c r="AE929" t="s">
        <v>18002</v>
      </c>
      <c r="AF929" t="s">
        <v>74</v>
      </c>
      <c r="AG929">
        <v>17</v>
      </c>
      <c r="AH929">
        <v>0</v>
      </c>
      <c r="AI929">
        <v>0</v>
      </c>
      <c r="AJ929">
        <v>0</v>
      </c>
      <c r="AK929">
        <v>4</v>
      </c>
      <c r="AL929" t="s">
        <v>625</v>
      </c>
      <c r="AM929" t="s">
        <v>1482</v>
      </c>
      <c r="AN929" t="s">
        <v>4351</v>
      </c>
      <c r="AO929" t="s">
        <v>6040</v>
      </c>
      <c r="AP929" t="s">
        <v>6041</v>
      </c>
      <c r="AQ929" t="s">
        <v>74</v>
      </c>
      <c r="AR929" t="s">
        <v>6042</v>
      </c>
      <c r="AS929" t="s">
        <v>6043</v>
      </c>
      <c r="AT929" t="s">
        <v>1091</v>
      </c>
      <c r="AU929">
        <v>2021</v>
      </c>
      <c r="AV929">
        <v>67</v>
      </c>
      <c r="AW929">
        <v>261</v>
      </c>
      <c r="AX929" t="s">
        <v>74</v>
      </c>
      <c r="AY929" t="s">
        <v>74</v>
      </c>
      <c r="AZ929" t="s">
        <v>74</v>
      </c>
      <c r="BA929" t="s">
        <v>74</v>
      </c>
      <c r="BB929">
        <v>84</v>
      </c>
      <c r="BC929">
        <v>90</v>
      </c>
      <c r="BD929" t="s">
        <v>18003</v>
      </c>
      <c r="BE929" t="s">
        <v>18004</v>
      </c>
      <c r="BF929" t="str">
        <f>HYPERLINK("http://dx.doi.org/10.1017/jog.2020.85","http://dx.doi.org/10.1017/jog.2020.85")</f>
        <v>http://dx.doi.org/10.1017/jog.2020.85</v>
      </c>
      <c r="BG929" t="s">
        <v>74</v>
      </c>
      <c r="BH929" t="s">
        <v>74</v>
      </c>
      <c r="BI929">
        <v>7</v>
      </c>
      <c r="BJ929" t="s">
        <v>1685</v>
      </c>
      <c r="BK929" t="s">
        <v>101</v>
      </c>
      <c r="BL929" t="s">
        <v>1686</v>
      </c>
      <c r="BM929" t="s">
        <v>17968</v>
      </c>
      <c r="BN929" t="s">
        <v>74</v>
      </c>
      <c r="BO929" t="s">
        <v>317</v>
      </c>
      <c r="BP929" t="s">
        <v>74</v>
      </c>
      <c r="BQ929" t="s">
        <v>74</v>
      </c>
      <c r="BR929" t="s">
        <v>104</v>
      </c>
      <c r="BS929" t="s">
        <v>18005</v>
      </c>
      <c r="BT929" t="str">
        <f>HYPERLINK("https%3A%2F%2Fwww.webofscience.com%2Fwos%2Fwoscc%2Ffull-record%2FWOS:000608835500008","View Full Record in Web of Science")</f>
        <v>View Full Record in Web of Science</v>
      </c>
    </row>
    <row r="930" spans="1:72" x14ac:dyDescent="0.15">
      <c r="A930" t="s">
        <v>72</v>
      </c>
      <c r="B930" t="s">
        <v>18006</v>
      </c>
      <c r="C930" t="s">
        <v>74</v>
      </c>
      <c r="D930" t="s">
        <v>74</v>
      </c>
      <c r="E930" t="s">
        <v>74</v>
      </c>
      <c r="F930" t="s">
        <v>18007</v>
      </c>
      <c r="G930" t="s">
        <v>74</v>
      </c>
      <c r="H930" t="s">
        <v>74</v>
      </c>
      <c r="I930" t="s">
        <v>18008</v>
      </c>
      <c r="J930" t="s">
        <v>6029</v>
      </c>
      <c r="K930" t="s">
        <v>74</v>
      </c>
      <c r="L930" t="s">
        <v>74</v>
      </c>
      <c r="M930" t="s">
        <v>78</v>
      </c>
      <c r="N930" t="s">
        <v>79</v>
      </c>
      <c r="O930" t="s">
        <v>74</v>
      </c>
      <c r="P930" t="s">
        <v>74</v>
      </c>
      <c r="Q930" t="s">
        <v>74</v>
      </c>
      <c r="R930" t="s">
        <v>74</v>
      </c>
      <c r="S930" t="s">
        <v>74</v>
      </c>
      <c r="T930" t="s">
        <v>18009</v>
      </c>
      <c r="U930" t="s">
        <v>18010</v>
      </c>
      <c r="V930" t="s">
        <v>18011</v>
      </c>
      <c r="W930" t="s">
        <v>18012</v>
      </c>
      <c r="X930" t="s">
        <v>18013</v>
      </c>
      <c r="Y930" t="s">
        <v>18014</v>
      </c>
      <c r="Z930" t="s">
        <v>18015</v>
      </c>
      <c r="AA930" t="s">
        <v>18016</v>
      </c>
      <c r="AB930" t="s">
        <v>18017</v>
      </c>
      <c r="AC930" t="s">
        <v>18018</v>
      </c>
      <c r="AD930" t="s">
        <v>18019</v>
      </c>
      <c r="AE930" t="s">
        <v>18020</v>
      </c>
      <c r="AF930" t="s">
        <v>74</v>
      </c>
      <c r="AG930">
        <v>45</v>
      </c>
      <c r="AH930">
        <v>4</v>
      </c>
      <c r="AI930">
        <v>6</v>
      </c>
      <c r="AJ930">
        <v>3</v>
      </c>
      <c r="AK930">
        <v>17</v>
      </c>
      <c r="AL930" t="s">
        <v>625</v>
      </c>
      <c r="AM930" t="s">
        <v>1482</v>
      </c>
      <c r="AN930" t="s">
        <v>4351</v>
      </c>
      <c r="AO930" t="s">
        <v>6040</v>
      </c>
      <c r="AP930" t="s">
        <v>6041</v>
      </c>
      <c r="AQ930" t="s">
        <v>74</v>
      </c>
      <c r="AR930" t="s">
        <v>6042</v>
      </c>
      <c r="AS930" t="s">
        <v>6043</v>
      </c>
      <c r="AT930" t="s">
        <v>1091</v>
      </c>
      <c r="AU930">
        <v>2021</v>
      </c>
      <c r="AV930">
        <v>67</v>
      </c>
      <c r="AW930">
        <v>261</v>
      </c>
      <c r="AX930" t="s">
        <v>74</v>
      </c>
      <c r="AY930" t="s">
        <v>74</v>
      </c>
      <c r="AZ930" t="s">
        <v>74</v>
      </c>
      <c r="BA930" t="s">
        <v>74</v>
      </c>
      <c r="BB930">
        <v>126</v>
      </c>
      <c r="BC930">
        <v>136</v>
      </c>
      <c r="BD930" t="s">
        <v>74</v>
      </c>
      <c r="BE930" t="s">
        <v>18021</v>
      </c>
      <c r="BF930" t="str">
        <f>HYPERLINK("http://dx.doi.org/10.1017/jog.2020.90","http://dx.doi.org/10.1017/jog.2020.90")</f>
        <v>http://dx.doi.org/10.1017/jog.2020.90</v>
      </c>
      <c r="BG930" t="s">
        <v>74</v>
      </c>
      <c r="BH930" t="s">
        <v>74</v>
      </c>
      <c r="BI930">
        <v>11</v>
      </c>
      <c r="BJ930" t="s">
        <v>1685</v>
      </c>
      <c r="BK930" t="s">
        <v>101</v>
      </c>
      <c r="BL930" t="s">
        <v>1686</v>
      </c>
      <c r="BM930" t="s">
        <v>17968</v>
      </c>
      <c r="BN930" t="s">
        <v>74</v>
      </c>
      <c r="BO930" t="s">
        <v>317</v>
      </c>
      <c r="BP930" t="s">
        <v>74</v>
      </c>
      <c r="BQ930" t="s">
        <v>74</v>
      </c>
      <c r="BR930" t="s">
        <v>104</v>
      </c>
      <c r="BS930" t="s">
        <v>18022</v>
      </c>
      <c r="BT930" t="str">
        <f>HYPERLINK("https%3A%2F%2Fwww.webofscience.com%2Fwos%2Fwoscc%2Ffull-record%2FWOS:000608835500012","View Full Record in Web of Science")</f>
        <v>View Full Record in Web of Science</v>
      </c>
    </row>
    <row r="931" spans="1:72" x14ac:dyDescent="0.15">
      <c r="A931" t="s">
        <v>72</v>
      </c>
      <c r="B931" t="s">
        <v>18023</v>
      </c>
      <c r="C931" t="s">
        <v>74</v>
      </c>
      <c r="D931" t="s">
        <v>74</v>
      </c>
      <c r="E931" t="s">
        <v>74</v>
      </c>
      <c r="F931" t="s">
        <v>18024</v>
      </c>
      <c r="G931" t="s">
        <v>74</v>
      </c>
      <c r="H931" t="s">
        <v>74</v>
      </c>
      <c r="I931" t="s">
        <v>18025</v>
      </c>
      <c r="J931" t="s">
        <v>6029</v>
      </c>
      <c r="K931" t="s">
        <v>74</v>
      </c>
      <c r="L931" t="s">
        <v>74</v>
      </c>
      <c r="M931" t="s">
        <v>78</v>
      </c>
      <c r="N931" t="s">
        <v>79</v>
      </c>
      <c r="O931" t="s">
        <v>74</v>
      </c>
      <c r="P931" t="s">
        <v>74</v>
      </c>
      <c r="Q931" t="s">
        <v>74</v>
      </c>
      <c r="R931" t="s">
        <v>74</v>
      </c>
      <c r="S931" t="s">
        <v>74</v>
      </c>
      <c r="T931" t="s">
        <v>18026</v>
      </c>
      <c r="U931" t="s">
        <v>18027</v>
      </c>
      <c r="V931" t="s">
        <v>18028</v>
      </c>
      <c r="W931" t="s">
        <v>18029</v>
      </c>
      <c r="X931" t="s">
        <v>18030</v>
      </c>
      <c r="Y931" t="s">
        <v>18031</v>
      </c>
      <c r="Z931" t="s">
        <v>18032</v>
      </c>
      <c r="AA931" t="s">
        <v>18033</v>
      </c>
      <c r="AB931" t="s">
        <v>18034</v>
      </c>
      <c r="AC931" t="s">
        <v>18035</v>
      </c>
      <c r="AD931" t="s">
        <v>18036</v>
      </c>
      <c r="AE931" t="s">
        <v>18037</v>
      </c>
      <c r="AF931" t="s">
        <v>74</v>
      </c>
      <c r="AG931">
        <v>71</v>
      </c>
      <c r="AH931">
        <v>10</v>
      </c>
      <c r="AI931">
        <v>11</v>
      </c>
      <c r="AJ931">
        <v>2</v>
      </c>
      <c r="AK931">
        <v>17</v>
      </c>
      <c r="AL931" t="s">
        <v>625</v>
      </c>
      <c r="AM931" t="s">
        <v>1482</v>
      </c>
      <c r="AN931" t="s">
        <v>4351</v>
      </c>
      <c r="AO931" t="s">
        <v>6040</v>
      </c>
      <c r="AP931" t="s">
        <v>6041</v>
      </c>
      <c r="AQ931" t="s">
        <v>74</v>
      </c>
      <c r="AR931" t="s">
        <v>6042</v>
      </c>
      <c r="AS931" t="s">
        <v>6043</v>
      </c>
      <c r="AT931" t="s">
        <v>1091</v>
      </c>
      <c r="AU931">
        <v>2021</v>
      </c>
      <c r="AV931">
        <v>67</v>
      </c>
      <c r="AW931">
        <v>261</v>
      </c>
      <c r="AX931" t="s">
        <v>74</v>
      </c>
      <c r="AY931" t="s">
        <v>74</v>
      </c>
      <c r="AZ931" t="s">
        <v>74</v>
      </c>
      <c r="BA931" t="s">
        <v>74</v>
      </c>
      <c r="BB931">
        <v>147</v>
      </c>
      <c r="BC931">
        <v>157</v>
      </c>
      <c r="BD931" t="s">
        <v>74</v>
      </c>
      <c r="BE931" t="s">
        <v>18038</v>
      </c>
      <c r="BF931" t="str">
        <f>HYPERLINK("http://dx.doi.org/10.1017/jog.2020.97","http://dx.doi.org/10.1017/jog.2020.97")</f>
        <v>http://dx.doi.org/10.1017/jog.2020.97</v>
      </c>
      <c r="BG931" t="s">
        <v>74</v>
      </c>
      <c r="BH931" t="s">
        <v>74</v>
      </c>
      <c r="BI931">
        <v>11</v>
      </c>
      <c r="BJ931" t="s">
        <v>1685</v>
      </c>
      <c r="BK931" t="s">
        <v>101</v>
      </c>
      <c r="BL931" t="s">
        <v>1686</v>
      </c>
      <c r="BM931" t="s">
        <v>17968</v>
      </c>
      <c r="BN931" t="s">
        <v>74</v>
      </c>
      <c r="BO931" t="s">
        <v>6257</v>
      </c>
      <c r="BP931" t="s">
        <v>74</v>
      </c>
      <c r="BQ931" t="s">
        <v>74</v>
      </c>
      <c r="BR931" t="s">
        <v>104</v>
      </c>
      <c r="BS931" t="s">
        <v>18039</v>
      </c>
      <c r="BT931" t="str">
        <f>HYPERLINK("https%3A%2F%2Fwww.webofscience.com%2Fwos%2Fwoscc%2Ffull-record%2FWOS:000608835500014","View Full Record in Web of Science")</f>
        <v>View Full Record in Web of Science</v>
      </c>
    </row>
    <row r="932" spans="1:72" x14ac:dyDescent="0.15">
      <c r="A932" t="s">
        <v>72</v>
      </c>
      <c r="B932" t="s">
        <v>18040</v>
      </c>
      <c r="C932" t="s">
        <v>74</v>
      </c>
      <c r="D932" t="s">
        <v>74</v>
      </c>
      <c r="E932" t="s">
        <v>74</v>
      </c>
      <c r="F932" t="s">
        <v>18041</v>
      </c>
      <c r="G932" t="s">
        <v>74</v>
      </c>
      <c r="H932" t="s">
        <v>74</v>
      </c>
      <c r="I932" t="s">
        <v>18042</v>
      </c>
      <c r="J932" t="s">
        <v>6029</v>
      </c>
      <c r="K932" t="s">
        <v>74</v>
      </c>
      <c r="L932" t="s">
        <v>74</v>
      </c>
      <c r="M932" t="s">
        <v>78</v>
      </c>
      <c r="N932" t="s">
        <v>79</v>
      </c>
      <c r="O932" t="s">
        <v>74</v>
      </c>
      <c r="P932" t="s">
        <v>74</v>
      </c>
      <c r="Q932" t="s">
        <v>74</v>
      </c>
      <c r="R932" t="s">
        <v>74</v>
      </c>
      <c r="S932" t="s">
        <v>74</v>
      </c>
      <c r="T932" t="s">
        <v>74</v>
      </c>
      <c r="U932" t="s">
        <v>18043</v>
      </c>
      <c r="V932" t="s">
        <v>18044</v>
      </c>
      <c r="W932" t="s">
        <v>18045</v>
      </c>
      <c r="X932" t="s">
        <v>18046</v>
      </c>
      <c r="Y932" t="s">
        <v>18047</v>
      </c>
      <c r="Z932" t="s">
        <v>18048</v>
      </c>
      <c r="AA932" t="s">
        <v>74</v>
      </c>
      <c r="AB932" t="s">
        <v>18049</v>
      </c>
      <c r="AC932" t="s">
        <v>18050</v>
      </c>
      <c r="AD932" t="s">
        <v>18051</v>
      </c>
      <c r="AE932" t="s">
        <v>18052</v>
      </c>
      <c r="AF932" t="s">
        <v>74</v>
      </c>
      <c r="AG932">
        <v>43</v>
      </c>
      <c r="AH932">
        <v>15</v>
      </c>
      <c r="AI932">
        <v>17</v>
      </c>
      <c r="AJ932">
        <v>3</v>
      </c>
      <c r="AK932">
        <v>9</v>
      </c>
      <c r="AL932" t="s">
        <v>625</v>
      </c>
      <c r="AM932" t="s">
        <v>1482</v>
      </c>
      <c r="AN932" t="s">
        <v>4351</v>
      </c>
      <c r="AO932" t="s">
        <v>6040</v>
      </c>
      <c r="AP932" t="s">
        <v>6041</v>
      </c>
      <c r="AQ932" t="s">
        <v>74</v>
      </c>
      <c r="AR932" t="s">
        <v>6042</v>
      </c>
      <c r="AS932" t="s">
        <v>6043</v>
      </c>
      <c r="AT932" t="s">
        <v>1091</v>
      </c>
      <c r="AU932">
        <v>2021</v>
      </c>
      <c r="AV932">
        <v>67</v>
      </c>
      <c r="AW932">
        <v>261</v>
      </c>
      <c r="AX932" t="s">
        <v>74</v>
      </c>
      <c r="AY932" t="s">
        <v>74</v>
      </c>
      <c r="AZ932" t="s">
        <v>74</v>
      </c>
      <c r="BA932" t="s">
        <v>74</v>
      </c>
      <c r="BB932">
        <v>170</v>
      </c>
      <c r="BC932">
        <v>181</v>
      </c>
      <c r="BD932" t="s">
        <v>74</v>
      </c>
      <c r="BE932" t="s">
        <v>18053</v>
      </c>
      <c r="BF932" t="str">
        <f>HYPERLINK("http://dx.doi.org/10.1017/jog.2020.100","http://dx.doi.org/10.1017/jog.2020.100")</f>
        <v>http://dx.doi.org/10.1017/jog.2020.100</v>
      </c>
      <c r="BG932" t="s">
        <v>74</v>
      </c>
      <c r="BH932" t="s">
        <v>74</v>
      </c>
      <c r="BI932">
        <v>12</v>
      </c>
      <c r="BJ932" t="s">
        <v>1685</v>
      </c>
      <c r="BK932" t="s">
        <v>101</v>
      </c>
      <c r="BL932" t="s">
        <v>1686</v>
      </c>
      <c r="BM932" t="s">
        <v>17968</v>
      </c>
      <c r="BN932" t="s">
        <v>74</v>
      </c>
      <c r="BO932" t="s">
        <v>1319</v>
      </c>
      <c r="BP932" t="s">
        <v>74</v>
      </c>
      <c r="BQ932" t="s">
        <v>74</v>
      </c>
      <c r="BR932" t="s">
        <v>104</v>
      </c>
      <c r="BS932" t="s">
        <v>18054</v>
      </c>
      <c r="BT932" t="str">
        <f>HYPERLINK("https%3A%2F%2Fwww.webofscience.com%2Fwos%2Fwoscc%2Ffull-record%2FWOS:000608835500016","View Full Record in Web of Science")</f>
        <v>View Full Record in Web of Science</v>
      </c>
    </row>
    <row r="933" spans="1:72" x14ac:dyDescent="0.15">
      <c r="A933" t="s">
        <v>72</v>
      </c>
      <c r="B933" t="s">
        <v>18055</v>
      </c>
      <c r="C933" t="s">
        <v>74</v>
      </c>
      <c r="D933" t="s">
        <v>74</v>
      </c>
      <c r="E933" t="s">
        <v>74</v>
      </c>
      <c r="F933" t="s">
        <v>18056</v>
      </c>
      <c r="G933" t="s">
        <v>74</v>
      </c>
      <c r="H933" t="s">
        <v>74</v>
      </c>
      <c r="I933" t="s">
        <v>18057</v>
      </c>
      <c r="J933" t="s">
        <v>17847</v>
      </c>
      <c r="K933" t="s">
        <v>74</v>
      </c>
      <c r="L933" t="s">
        <v>74</v>
      </c>
      <c r="M933" t="s">
        <v>78</v>
      </c>
      <c r="N933" t="s">
        <v>79</v>
      </c>
      <c r="O933" t="s">
        <v>74</v>
      </c>
      <c r="P933" t="s">
        <v>74</v>
      </c>
      <c r="Q933" t="s">
        <v>74</v>
      </c>
      <c r="R933" t="s">
        <v>74</v>
      </c>
      <c r="S933" t="s">
        <v>74</v>
      </c>
      <c r="T933" t="s">
        <v>18058</v>
      </c>
      <c r="U933" t="s">
        <v>18059</v>
      </c>
      <c r="V933" t="s">
        <v>18060</v>
      </c>
      <c r="W933" t="s">
        <v>18061</v>
      </c>
      <c r="X933" t="s">
        <v>18062</v>
      </c>
      <c r="Y933" t="s">
        <v>18063</v>
      </c>
      <c r="Z933" t="s">
        <v>18064</v>
      </c>
      <c r="AA933" t="s">
        <v>18065</v>
      </c>
      <c r="AB933" t="s">
        <v>18066</v>
      </c>
      <c r="AC933" t="s">
        <v>18067</v>
      </c>
      <c r="AD933" t="s">
        <v>18068</v>
      </c>
      <c r="AE933" t="s">
        <v>18069</v>
      </c>
      <c r="AF933" t="s">
        <v>74</v>
      </c>
      <c r="AG933">
        <v>96</v>
      </c>
      <c r="AH933">
        <v>1</v>
      </c>
      <c r="AI933">
        <v>1</v>
      </c>
      <c r="AJ933">
        <v>0</v>
      </c>
      <c r="AK933">
        <v>11</v>
      </c>
      <c r="AL933" t="s">
        <v>486</v>
      </c>
      <c r="AM933" t="s">
        <v>487</v>
      </c>
      <c r="AN933" t="s">
        <v>488</v>
      </c>
      <c r="AO933" t="s">
        <v>17858</v>
      </c>
      <c r="AP933" t="s">
        <v>17859</v>
      </c>
      <c r="AQ933" t="s">
        <v>74</v>
      </c>
      <c r="AR933" t="s">
        <v>17860</v>
      </c>
      <c r="AS933" t="s">
        <v>17861</v>
      </c>
      <c r="AT933" t="s">
        <v>1091</v>
      </c>
      <c r="AU933">
        <v>2021</v>
      </c>
      <c r="AV933">
        <v>51</v>
      </c>
      <c r="AW933">
        <v>1</v>
      </c>
      <c r="AX933" t="s">
        <v>74</v>
      </c>
      <c r="AY933" t="s">
        <v>74</v>
      </c>
      <c r="AZ933" t="s">
        <v>74</v>
      </c>
      <c r="BA933" t="s">
        <v>74</v>
      </c>
      <c r="BB933" t="s">
        <v>74</v>
      </c>
      <c r="BC933" t="s">
        <v>74</v>
      </c>
      <c r="BD933">
        <v>15</v>
      </c>
      <c r="BE933" t="s">
        <v>18070</v>
      </c>
      <c r="BF933" t="str">
        <f>HYPERLINK("http://dx.doi.org/10.1007/s12526-020-01140-1","http://dx.doi.org/10.1007/s12526-020-01140-1")</f>
        <v>http://dx.doi.org/10.1007/s12526-020-01140-1</v>
      </c>
      <c r="BG933" t="s">
        <v>74</v>
      </c>
      <c r="BH933" t="s">
        <v>74</v>
      </c>
      <c r="BI933">
        <v>19</v>
      </c>
      <c r="BJ933" t="s">
        <v>17863</v>
      </c>
      <c r="BK933" t="s">
        <v>101</v>
      </c>
      <c r="BL933" t="s">
        <v>17864</v>
      </c>
      <c r="BM933" t="s">
        <v>18071</v>
      </c>
      <c r="BN933" t="s">
        <v>74</v>
      </c>
      <c r="BO933" t="s">
        <v>74</v>
      </c>
      <c r="BP933" t="s">
        <v>74</v>
      </c>
      <c r="BQ933" t="s">
        <v>74</v>
      </c>
      <c r="BR933" t="s">
        <v>104</v>
      </c>
      <c r="BS933" t="s">
        <v>18072</v>
      </c>
      <c r="BT933" t="str">
        <f>HYPERLINK("https%3A%2F%2Fwww.webofscience.com%2Fwos%2Fwoscc%2Ffull-record%2FWOS:000608986800001","View Full Record in Web of Science")</f>
        <v>View Full Record in Web of Science</v>
      </c>
    </row>
    <row r="934" spans="1:72" x14ac:dyDescent="0.15">
      <c r="A934" t="s">
        <v>72</v>
      </c>
      <c r="B934" t="s">
        <v>18073</v>
      </c>
      <c r="C934" t="s">
        <v>74</v>
      </c>
      <c r="D934" t="s">
        <v>74</v>
      </c>
      <c r="E934" t="s">
        <v>74</v>
      </c>
      <c r="F934" t="s">
        <v>18074</v>
      </c>
      <c r="G934" t="s">
        <v>74</v>
      </c>
      <c r="H934" t="s">
        <v>74</v>
      </c>
      <c r="I934" t="s">
        <v>18075</v>
      </c>
      <c r="J934" t="s">
        <v>15606</v>
      </c>
      <c r="K934" t="s">
        <v>74</v>
      </c>
      <c r="L934" t="s">
        <v>74</v>
      </c>
      <c r="M934" t="s">
        <v>78</v>
      </c>
      <c r="N934" t="s">
        <v>79</v>
      </c>
      <c r="O934" t="s">
        <v>74</v>
      </c>
      <c r="P934" t="s">
        <v>74</v>
      </c>
      <c r="Q934" t="s">
        <v>74</v>
      </c>
      <c r="R934" t="s">
        <v>74</v>
      </c>
      <c r="S934" t="s">
        <v>74</v>
      </c>
      <c r="T934" t="s">
        <v>18076</v>
      </c>
      <c r="U934" t="s">
        <v>74</v>
      </c>
      <c r="V934" t="s">
        <v>18077</v>
      </c>
      <c r="W934" t="s">
        <v>18078</v>
      </c>
      <c r="X934" t="s">
        <v>18079</v>
      </c>
      <c r="Y934" t="s">
        <v>18080</v>
      </c>
      <c r="Z934" t="s">
        <v>18081</v>
      </c>
      <c r="AA934" t="s">
        <v>74</v>
      </c>
      <c r="AB934" t="s">
        <v>18082</v>
      </c>
      <c r="AC934" t="s">
        <v>18083</v>
      </c>
      <c r="AD934" t="s">
        <v>18084</v>
      </c>
      <c r="AE934" t="s">
        <v>18085</v>
      </c>
      <c r="AF934" t="s">
        <v>74</v>
      </c>
      <c r="AG934">
        <v>37</v>
      </c>
      <c r="AH934">
        <v>5</v>
      </c>
      <c r="AI934">
        <v>6</v>
      </c>
      <c r="AJ934">
        <v>0</v>
      </c>
      <c r="AK934">
        <v>7</v>
      </c>
      <c r="AL934" t="s">
        <v>1058</v>
      </c>
      <c r="AM934" t="s">
        <v>891</v>
      </c>
      <c r="AN934" t="s">
        <v>1059</v>
      </c>
      <c r="AO934" t="s">
        <v>15619</v>
      </c>
      <c r="AP934" t="s">
        <v>15620</v>
      </c>
      <c r="AQ934" t="s">
        <v>74</v>
      </c>
      <c r="AR934" t="s">
        <v>15621</v>
      </c>
      <c r="AS934" t="s">
        <v>15622</v>
      </c>
      <c r="AT934" t="s">
        <v>1091</v>
      </c>
      <c r="AU934">
        <v>2021</v>
      </c>
      <c r="AV934">
        <v>179</v>
      </c>
      <c r="AW934" t="s">
        <v>74</v>
      </c>
      <c r="AX934" t="s">
        <v>74</v>
      </c>
      <c r="AY934" t="s">
        <v>74</v>
      </c>
      <c r="AZ934" t="s">
        <v>74</v>
      </c>
      <c r="BA934" t="s">
        <v>74</v>
      </c>
      <c r="BB934">
        <v>471</v>
      </c>
      <c r="BC934">
        <v>483</v>
      </c>
      <c r="BD934" t="s">
        <v>74</v>
      </c>
      <c r="BE934" t="s">
        <v>18086</v>
      </c>
      <c r="BF934" t="str">
        <f>HYPERLINK("http://dx.doi.org/10.1016/j.actaastro.2020.11.019","http://dx.doi.org/10.1016/j.actaastro.2020.11.019")</f>
        <v>http://dx.doi.org/10.1016/j.actaastro.2020.11.019</v>
      </c>
      <c r="BG934" t="s">
        <v>74</v>
      </c>
      <c r="BH934" t="s">
        <v>74</v>
      </c>
      <c r="BI934">
        <v>13</v>
      </c>
      <c r="BJ934" t="s">
        <v>15624</v>
      </c>
      <c r="BK934" t="s">
        <v>101</v>
      </c>
      <c r="BL934" t="s">
        <v>15357</v>
      </c>
      <c r="BM934" t="s">
        <v>18087</v>
      </c>
      <c r="BN934" t="s">
        <v>74</v>
      </c>
      <c r="BO934" t="s">
        <v>74</v>
      </c>
      <c r="BP934" t="s">
        <v>74</v>
      </c>
      <c r="BQ934" t="s">
        <v>74</v>
      </c>
      <c r="BR934" t="s">
        <v>104</v>
      </c>
      <c r="BS934" t="s">
        <v>18088</v>
      </c>
      <c r="BT934" t="str">
        <f>HYPERLINK("https%3A%2F%2Fwww.webofscience.com%2Fwos%2Fwoscc%2Ffull-record%2FWOS:000604254600042","View Full Record in Web of Science")</f>
        <v>View Full Record in Web of Science</v>
      </c>
    </row>
    <row r="935" spans="1:72" x14ac:dyDescent="0.15">
      <c r="A935" t="s">
        <v>72</v>
      </c>
      <c r="B935" t="s">
        <v>18089</v>
      </c>
      <c r="C935" t="s">
        <v>74</v>
      </c>
      <c r="D935" t="s">
        <v>74</v>
      </c>
      <c r="E935" t="s">
        <v>74</v>
      </c>
      <c r="F935" t="s">
        <v>18090</v>
      </c>
      <c r="G935" t="s">
        <v>74</v>
      </c>
      <c r="H935" t="s">
        <v>74</v>
      </c>
      <c r="I935" t="s">
        <v>18091</v>
      </c>
      <c r="J935" t="s">
        <v>11792</v>
      </c>
      <c r="K935" t="s">
        <v>74</v>
      </c>
      <c r="L935" t="s">
        <v>74</v>
      </c>
      <c r="M935" t="s">
        <v>78</v>
      </c>
      <c r="N935" t="s">
        <v>79</v>
      </c>
      <c r="O935" t="s">
        <v>74</v>
      </c>
      <c r="P935" t="s">
        <v>74</v>
      </c>
      <c r="Q935" t="s">
        <v>74</v>
      </c>
      <c r="R935" t="s">
        <v>74</v>
      </c>
      <c r="S935" t="s">
        <v>74</v>
      </c>
      <c r="T935" t="s">
        <v>18092</v>
      </c>
      <c r="U935" t="s">
        <v>18093</v>
      </c>
      <c r="V935" t="s">
        <v>18094</v>
      </c>
      <c r="W935" t="s">
        <v>18095</v>
      </c>
      <c r="X935" t="s">
        <v>18096</v>
      </c>
      <c r="Y935" t="s">
        <v>18097</v>
      </c>
      <c r="Z935" t="s">
        <v>18098</v>
      </c>
      <c r="AA935" t="s">
        <v>18099</v>
      </c>
      <c r="AB935" t="s">
        <v>18100</v>
      </c>
      <c r="AC935" t="s">
        <v>18101</v>
      </c>
      <c r="AD935" t="s">
        <v>18102</v>
      </c>
      <c r="AE935" t="s">
        <v>18103</v>
      </c>
      <c r="AF935" t="s">
        <v>74</v>
      </c>
      <c r="AG935">
        <v>109</v>
      </c>
      <c r="AH935">
        <v>9</v>
      </c>
      <c r="AI935">
        <v>9</v>
      </c>
      <c r="AJ935">
        <v>0</v>
      </c>
      <c r="AK935">
        <v>8</v>
      </c>
      <c r="AL935" t="s">
        <v>8038</v>
      </c>
      <c r="AM935" t="s">
        <v>8039</v>
      </c>
      <c r="AN935" t="s">
        <v>8040</v>
      </c>
      <c r="AO935" t="s">
        <v>11805</v>
      </c>
      <c r="AP935" t="s">
        <v>11806</v>
      </c>
      <c r="AQ935" t="s">
        <v>74</v>
      </c>
      <c r="AR935" t="s">
        <v>11807</v>
      </c>
      <c r="AS935" t="s">
        <v>11808</v>
      </c>
      <c r="AT935" t="s">
        <v>1091</v>
      </c>
      <c r="AU935">
        <v>2021</v>
      </c>
      <c r="AV935">
        <v>155</v>
      </c>
      <c r="AW935" t="s">
        <v>74</v>
      </c>
      <c r="AX935" t="s">
        <v>74</v>
      </c>
      <c r="AY935" t="s">
        <v>74</v>
      </c>
      <c r="AZ935" t="s">
        <v>74</v>
      </c>
      <c r="BA935" t="s">
        <v>74</v>
      </c>
      <c r="BB935" t="s">
        <v>74</v>
      </c>
      <c r="BC935" t="s">
        <v>74</v>
      </c>
      <c r="BD935">
        <v>107020</v>
      </c>
      <c r="BE935" t="s">
        <v>18104</v>
      </c>
      <c r="BF935" t="str">
        <f>HYPERLINK("http://dx.doi.org/10.1016/j.ympev.2020.107020","http://dx.doi.org/10.1016/j.ympev.2020.107020")</f>
        <v>http://dx.doi.org/10.1016/j.ympev.2020.107020</v>
      </c>
      <c r="BG935" t="s">
        <v>74</v>
      </c>
      <c r="BH935" t="s">
        <v>74</v>
      </c>
      <c r="BI935">
        <v>12</v>
      </c>
      <c r="BJ935" t="s">
        <v>11810</v>
      </c>
      <c r="BK935" t="s">
        <v>101</v>
      </c>
      <c r="BL935" t="s">
        <v>11810</v>
      </c>
      <c r="BM935" t="s">
        <v>18105</v>
      </c>
      <c r="BN935">
        <v>33242583</v>
      </c>
      <c r="BO935" t="s">
        <v>74</v>
      </c>
      <c r="BP935" t="s">
        <v>74</v>
      </c>
      <c r="BQ935" t="s">
        <v>74</v>
      </c>
      <c r="BR935" t="s">
        <v>104</v>
      </c>
      <c r="BS935" t="s">
        <v>18106</v>
      </c>
      <c r="BT935" t="str">
        <f>HYPERLINK("https%3A%2F%2Fwww.webofscience.com%2Fwos%2Fwoscc%2Ffull-record%2FWOS:000606544200008","View Full Record in Web of Science")</f>
        <v>View Full Record in Web of Science</v>
      </c>
    </row>
    <row r="936" spans="1:72" x14ac:dyDescent="0.15">
      <c r="A936" t="s">
        <v>72</v>
      </c>
      <c r="B936" t="s">
        <v>18107</v>
      </c>
      <c r="C936" t="s">
        <v>74</v>
      </c>
      <c r="D936" t="s">
        <v>74</v>
      </c>
      <c r="E936" t="s">
        <v>74</v>
      </c>
      <c r="F936" t="s">
        <v>18108</v>
      </c>
      <c r="G936" t="s">
        <v>74</v>
      </c>
      <c r="H936" t="s">
        <v>74</v>
      </c>
      <c r="I936" t="s">
        <v>18109</v>
      </c>
      <c r="J936" t="s">
        <v>18110</v>
      </c>
      <c r="K936" t="s">
        <v>74</v>
      </c>
      <c r="L936" t="s">
        <v>74</v>
      </c>
      <c r="M936" t="s">
        <v>78</v>
      </c>
      <c r="N936" t="s">
        <v>79</v>
      </c>
      <c r="O936" t="s">
        <v>74</v>
      </c>
      <c r="P936" t="s">
        <v>74</v>
      </c>
      <c r="Q936" t="s">
        <v>74</v>
      </c>
      <c r="R936" t="s">
        <v>74</v>
      </c>
      <c r="S936" t="s">
        <v>74</v>
      </c>
      <c r="T936" t="s">
        <v>18111</v>
      </c>
      <c r="U936" t="s">
        <v>18112</v>
      </c>
      <c r="V936" t="s">
        <v>18113</v>
      </c>
      <c r="W936" t="s">
        <v>18114</v>
      </c>
      <c r="X936" t="s">
        <v>18115</v>
      </c>
      <c r="Y936" t="s">
        <v>18116</v>
      </c>
      <c r="Z936" t="s">
        <v>18117</v>
      </c>
      <c r="AA936" t="s">
        <v>18118</v>
      </c>
      <c r="AB936" t="s">
        <v>18119</v>
      </c>
      <c r="AC936" t="s">
        <v>18120</v>
      </c>
      <c r="AD936" t="s">
        <v>18120</v>
      </c>
      <c r="AE936" t="s">
        <v>18121</v>
      </c>
      <c r="AF936" t="s">
        <v>74</v>
      </c>
      <c r="AG936">
        <v>53</v>
      </c>
      <c r="AH936">
        <v>0</v>
      </c>
      <c r="AI936">
        <v>0</v>
      </c>
      <c r="AJ936">
        <v>3</v>
      </c>
      <c r="AK936">
        <v>7</v>
      </c>
      <c r="AL936" t="s">
        <v>18122</v>
      </c>
      <c r="AM936" t="s">
        <v>18123</v>
      </c>
      <c r="AN936" t="s">
        <v>18124</v>
      </c>
      <c r="AO936" t="s">
        <v>18125</v>
      </c>
      <c r="AP936" t="s">
        <v>18126</v>
      </c>
      <c r="AQ936" t="s">
        <v>74</v>
      </c>
      <c r="AR936" t="s">
        <v>18127</v>
      </c>
      <c r="AS936" t="s">
        <v>18128</v>
      </c>
      <c r="AT936" t="s">
        <v>1091</v>
      </c>
      <c r="AU936">
        <v>2021</v>
      </c>
      <c r="AV936">
        <v>25</v>
      </c>
      <c r="AW936" t="s">
        <v>74</v>
      </c>
      <c r="AX936" t="s">
        <v>74</v>
      </c>
      <c r="AY936" t="s">
        <v>74</v>
      </c>
      <c r="AZ936">
        <v>2</v>
      </c>
      <c r="BA936" t="s">
        <v>74</v>
      </c>
      <c r="BB936" t="s">
        <v>74</v>
      </c>
      <c r="BC936" t="s">
        <v>74</v>
      </c>
      <c r="BD936">
        <v>839</v>
      </c>
      <c r="BE936" t="s">
        <v>18129</v>
      </c>
      <c r="BF936" t="str">
        <f>HYPERLINK("http://dx.doi.org/10.31285/AGRO.25.839","http://dx.doi.org/10.31285/AGRO.25.839")</f>
        <v>http://dx.doi.org/10.31285/AGRO.25.839</v>
      </c>
      <c r="BG936" t="s">
        <v>74</v>
      </c>
      <c r="BH936" t="s">
        <v>74</v>
      </c>
      <c r="BI936">
        <v>15</v>
      </c>
      <c r="BJ936" t="s">
        <v>18130</v>
      </c>
      <c r="BK936" t="s">
        <v>342</v>
      </c>
      <c r="BL936" t="s">
        <v>5392</v>
      </c>
      <c r="BM936" t="s">
        <v>18131</v>
      </c>
      <c r="BN936" t="s">
        <v>74</v>
      </c>
      <c r="BO936" t="s">
        <v>317</v>
      </c>
      <c r="BP936" t="s">
        <v>74</v>
      </c>
      <c r="BQ936" t="s">
        <v>74</v>
      </c>
      <c r="BR936" t="s">
        <v>104</v>
      </c>
      <c r="BS936" t="s">
        <v>18132</v>
      </c>
      <c r="BT936" t="str">
        <f>HYPERLINK("https%3A%2F%2Fwww.webofscience.com%2Fwos%2Fwoscc%2Ffull-record%2FWOS:000972774000006","View Full Record in Web of Science")</f>
        <v>View Full Record in Web of Science</v>
      </c>
    </row>
    <row r="937" spans="1:72" x14ac:dyDescent="0.15">
      <c r="A937" t="s">
        <v>72</v>
      </c>
      <c r="B937" t="s">
        <v>18133</v>
      </c>
      <c r="C937" t="s">
        <v>74</v>
      </c>
      <c r="D937" t="s">
        <v>74</v>
      </c>
      <c r="E937" t="s">
        <v>74</v>
      </c>
      <c r="F937" t="s">
        <v>18134</v>
      </c>
      <c r="G937" t="s">
        <v>74</v>
      </c>
      <c r="H937" t="s">
        <v>74</v>
      </c>
      <c r="I937" t="s">
        <v>18135</v>
      </c>
      <c r="J937" t="s">
        <v>18136</v>
      </c>
      <c r="K937" t="s">
        <v>74</v>
      </c>
      <c r="L937" t="s">
        <v>74</v>
      </c>
      <c r="M937" t="s">
        <v>78</v>
      </c>
      <c r="N937" t="s">
        <v>79</v>
      </c>
      <c r="O937" t="s">
        <v>74</v>
      </c>
      <c r="P937" t="s">
        <v>74</v>
      </c>
      <c r="Q937" t="s">
        <v>74</v>
      </c>
      <c r="R937" t="s">
        <v>74</v>
      </c>
      <c r="S937" t="s">
        <v>74</v>
      </c>
      <c r="T937" t="s">
        <v>18137</v>
      </c>
      <c r="U937" t="s">
        <v>18138</v>
      </c>
      <c r="V937" t="s">
        <v>18139</v>
      </c>
      <c r="W937" t="s">
        <v>18140</v>
      </c>
      <c r="X937" t="s">
        <v>18141</v>
      </c>
      <c r="Y937" t="s">
        <v>18142</v>
      </c>
      <c r="Z937" t="s">
        <v>18143</v>
      </c>
      <c r="AA937" t="s">
        <v>18144</v>
      </c>
      <c r="AB937" t="s">
        <v>18145</v>
      </c>
      <c r="AC937" t="s">
        <v>18146</v>
      </c>
      <c r="AD937" t="s">
        <v>18147</v>
      </c>
      <c r="AE937" t="s">
        <v>18148</v>
      </c>
      <c r="AF937" t="s">
        <v>74</v>
      </c>
      <c r="AG937">
        <v>83</v>
      </c>
      <c r="AH937">
        <v>14</v>
      </c>
      <c r="AI937">
        <v>15</v>
      </c>
      <c r="AJ937">
        <v>1</v>
      </c>
      <c r="AK937">
        <v>32</v>
      </c>
      <c r="AL937" t="s">
        <v>890</v>
      </c>
      <c r="AM937" t="s">
        <v>891</v>
      </c>
      <c r="AN937" t="s">
        <v>892</v>
      </c>
      <c r="AO937" t="s">
        <v>18149</v>
      </c>
      <c r="AP937" t="s">
        <v>18150</v>
      </c>
      <c r="AQ937" t="s">
        <v>74</v>
      </c>
      <c r="AR937" t="s">
        <v>18151</v>
      </c>
      <c r="AS937" t="s">
        <v>18152</v>
      </c>
      <c r="AT937" t="s">
        <v>2859</v>
      </c>
      <c r="AU937">
        <v>2021</v>
      </c>
      <c r="AV937">
        <v>50</v>
      </c>
      <c r="AW937" t="s">
        <v>74</v>
      </c>
      <c r="AX937" t="s">
        <v>74</v>
      </c>
      <c r="AY937" t="s">
        <v>74</v>
      </c>
      <c r="AZ937" t="s">
        <v>74</v>
      </c>
      <c r="BA937" t="s">
        <v>74</v>
      </c>
      <c r="BB937" t="s">
        <v>74</v>
      </c>
      <c r="BC937" t="s">
        <v>74</v>
      </c>
      <c r="BD937">
        <v>101041</v>
      </c>
      <c r="BE937" t="s">
        <v>18153</v>
      </c>
      <c r="BF937" t="str">
        <f>HYPERLINK("http://dx.doi.org/10.1016/j.funeco.2021.101041","http://dx.doi.org/10.1016/j.funeco.2021.101041")</f>
        <v>http://dx.doi.org/10.1016/j.funeco.2021.101041</v>
      </c>
      <c r="BG937" t="s">
        <v>74</v>
      </c>
      <c r="BH937" t="s">
        <v>12028</v>
      </c>
      <c r="BI937">
        <v>12</v>
      </c>
      <c r="BJ937" t="s">
        <v>18154</v>
      </c>
      <c r="BK937" t="s">
        <v>101</v>
      </c>
      <c r="BL937" t="s">
        <v>18155</v>
      </c>
      <c r="BM937" t="s">
        <v>18156</v>
      </c>
      <c r="BN937" t="s">
        <v>74</v>
      </c>
      <c r="BO937" t="s">
        <v>74</v>
      </c>
      <c r="BP937" t="s">
        <v>74</v>
      </c>
      <c r="BQ937" t="s">
        <v>74</v>
      </c>
      <c r="BR937" t="s">
        <v>104</v>
      </c>
      <c r="BS937" t="s">
        <v>18157</v>
      </c>
      <c r="BT937" t="str">
        <f>HYPERLINK("https%3A%2F%2Fwww.webofscience.com%2Fwos%2Fwoscc%2Ffull-record%2FWOS:000624372000010","View Full Record in Web of Science")</f>
        <v>View Full Record in Web of Science</v>
      </c>
    </row>
    <row r="938" spans="1:72" x14ac:dyDescent="0.15">
      <c r="A938" t="s">
        <v>72</v>
      </c>
      <c r="B938" t="s">
        <v>18158</v>
      </c>
      <c r="C938" t="s">
        <v>74</v>
      </c>
      <c r="D938" t="s">
        <v>74</v>
      </c>
      <c r="E938" t="s">
        <v>74</v>
      </c>
      <c r="F938" t="s">
        <v>18159</v>
      </c>
      <c r="G938" t="s">
        <v>74</v>
      </c>
      <c r="H938" t="s">
        <v>74</v>
      </c>
      <c r="I938" t="s">
        <v>18160</v>
      </c>
      <c r="J938" t="s">
        <v>18161</v>
      </c>
      <c r="K938" t="s">
        <v>74</v>
      </c>
      <c r="L938" t="s">
        <v>74</v>
      </c>
      <c r="M938" t="s">
        <v>78</v>
      </c>
      <c r="N938" t="s">
        <v>79</v>
      </c>
      <c r="O938" t="s">
        <v>74</v>
      </c>
      <c r="P938" t="s">
        <v>74</v>
      </c>
      <c r="Q938" t="s">
        <v>74</v>
      </c>
      <c r="R938" t="s">
        <v>74</v>
      </c>
      <c r="S938" t="s">
        <v>74</v>
      </c>
      <c r="T938" t="s">
        <v>18162</v>
      </c>
      <c r="U938" t="s">
        <v>74</v>
      </c>
      <c r="V938" t="s">
        <v>18163</v>
      </c>
      <c r="W938" t="s">
        <v>18164</v>
      </c>
      <c r="X938" t="s">
        <v>18165</v>
      </c>
      <c r="Y938" t="s">
        <v>18166</v>
      </c>
      <c r="Z938" t="s">
        <v>18167</v>
      </c>
      <c r="AA938" t="s">
        <v>74</v>
      </c>
      <c r="AB938" t="s">
        <v>74</v>
      </c>
      <c r="AC938" t="s">
        <v>74</v>
      </c>
      <c r="AD938" t="s">
        <v>74</v>
      </c>
      <c r="AE938" t="s">
        <v>74</v>
      </c>
      <c r="AF938" t="s">
        <v>74</v>
      </c>
      <c r="AG938">
        <v>53</v>
      </c>
      <c r="AH938">
        <v>5</v>
      </c>
      <c r="AI938">
        <v>5</v>
      </c>
      <c r="AJ938">
        <v>0</v>
      </c>
      <c r="AK938">
        <v>0</v>
      </c>
      <c r="AL938" t="s">
        <v>18168</v>
      </c>
      <c r="AM938" t="s">
        <v>291</v>
      </c>
      <c r="AN938" t="s">
        <v>18169</v>
      </c>
      <c r="AO938" t="s">
        <v>18170</v>
      </c>
      <c r="AP938" t="s">
        <v>18171</v>
      </c>
      <c r="AQ938" t="s">
        <v>74</v>
      </c>
      <c r="AR938" t="s">
        <v>18172</v>
      </c>
      <c r="AS938" t="s">
        <v>18173</v>
      </c>
      <c r="AT938" t="s">
        <v>1091</v>
      </c>
      <c r="AU938">
        <v>2021</v>
      </c>
      <c r="AV938">
        <v>11</v>
      </c>
      <c r="AW938" t="s">
        <v>197</v>
      </c>
      <c r="AX938" t="s">
        <v>74</v>
      </c>
      <c r="AY938" t="s">
        <v>74</v>
      </c>
      <c r="AZ938" t="s">
        <v>803</v>
      </c>
      <c r="BA938" t="s">
        <v>74</v>
      </c>
      <c r="BB938">
        <v>115</v>
      </c>
      <c r="BC938">
        <v>129</v>
      </c>
      <c r="BD938" t="s">
        <v>74</v>
      </c>
      <c r="BE938" t="s">
        <v>18174</v>
      </c>
      <c r="BF938" t="str">
        <f>HYPERLINK("http://dx.doi.org/10.1332/204378920X16032963659726","http://dx.doi.org/10.1332/204378920X16032963659726")</f>
        <v>http://dx.doi.org/10.1332/204378920X16032963659726</v>
      </c>
      <c r="BG938" t="s">
        <v>74</v>
      </c>
      <c r="BH938" t="s">
        <v>74</v>
      </c>
      <c r="BI938">
        <v>15</v>
      </c>
      <c r="BJ938" t="s">
        <v>18175</v>
      </c>
      <c r="BK938" t="s">
        <v>342</v>
      </c>
      <c r="BL938" t="s">
        <v>18176</v>
      </c>
      <c r="BM938" t="s">
        <v>18177</v>
      </c>
      <c r="BN938" t="s">
        <v>74</v>
      </c>
      <c r="BO938" t="s">
        <v>74</v>
      </c>
      <c r="BP938" t="s">
        <v>74</v>
      </c>
      <c r="BQ938" t="s">
        <v>74</v>
      </c>
      <c r="BR938" t="s">
        <v>104</v>
      </c>
      <c r="BS938" t="s">
        <v>18178</v>
      </c>
      <c r="BT938" t="str">
        <f>HYPERLINK("https%3A%2F%2Fwww.webofscience.com%2Fwos%2Fwoscc%2Ffull-record%2FWOS:000788382000013","View Full Record in Web of Science")</f>
        <v>View Full Record in Web of Science</v>
      </c>
    </row>
    <row r="939" spans="1:72" x14ac:dyDescent="0.15">
      <c r="A939" t="s">
        <v>72</v>
      </c>
      <c r="B939" t="s">
        <v>18179</v>
      </c>
      <c r="C939" t="s">
        <v>74</v>
      </c>
      <c r="D939" t="s">
        <v>74</v>
      </c>
      <c r="E939" t="s">
        <v>74</v>
      </c>
      <c r="F939" t="s">
        <v>18180</v>
      </c>
      <c r="G939" t="s">
        <v>74</v>
      </c>
      <c r="H939" t="s">
        <v>74</v>
      </c>
      <c r="I939" t="s">
        <v>18181</v>
      </c>
      <c r="J939" t="s">
        <v>5557</v>
      </c>
      <c r="K939" t="s">
        <v>74</v>
      </c>
      <c r="L939" t="s">
        <v>74</v>
      </c>
      <c r="M939" t="s">
        <v>78</v>
      </c>
      <c r="N939" t="s">
        <v>79</v>
      </c>
      <c r="O939" t="s">
        <v>74</v>
      </c>
      <c r="P939" t="s">
        <v>74</v>
      </c>
      <c r="Q939" t="s">
        <v>74</v>
      </c>
      <c r="R939" t="s">
        <v>74</v>
      </c>
      <c r="S939" t="s">
        <v>74</v>
      </c>
      <c r="T939" t="s">
        <v>18182</v>
      </c>
      <c r="U939" t="s">
        <v>74</v>
      </c>
      <c r="V939" t="s">
        <v>18183</v>
      </c>
      <c r="W939" t="s">
        <v>18184</v>
      </c>
      <c r="X939" t="s">
        <v>18185</v>
      </c>
      <c r="Y939" t="s">
        <v>18186</v>
      </c>
      <c r="Z939" t="s">
        <v>18187</v>
      </c>
      <c r="AA939" t="s">
        <v>18188</v>
      </c>
      <c r="AB939" t="s">
        <v>18189</v>
      </c>
      <c r="AC939" t="s">
        <v>18190</v>
      </c>
      <c r="AD939" t="s">
        <v>18191</v>
      </c>
      <c r="AE939" t="s">
        <v>18192</v>
      </c>
      <c r="AF939" t="s">
        <v>74</v>
      </c>
      <c r="AG939">
        <v>71</v>
      </c>
      <c r="AH939">
        <v>8</v>
      </c>
      <c r="AI939">
        <v>8</v>
      </c>
      <c r="AJ939">
        <v>0</v>
      </c>
      <c r="AK939">
        <v>12</v>
      </c>
      <c r="AL939" t="s">
        <v>335</v>
      </c>
      <c r="AM939" t="s">
        <v>336</v>
      </c>
      <c r="AN939" t="s">
        <v>337</v>
      </c>
      <c r="AO939" t="s">
        <v>74</v>
      </c>
      <c r="AP939" t="s">
        <v>5566</v>
      </c>
      <c r="AQ939" t="s">
        <v>74</v>
      </c>
      <c r="AR939" t="s">
        <v>5557</v>
      </c>
      <c r="AS939" t="s">
        <v>5567</v>
      </c>
      <c r="AT939" t="s">
        <v>1091</v>
      </c>
      <c r="AU939">
        <v>2021</v>
      </c>
      <c r="AV939">
        <v>9</v>
      </c>
      <c r="AW939">
        <v>2</v>
      </c>
      <c r="AX939" t="s">
        <v>74</v>
      </c>
      <c r="AY939" t="s">
        <v>74</v>
      </c>
      <c r="AZ939" t="s">
        <v>74</v>
      </c>
      <c r="BA939" t="s">
        <v>74</v>
      </c>
      <c r="BB939" t="s">
        <v>74</v>
      </c>
      <c r="BC939" t="s">
        <v>74</v>
      </c>
      <c r="BD939">
        <v>317</v>
      </c>
      <c r="BE939" t="s">
        <v>18193</v>
      </c>
      <c r="BF939" t="str">
        <f>HYPERLINK("http://dx.doi.org/10.3390/microorganisms9020317","http://dx.doi.org/10.3390/microorganisms9020317")</f>
        <v>http://dx.doi.org/10.3390/microorganisms9020317</v>
      </c>
      <c r="BG939" t="s">
        <v>74</v>
      </c>
      <c r="BH939" t="s">
        <v>74</v>
      </c>
      <c r="BI939">
        <v>22</v>
      </c>
      <c r="BJ939" t="s">
        <v>396</v>
      </c>
      <c r="BK939" t="s">
        <v>101</v>
      </c>
      <c r="BL939" t="s">
        <v>396</v>
      </c>
      <c r="BM939" t="s">
        <v>18194</v>
      </c>
      <c r="BN939">
        <v>33557117</v>
      </c>
      <c r="BO939" t="s">
        <v>298</v>
      </c>
      <c r="BP939" t="s">
        <v>74</v>
      </c>
      <c r="BQ939" t="s">
        <v>74</v>
      </c>
      <c r="BR939" t="s">
        <v>104</v>
      </c>
      <c r="BS939" t="s">
        <v>18195</v>
      </c>
      <c r="BT939" t="str">
        <f>HYPERLINK("https%3A%2F%2Fwww.webofscience.com%2Fwos%2Fwoscc%2Ffull-record%2FWOS:000622818300001","View Full Record in Web of Science")</f>
        <v>View Full Record in Web of Science</v>
      </c>
    </row>
    <row r="940" spans="1:72" x14ac:dyDescent="0.15">
      <c r="A940" t="s">
        <v>72</v>
      </c>
      <c r="B940" t="s">
        <v>18196</v>
      </c>
      <c r="C940" t="s">
        <v>74</v>
      </c>
      <c r="D940" t="s">
        <v>74</v>
      </c>
      <c r="E940" t="s">
        <v>74</v>
      </c>
      <c r="F940" t="s">
        <v>18197</v>
      </c>
      <c r="G940" t="s">
        <v>74</v>
      </c>
      <c r="H940" t="s">
        <v>74</v>
      </c>
      <c r="I940" t="s">
        <v>18198</v>
      </c>
      <c r="J940" t="s">
        <v>18199</v>
      </c>
      <c r="K940" t="s">
        <v>74</v>
      </c>
      <c r="L940" t="s">
        <v>74</v>
      </c>
      <c r="M940" t="s">
        <v>78</v>
      </c>
      <c r="N940" t="s">
        <v>79</v>
      </c>
      <c r="O940" t="s">
        <v>74</v>
      </c>
      <c r="P940" t="s">
        <v>74</v>
      </c>
      <c r="Q940" t="s">
        <v>74</v>
      </c>
      <c r="R940" t="s">
        <v>74</v>
      </c>
      <c r="S940" t="s">
        <v>74</v>
      </c>
      <c r="T940" t="s">
        <v>74</v>
      </c>
      <c r="U940" t="s">
        <v>18200</v>
      </c>
      <c r="V940" t="s">
        <v>18201</v>
      </c>
      <c r="W940" t="s">
        <v>18202</v>
      </c>
      <c r="X940" t="s">
        <v>18203</v>
      </c>
      <c r="Y940" t="s">
        <v>18204</v>
      </c>
      <c r="Z940" t="s">
        <v>18205</v>
      </c>
      <c r="AA940" t="s">
        <v>74</v>
      </c>
      <c r="AB940" t="s">
        <v>18206</v>
      </c>
      <c r="AC940" t="s">
        <v>18207</v>
      </c>
      <c r="AD940" t="s">
        <v>18208</v>
      </c>
      <c r="AE940" t="s">
        <v>18209</v>
      </c>
      <c r="AF940" t="s">
        <v>74</v>
      </c>
      <c r="AG940">
        <v>208</v>
      </c>
      <c r="AH940">
        <v>14</v>
      </c>
      <c r="AI940">
        <v>14</v>
      </c>
      <c r="AJ940">
        <v>0</v>
      </c>
      <c r="AK940">
        <v>0</v>
      </c>
      <c r="AL940" t="s">
        <v>290</v>
      </c>
      <c r="AM940" t="s">
        <v>291</v>
      </c>
      <c r="AN940" t="s">
        <v>292</v>
      </c>
      <c r="AO940" t="s">
        <v>74</v>
      </c>
      <c r="AP940" t="s">
        <v>18210</v>
      </c>
      <c r="AQ940" t="s">
        <v>74</v>
      </c>
      <c r="AR940" t="s">
        <v>18211</v>
      </c>
      <c r="AS940" t="s">
        <v>18212</v>
      </c>
      <c r="AT940" t="s">
        <v>1091</v>
      </c>
      <c r="AU940">
        <v>2021</v>
      </c>
      <c r="AV940">
        <v>2</v>
      </c>
      <c r="AW940">
        <v>1</v>
      </c>
      <c r="AX940" t="s">
        <v>74</v>
      </c>
      <c r="AY940" t="s">
        <v>74</v>
      </c>
      <c r="AZ940" t="s">
        <v>74</v>
      </c>
      <c r="BA940" t="s">
        <v>74</v>
      </c>
      <c r="BB940" t="s">
        <v>74</v>
      </c>
      <c r="BC940" t="s">
        <v>74</v>
      </c>
      <c r="BD940">
        <v>25</v>
      </c>
      <c r="BE940" t="s">
        <v>18213</v>
      </c>
      <c r="BF940" t="str">
        <f>HYPERLINK("http://dx.doi.org/10.3847/PSJ/abca3e","http://dx.doi.org/10.3847/PSJ/abca3e")</f>
        <v>http://dx.doi.org/10.3847/PSJ/abca3e</v>
      </c>
      <c r="BG940" t="s">
        <v>74</v>
      </c>
      <c r="BH940" t="s">
        <v>74</v>
      </c>
      <c r="BI940">
        <v>25</v>
      </c>
      <c r="BJ940" t="s">
        <v>4844</v>
      </c>
      <c r="BK940" t="s">
        <v>342</v>
      </c>
      <c r="BL940" t="s">
        <v>4844</v>
      </c>
      <c r="BM940" t="s">
        <v>18214</v>
      </c>
      <c r="BN940" t="s">
        <v>74</v>
      </c>
      <c r="BO940" t="s">
        <v>1779</v>
      </c>
      <c r="BP940" t="s">
        <v>74</v>
      </c>
      <c r="BQ940" t="s">
        <v>74</v>
      </c>
      <c r="BR940" t="s">
        <v>104</v>
      </c>
      <c r="BS940" t="s">
        <v>18215</v>
      </c>
      <c r="BT940" t="str">
        <f>HYPERLINK("https%3A%2F%2Fwww.webofscience.com%2Fwos%2Fwoscc%2Ffull-record%2FWOS:000912972400001","View Full Record in Web of Science")</f>
        <v>View Full Record in Web of Science</v>
      </c>
    </row>
    <row r="941" spans="1:72" x14ac:dyDescent="0.15">
      <c r="A941" t="s">
        <v>72</v>
      </c>
      <c r="B941" t="s">
        <v>18216</v>
      </c>
      <c r="C941" t="s">
        <v>74</v>
      </c>
      <c r="D941" t="s">
        <v>74</v>
      </c>
      <c r="E941" t="s">
        <v>74</v>
      </c>
      <c r="F941" t="s">
        <v>18217</v>
      </c>
      <c r="G941" t="s">
        <v>74</v>
      </c>
      <c r="H941" t="s">
        <v>74</v>
      </c>
      <c r="I941" t="s">
        <v>18218</v>
      </c>
      <c r="J941" t="s">
        <v>563</v>
      </c>
      <c r="K941" t="s">
        <v>74</v>
      </c>
      <c r="L941" t="s">
        <v>74</v>
      </c>
      <c r="M941" t="s">
        <v>78</v>
      </c>
      <c r="N941" t="s">
        <v>79</v>
      </c>
      <c r="O941" t="s">
        <v>74</v>
      </c>
      <c r="P941" t="s">
        <v>74</v>
      </c>
      <c r="Q941" t="s">
        <v>74</v>
      </c>
      <c r="R941" t="s">
        <v>74</v>
      </c>
      <c r="S941" t="s">
        <v>74</v>
      </c>
      <c r="T941" t="s">
        <v>18219</v>
      </c>
      <c r="U941" t="s">
        <v>18220</v>
      </c>
      <c r="V941" t="s">
        <v>18221</v>
      </c>
      <c r="W941" t="s">
        <v>18222</v>
      </c>
      <c r="X941" t="s">
        <v>18223</v>
      </c>
      <c r="Y941" t="s">
        <v>18224</v>
      </c>
      <c r="Z941" t="s">
        <v>18225</v>
      </c>
      <c r="AA941" t="s">
        <v>18226</v>
      </c>
      <c r="AB941" t="s">
        <v>18227</v>
      </c>
      <c r="AC941" t="s">
        <v>18228</v>
      </c>
      <c r="AD941" t="s">
        <v>18229</v>
      </c>
      <c r="AE941" t="s">
        <v>18230</v>
      </c>
      <c r="AF941" t="s">
        <v>74</v>
      </c>
      <c r="AG941">
        <v>103</v>
      </c>
      <c r="AH941">
        <v>7</v>
      </c>
      <c r="AI941">
        <v>9</v>
      </c>
      <c r="AJ941">
        <v>8</v>
      </c>
      <c r="AK941">
        <v>67</v>
      </c>
      <c r="AL941" t="s">
        <v>576</v>
      </c>
      <c r="AM941" t="s">
        <v>577</v>
      </c>
      <c r="AN941" t="s">
        <v>578</v>
      </c>
      <c r="AO941" t="s">
        <v>579</v>
      </c>
      <c r="AP941" t="s">
        <v>580</v>
      </c>
      <c r="AQ941" t="s">
        <v>74</v>
      </c>
      <c r="AR941" t="s">
        <v>581</v>
      </c>
      <c r="AS941" t="s">
        <v>582</v>
      </c>
      <c r="AT941" t="s">
        <v>15943</v>
      </c>
      <c r="AU941">
        <v>2021</v>
      </c>
      <c r="AV941">
        <v>754</v>
      </c>
      <c r="AW941" t="s">
        <v>74</v>
      </c>
      <c r="AX941" t="s">
        <v>74</v>
      </c>
      <c r="AY941" t="s">
        <v>74</v>
      </c>
      <c r="AZ941" t="s">
        <v>74</v>
      </c>
      <c r="BA941" t="s">
        <v>74</v>
      </c>
      <c r="BB941" t="s">
        <v>74</v>
      </c>
      <c r="BC941" t="s">
        <v>74</v>
      </c>
      <c r="BD941">
        <v>142066</v>
      </c>
      <c r="BE941" t="s">
        <v>18231</v>
      </c>
      <c r="BF941" t="str">
        <f>HYPERLINK("http://dx.doi.org/10.1016/j.scitotenv.2020.142066","http://dx.doi.org/10.1016/j.scitotenv.2020.142066")</f>
        <v>http://dx.doi.org/10.1016/j.scitotenv.2020.142066</v>
      </c>
      <c r="BG941" t="s">
        <v>74</v>
      </c>
      <c r="BH941" t="s">
        <v>74</v>
      </c>
      <c r="BI941">
        <v>15</v>
      </c>
      <c r="BJ941" t="s">
        <v>224</v>
      </c>
      <c r="BK941" t="s">
        <v>101</v>
      </c>
      <c r="BL941" t="s">
        <v>225</v>
      </c>
      <c r="BM941" t="s">
        <v>18232</v>
      </c>
      <c r="BN941">
        <v>33254911</v>
      </c>
      <c r="BO941" t="s">
        <v>74</v>
      </c>
      <c r="BP941" t="s">
        <v>74</v>
      </c>
      <c r="BQ941" t="s">
        <v>74</v>
      </c>
      <c r="BR941" t="s">
        <v>104</v>
      </c>
      <c r="BS941" t="s">
        <v>18233</v>
      </c>
      <c r="BT941" t="str">
        <f>HYPERLINK("https%3A%2F%2Fwww.webofscience.com%2Fwos%2Fwoscc%2Ffull-record%2FWOS:000593899600009","View Full Record in Web of Science")</f>
        <v>View Full Record in Web of Science</v>
      </c>
    </row>
    <row r="942" spans="1:72" x14ac:dyDescent="0.15">
      <c r="A942" t="s">
        <v>72</v>
      </c>
      <c r="B942" t="s">
        <v>18234</v>
      </c>
      <c r="C942" t="s">
        <v>74</v>
      </c>
      <c r="D942" t="s">
        <v>74</v>
      </c>
      <c r="E942" t="s">
        <v>74</v>
      </c>
      <c r="F942" t="s">
        <v>18235</v>
      </c>
      <c r="G942" t="s">
        <v>74</v>
      </c>
      <c r="H942" t="s">
        <v>74</v>
      </c>
      <c r="I942" t="s">
        <v>18236</v>
      </c>
      <c r="J942" t="s">
        <v>11792</v>
      </c>
      <c r="K942" t="s">
        <v>74</v>
      </c>
      <c r="L942" t="s">
        <v>74</v>
      </c>
      <c r="M942" t="s">
        <v>78</v>
      </c>
      <c r="N942" t="s">
        <v>79</v>
      </c>
      <c r="O942" t="s">
        <v>74</v>
      </c>
      <c r="P942" t="s">
        <v>74</v>
      </c>
      <c r="Q942" t="s">
        <v>74</v>
      </c>
      <c r="R942" t="s">
        <v>74</v>
      </c>
      <c r="S942" t="s">
        <v>74</v>
      </c>
      <c r="T942" t="s">
        <v>18237</v>
      </c>
      <c r="U942" t="s">
        <v>18238</v>
      </c>
      <c r="V942" t="s">
        <v>18239</v>
      </c>
      <c r="W942" t="s">
        <v>18240</v>
      </c>
      <c r="X942" t="s">
        <v>18241</v>
      </c>
      <c r="Y942" t="s">
        <v>18242</v>
      </c>
      <c r="Z942" t="s">
        <v>18243</v>
      </c>
      <c r="AA942" t="s">
        <v>18244</v>
      </c>
      <c r="AB942" t="s">
        <v>18245</v>
      </c>
      <c r="AC942" t="s">
        <v>74</v>
      </c>
      <c r="AD942" t="s">
        <v>74</v>
      </c>
      <c r="AE942" t="s">
        <v>74</v>
      </c>
      <c r="AF942" t="s">
        <v>74</v>
      </c>
      <c r="AG942">
        <v>50</v>
      </c>
      <c r="AH942">
        <v>9</v>
      </c>
      <c r="AI942">
        <v>9</v>
      </c>
      <c r="AJ942">
        <v>0</v>
      </c>
      <c r="AK942">
        <v>12</v>
      </c>
      <c r="AL942" t="s">
        <v>8038</v>
      </c>
      <c r="AM942" t="s">
        <v>8039</v>
      </c>
      <c r="AN942" t="s">
        <v>8040</v>
      </c>
      <c r="AO942" t="s">
        <v>11805</v>
      </c>
      <c r="AP942" t="s">
        <v>11806</v>
      </c>
      <c r="AQ942" t="s">
        <v>74</v>
      </c>
      <c r="AR942" t="s">
        <v>11807</v>
      </c>
      <c r="AS942" t="s">
        <v>11808</v>
      </c>
      <c r="AT942" t="s">
        <v>1091</v>
      </c>
      <c r="AU942">
        <v>2021</v>
      </c>
      <c r="AV942">
        <v>155</v>
      </c>
      <c r="AW942" t="s">
        <v>74</v>
      </c>
      <c r="AX942" t="s">
        <v>74</v>
      </c>
      <c r="AY942" t="s">
        <v>74</v>
      </c>
      <c r="AZ942" t="s">
        <v>74</v>
      </c>
      <c r="BA942" t="s">
        <v>74</v>
      </c>
      <c r="BB942" t="s">
        <v>74</v>
      </c>
      <c r="BC942" t="s">
        <v>74</v>
      </c>
      <c r="BD942">
        <v>107014</v>
      </c>
      <c r="BE942" t="s">
        <v>18246</v>
      </c>
      <c r="BF942" t="str">
        <f>HYPERLINK("http://dx.doi.org/10.1016/j.ympev.2020.107014","http://dx.doi.org/10.1016/j.ympev.2020.107014")</f>
        <v>http://dx.doi.org/10.1016/j.ympev.2020.107014</v>
      </c>
      <c r="BG942" t="s">
        <v>74</v>
      </c>
      <c r="BH942" t="s">
        <v>74</v>
      </c>
      <c r="BI942">
        <v>10</v>
      </c>
      <c r="BJ942" t="s">
        <v>11810</v>
      </c>
      <c r="BK942" t="s">
        <v>101</v>
      </c>
      <c r="BL942" t="s">
        <v>11810</v>
      </c>
      <c r="BM942" t="s">
        <v>18247</v>
      </c>
      <c r="BN942">
        <v>33217577</v>
      </c>
      <c r="BO942" t="s">
        <v>5474</v>
      </c>
      <c r="BP942" t="s">
        <v>74</v>
      </c>
      <c r="BQ942" t="s">
        <v>74</v>
      </c>
      <c r="BR942" t="s">
        <v>104</v>
      </c>
      <c r="BS942" t="s">
        <v>18248</v>
      </c>
      <c r="BT942" t="str">
        <f>HYPERLINK("https%3A%2F%2Fwww.webofscience.com%2Fwos%2Fwoscc%2Ffull-record%2FWOS:000605586300004","View Full Record in Web of Science")</f>
        <v>View Full Record in Web of Science</v>
      </c>
    </row>
    <row r="943" spans="1:72" x14ac:dyDescent="0.15">
      <c r="A943" t="s">
        <v>72</v>
      </c>
      <c r="B943" t="s">
        <v>18249</v>
      </c>
      <c r="C943" t="s">
        <v>74</v>
      </c>
      <c r="D943" t="s">
        <v>74</v>
      </c>
      <c r="E943" t="s">
        <v>74</v>
      </c>
      <c r="F943" t="s">
        <v>18250</v>
      </c>
      <c r="G943" t="s">
        <v>74</v>
      </c>
      <c r="H943" t="s">
        <v>74</v>
      </c>
      <c r="I943" t="s">
        <v>18251</v>
      </c>
      <c r="J943" t="s">
        <v>18252</v>
      </c>
      <c r="K943" t="s">
        <v>74</v>
      </c>
      <c r="L943" t="s">
        <v>74</v>
      </c>
      <c r="M943" t="s">
        <v>78</v>
      </c>
      <c r="N943" t="s">
        <v>79</v>
      </c>
      <c r="O943" t="s">
        <v>74</v>
      </c>
      <c r="P943" t="s">
        <v>74</v>
      </c>
      <c r="Q943" t="s">
        <v>74</v>
      </c>
      <c r="R943" t="s">
        <v>74</v>
      </c>
      <c r="S943" t="s">
        <v>74</v>
      </c>
      <c r="T943" t="s">
        <v>18253</v>
      </c>
      <c r="U943" t="s">
        <v>18254</v>
      </c>
      <c r="V943" t="s">
        <v>18255</v>
      </c>
      <c r="W943" t="s">
        <v>18256</v>
      </c>
      <c r="X943" t="s">
        <v>18257</v>
      </c>
      <c r="Y943" t="s">
        <v>18258</v>
      </c>
      <c r="Z943" t="s">
        <v>18259</v>
      </c>
      <c r="AA943" t="s">
        <v>74</v>
      </c>
      <c r="AB943" t="s">
        <v>74</v>
      </c>
      <c r="AC943" t="s">
        <v>18260</v>
      </c>
      <c r="AD943" t="s">
        <v>4769</v>
      </c>
      <c r="AE943" t="s">
        <v>18261</v>
      </c>
      <c r="AF943" t="s">
        <v>74</v>
      </c>
      <c r="AG943">
        <v>109</v>
      </c>
      <c r="AH943">
        <v>3</v>
      </c>
      <c r="AI943">
        <v>3</v>
      </c>
      <c r="AJ943">
        <v>3</v>
      </c>
      <c r="AK943">
        <v>17</v>
      </c>
      <c r="AL943" t="s">
        <v>3000</v>
      </c>
      <c r="AM943" t="s">
        <v>167</v>
      </c>
      <c r="AN943" t="s">
        <v>3001</v>
      </c>
      <c r="AO943" t="s">
        <v>18262</v>
      </c>
      <c r="AP943" t="s">
        <v>18263</v>
      </c>
      <c r="AQ943" t="s">
        <v>74</v>
      </c>
      <c r="AR943" t="s">
        <v>18264</v>
      </c>
      <c r="AS943" t="s">
        <v>18265</v>
      </c>
      <c r="AT943" t="s">
        <v>18266</v>
      </c>
      <c r="AU943">
        <v>2021</v>
      </c>
      <c r="AV943">
        <v>252</v>
      </c>
      <c r="AW943" t="s">
        <v>74</v>
      </c>
      <c r="AX943" t="s">
        <v>74</v>
      </c>
      <c r="AY943" t="s">
        <v>74</v>
      </c>
      <c r="AZ943" t="s">
        <v>74</v>
      </c>
      <c r="BA943" t="s">
        <v>74</v>
      </c>
      <c r="BB943" t="s">
        <v>74</v>
      </c>
      <c r="BC943" t="s">
        <v>74</v>
      </c>
      <c r="BD943">
        <v>110539</v>
      </c>
      <c r="BE943" t="s">
        <v>18267</v>
      </c>
      <c r="BF943" t="str">
        <f>HYPERLINK("http://dx.doi.org/10.1016/j.cbpb.2020.110539","http://dx.doi.org/10.1016/j.cbpb.2020.110539")</f>
        <v>http://dx.doi.org/10.1016/j.cbpb.2020.110539</v>
      </c>
      <c r="BG943" t="s">
        <v>74</v>
      </c>
      <c r="BH943" t="s">
        <v>74</v>
      </c>
      <c r="BI943">
        <v>10</v>
      </c>
      <c r="BJ943" t="s">
        <v>18268</v>
      </c>
      <c r="BK943" t="s">
        <v>101</v>
      </c>
      <c r="BL943" t="s">
        <v>18268</v>
      </c>
      <c r="BM943" t="s">
        <v>18269</v>
      </c>
      <c r="BN943">
        <v>33242660</v>
      </c>
      <c r="BO943" t="s">
        <v>712</v>
      </c>
      <c r="BP943" t="s">
        <v>74</v>
      </c>
      <c r="BQ943" t="s">
        <v>74</v>
      </c>
      <c r="BR943" t="s">
        <v>104</v>
      </c>
      <c r="BS943" t="s">
        <v>18270</v>
      </c>
      <c r="BT943" t="str">
        <f>HYPERLINK("https%3A%2F%2Fwww.webofscience.com%2Fwos%2Fwoscc%2Ffull-record%2FWOS:000603468300011","View Full Record in Web of Science")</f>
        <v>View Full Record in Web of Science</v>
      </c>
    </row>
    <row r="944" spans="1:72" x14ac:dyDescent="0.15">
      <c r="A944" t="s">
        <v>72</v>
      </c>
      <c r="B944" t="s">
        <v>18271</v>
      </c>
      <c r="C944" t="s">
        <v>74</v>
      </c>
      <c r="D944" t="s">
        <v>74</v>
      </c>
      <c r="E944" t="s">
        <v>74</v>
      </c>
      <c r="F944" t="s">
        <v>18272</v>
      </c>
      <c r="G944" t="s">
        <v>74</v>
      </c>
      <c r="H944" t="s">
        <v>74</v>
      </c>
      <c r="I944" t="s">
        <v>18273</v>
      </c>
      <c r="J944" t="s">
        <v>9061</v>
      </c>
      <c r="K944" t="s">
        <v>74</v>
      </c>
      <c r="L944" t="s">
        <v>74</v>
      </c>
      <c r="M944" t="s">
        <v>78</v>
      </c>
      <c r="N944" t="s">
        <v>79</v>
      </c>
      <c r="O944" t="s">
        <v>74</v>
      </c>
      <c r="P944" t="s">
        <v>74</v>
      </c>
      <c r="Q944" t="s">
        <v>74</v>
      </c>
      <c r="R944" t="s">
        <v>74</v>
      </c>
      <c r="S944" t="s">
        <v>74</v>
      </c>
      <c r="T944" t="s">
        <v>74</v>
      </c>
      <c r="U944" t="s">
        <v>18274</v>
      </c>
      <c r="V944" t="s">
        <v>18275</v>
      </c>
      <c r="W944" t="s">
        <v>18276</v>
      </c>
      <c r="X944" t="s">
        <v>18277</v>
      </c>
      <c r="Y944" t="s">
        <v>18278</v>
      </c>
      <c r="Z944" t="s">
        <v>18279</v>
      </c>
      <c r="AA944" t="s">
        <v>18280</v>
      </c>
      <c r="AB944" t="s">
        <v>18281</v>
      </c>
      <c r="AC944" t="s">
        <v>18282</v>
      </c>
      <c r="AD944" t="s">
        <v>18283</v>
      </c>
      <c r="AE944" t="s">
        <v>18284</v>
      </c>
      <c r="AF944" t="s">
        <v>74</v>
      </c>
      <c r="AG944">
        <v>56</v>
      </c>
      <c r="AH944">
        <v>10</v>
      </c>
      <c r="AI944">
        <v>10</v>
      </c>
      <c r="AJ944">
        <v>1</v>
      </c>
      <c r="AK944">
        <v>13</v>
      </c>
      <c r="AL944" t="s">
        <v>576</v>
      </c>
      <c r="AM944" t="s">
        <v>577</v>
      </c>
      <c r="AN944" t="s">
        <v>578</v>
      </c>
      <c r="AO944" t="s">
        <v>9073</v>
      </c>
      <c r="AP944" t="s">
        <v>9074</v>
      </c>
      <c r="AQ944" t="s">
        <v>74</v>
      </c>
      <c r="AR944" t="s">
        <v>9075</v>
      </c>
      <c r="AS944" t="s">
        <v>9076</v>
      </c>
      <c r="AT944" t="s">
        <v>1091</v>
      </c>
      <c r="AU944">
        <v>2021</v>
      </c>
      <c r="AV944">
        <v>214</v>
      </c>
      <c r="AW944" t="s">
        <v>74</v>
      </c>
      <c r="AX944" t="s">
        <v>74</v>
      </c>
      <c r="AY944" t="s">
        <v>74</v>
      </c>
      <c r="AZ944" t="s">
        <v>74</v>
      </c>
      <c r="BA944" t="s">
        <v>74</v>
      </c>
      <c r="BB944" t="s">
        <v>74</v>
      </c>
      <c r="BC944" t="s">
        <v>74</v>
      </c>
      <c r="BD944">
        <v>103489</v>
      </c>
      <c r="BE944" t="s">
        <v>18285</v>
      </c>
      <c r="BF944" t="str">
        <f>HYPERLINK("http://dx.doi.org/10.1016/j.jmarsys.2020.103489","http://dx.doi.org/10.1016/j.jmarsys.2020.103489")</f>
        <v>http://dx.doi.org/10.1016/j.jmarsys.2020.103489</v>
      </c>
      <c r="BG944" t="s">
        <v>74</v>
      </c>
      <c r="BH944" t="s">
        <v>74</v>
      </c>
      <c r="BI944">
        <v>10</v>
      </c>
      <c r="BJ944" t="s">
        <v>9078</v>
      </c>
      <c r="BK944" t="s">
        <v>101</v>
      </c>
      <c r="BL944" t="s">
        <v>9079</v>
      </c>
      <c r="BM944" t="s">
        <v>18286</v>
      </c>
      <c r="BN944" t="s">
        <v>74</v>
      </c>
      <c r="BO944" t="s">
        <v>398</v>
      </c>
      <c r="BP944" t="s">
        <v>74</v>
      </c>
      <c r="BQ944" t="s">
        <v>74</v>
      </c>
      <c r="BR944" t="s">
        <v>104</v>
      </c>
      <c r="BS944" t="s">
        <v>18287</v>
      </c>
      <c r="BT944" t="str">
        <f>HYPERLINK("https%3A%2F%2Fwww.webofscience.com%2Fwos%2Fwoscc%2Ffull-record%2FWOS:000600370200001","View Full Record in Web of Science")</f>
        <v>View Full Record in Web of Science</v>
      </c>
    </row>
    <row r="945" spans="1:72" x14ac:dyDescent="0.15">
      <c r="A945" t="s">
        <v>72</v>
      </c>
      <c r="B945" t="s">
        <v>18288</v>
      </c>
      <c r="C945" t="s">
        <v>74</v>
      </c>
      <c r="D945" t="s">
        <v>74</v>
      </c>
      <c r="E945" t="s">
        <v>74</v>
      </c>
      <c r="F945" t="s">
        <v>18289</v>
      </c>
      <c r="G945" t="s">
        <v>74</v>
      </c>
      <c r="H945" t="s">
        <v>74</v>
      </c>
      <c r="I945" t="s">
        <v>18290</v>
      </c>
      <c r="J945" t="s">
        <v>563</v>
      </c>
      <c r="K945" t="s">
        <v>74</v>
      </c>
      <c r="L945" t="s">
        <v>74</v>
      </c>
      <c r="M945" t="s">
        <v>78</v>
      </c>
      <c r="N945" t="s">
        <v>79</v>
      </c>
      <c r="O945" t="s">
        <v>74</v>
      </c>
      <c r="P945" t="s">
        <v>74</v>
      </c>
      <c r="Q945" t="s">
        <v>74</v>
      </c>
      <c r="R945" t="s">
        <v>74</v>
      </c>
      <c r="S945" t="s">
        <v>74</v>
      </c>
      <c r="T945" t="s">
        <v>18291</v>
      </c>
      <c r="U945" t="s">
        <v>18292</v>
      </c>
      <c r="V945" t="s">
        <v>18293</v>
      </c>
      <c r="W945" t="s">
        <v>18294</v>
      </c>
      <c r="X945" t="s">
        <v>18295</v>
      </c>
      <c r="Y945" t="s">
        <v>18296</v>
      </c>
      <c r="Z945" t="s">
        <v>18297</v>
      </c>
      <c r="AA945" t="s">
        <v>74</v>
      </c>
      <c r="AB945" t="s">
        <v>74</v>
      </c>
      <c r="AC945" t="s">
        <v>18298</v>
      </c>
      <c r="AD945" t="s">
        <v>18299</v>
      </c>
      <c r="AE945" t="s">
        <v>18300</v>
      </c>
      <c r="AF945" t="s">
        <v>74</v>
      </c>
      <c r="AG945">
        <v>170</v>
      </c>
      <c r="AH945">
        <v>24</v>
      </c>
      <c r="AI945">
        <v>26</v>
      </c>
      <c r="AJ945">
        <v>7</v>
      </c>
      <c r="AK945">
        <v>88</v>
      </c>
      <c r="AL945" t="s">
        <v>576</v>
      </c>
      <c r="AM945" t="s">
        <v>577</v>
      </c>
      <c r="AN945" t="s">
        <v>578</v>
      </c>
      <c r="AO945" t="s">
        <v>579</v>
      </c>
      <c r="AP945" t="s">
        <v>580</v>
      </c>
      <c r="AQ945" t="s">
        <v>74</v>
      </c>
      <c r="AR945" t="s">
        <v>581</v>
      </c>
      <c r="AS945" t="s">
        <v>582</v>
      </c>
      <c r="AT945" t="s">
        <v>15943</v>
      </c>
      <c r="AU945">
        <v>2021</v>
      </c>
      <c r="AV945">
        <v>754</v>
      </c>
      <c r="AW945" t="s">
        <v>74</v>
      </c>
      <c r="AX945" t="s">
        <v>74</v>
      </c>
      <c r="AY945" t="s">
        <v>74</v>
      </c>
      <c r="AZ945" t="s">
        <v>74</v>
      </c>
      <c r="BA945" t="s">
        <v>74</v>
      </c>
      <c r="BB945" t="s">
        <v>74</v>
      </c>
      <c r="BC945" t="s">
        <v>74</v>
      </c>
      <c r="BD945">
        <v>142379</v>
      </c>
      <c r="BE945" t="s">
        <v>18301</v>
      </c>
      <c r="BF945" t="str">
        <f>HYPERLINK("http://dx.doi.org/10.1016/j.scitotenv.2020.142379","http://dx.doi.org/10.1016/j.scitotenv.2020.142379")</f>
        <v>http://dx.doi.org/10.1016/j.scitotenv.2020.142379</v>
      </c>
      <c r="BG945" t="s">
        <v>74</v>
      </c>
      <c r="BH945" t="s">
        <v>74</v>
      </c>
      <c r="BI945">
        <v>12</v>
      </c>
      <c r="BJ945" t="s">
        <v>224</v>
      </c>
      <c r="BK945" t="s">
        <v>101</v>
      </c>
      <c r="BL945" t="s">
        <v>225</v>
      </c>
      <c r="BM945" t="s">
        <v>18302</v>
      </c>
      <c r="BN945">
        <v>33254857</v>
      </c>
      <c r="BO945" t="s">
        <v>712</v>
      </c>
      <c r="BP945" t="s">
        <v>74</v>
      </c>
      <c r="BQ945" t="s">
        <v>74</v>
      </c>
      <c r="BR945" t="s">
        <v>104</v>
      </c>
      <c r="BS945" t="s">
        <v>18303</v>
      </c>
      <c r="BT945" t="str">
        <f>HYPERLINK("https%3A%2F%2Fwww.webofscience.com%2Fwos%2Fwoscc%2Ffull-record%2FWOS:000593907600011","View Full Record in Web of Science")</f>
        <v>View Full Record in Web of Science</v>
      </c>
    </row>
    <row r="946" spans="1:72" x14ac:dyDescent="0.15">
      <c r="A946" t="s">
        <v>72</v>
      </c>
      <c r="B946" t="s">
        <v>18304</v>
      </c>
      <c r="C946" t="s">
        <v>74</v>
      </c>
      <c r="D946" t="s">
        <v>74</v>
      </c>
      <c r="E946" t="s">
        <v>74</v>
      </c>
      <c r="F946" t="s">
        <v>18305</v>
      </c>
      <c r="G946" t="s">
        <v>74</v>
      </c>
      <c r="H946" t="s">
        <v>74</v>
      </c>
      <c r="I946" t="s">
        <v>18306</v>
      </c>
      <c r="J946" t="s">
        <v>18307</v>
      </c>
      <c r="K946" t="s">
        <v>74</v>
      </c>
      <c r="L946" t="s">
        <v>74</v>
      </c>
      <c r="M946" t="s">
        <v>78</v>
      </c>
      <c r="N946" t="s">
        <v>79</v>
      </c>
      <c r="O946" t="s">
        <v>74</v>
      </c>
      <c r="P946" t="s">
        <v>74</v>
      </c>
      <c r="Q946" t="s">
        <v>74</v>
      </c>
      <c r="R946" t="s">
        <v>74</v>
      </c>
      <c r="S946" t="s">
        <v>74</v>
      </c>
      <c r="T946" t="s">
        <v>18308</v>
      </c>
      <c r="U946" t="s">
        <v>18309</v>
      </c>
      <c r="V946" t="s">
        <v>18310</v>
      </c>
      <c r="W946" t="s">
        <v>18311</v>
      </c>
      <c r="X946" t="s">
        <v>18312</v>
      </c>
      <c r="Y946" t="s">
        <v>18313</v>
      </c>
      <c r="Z946" t="s">
        <v>18314</v>
      </c>
      <c r="AA946" t="s">
        <v>74</v>
      </c>
      <c r="AB946" t="s">
        <v>18315</v>
      </c>
      <c r="AC946" t="s">
        <v>18316</v>
      </c>
      <c r="AD946" t="s">
        <v>18317</v>
      </c>
      <c r="AE946" t="s">
        <v>18318</v>
      </c>
      <c r="AF946" t="s">
        <v>74</v>
      </c>
      <c r="AG946">
        <v>92</v>
      </c>
      <c r="AH946">
        <v>15</v>
      </c>
      <c r="AI946">
        <v>15</v>
      </c>
      <c r="AJ946">
        <v>0</v>
      </c>
      <c r="AK946">
        <v>9</v>
      </c>
      <c r="AL946" t="s">
        <v>890</v>
      </c>
      <c r="AM946" t="s">
        <v>891</v>
      </c>
      <c r="AN946" t="s">
        <v>892</v>
      </c>
      <c r="AO946" t="s">
        <v>18319</v>
      </c>
      <c r="AP946" t="s">
        <v>18320</v>
      </c>
      <c r="AQ946" t="s">
        <v>74</v>
      </c>
      <c r="AR946" t="s">
        <v>18321</v>
      </c>
      <c r="AS946" t="s">
        <v>18322</v>
      </c>
      <c r="AT946" t="s">
        <v>1091</v>
      </c>
      <c r="AU946">
        <v>2021</v>
      </c>
      <c r="AV946">
        <v>49</v>
      </c>
      <c r="AW946">
        <v>1</v>
      </c>
      <c r="AX946" t="s">
        <v>74</v>
      </c>
      <c r="AY946" t="s">
        <v>74</v>
      </c>
      <c r="AZ946" t="s">
        <v>74</v>
      </c>
      <c r="BA946" t="s">
        <v>74</v>
      </c>
      <c r="BB946">
        <v>196</v>
      </c>
      <c r="BC946">
        <v>209</v>
      </c>
      <c r="BD946" t="s">
        <v>74</v>
      </c>
      <c r="BE946" t="s">
        <v>18323</v>
      </c>
      <c r="BF946" t="str">
        <f>HYPERLINK("http://dx.doi.org/10.1016/j.geotexmem.2020.10.020","http://dx.doi.org/10.1016/j.geotexmem.2020.10.020")</f>
        <v>http://dx.doi.org/10.1016/j.geotexmem.2020.10.020</v>
      </c>
      <c r="BG946" t="s">
        <v>74</v>
      </c>
      <c r="BH946" t="s">
        <v>74</v>
      </c>
      <c r="BI946">
        <v>14</v>
      </c>
      <c r="BJ946" t="s">
        <v>18324</v>
      </c>
      <c r="BK946" t="s">
        <v>101</v>
      </c>
      <c r="BL946" t="s">
        <v>2457</v>
      </c>
      <c r="BM946" t="s">
        <v>18325</v>
      </c>
      <c r="BN946" t="s">
        <v>74</v>
      </c>
      <c r="BO946" t="s">
        <v>74</v>
      </c>
      <c r="BP946" t="s">
        <v>74</v>
      </c>
      <c r="BQ946" t="s">
        <v>74</v>
      </c>
      <c r="BR946" t="s">
        <v>104</v>
      </c>
      <c r="BS946" t="s">
        <v>18326</v>
      </c>
      <c r="BT946" t="str">
        <f>HYPERLINK("https%3A%2F%2Fwww.webofscience.com%2Fwos%2Fwoscc%2Ffull-record%2FWOS:000602277900002","View Full Record in Web of Science")</f>
        <v>View Full Record in Web of Science</v>
      </c>
    </row>
    <row r="947" spans="1:72" x14ac:dyDescent="0.15">
      <c r="A947" t="s">
        <v>72</v>
      </c>
      <c r="B947" t="s">
        <v>18327</v>
      </c>
      <c r="C947" t="s">
        <v>74</v>
      </c>
      <c r="D947" t="s">
        <v>74</v>
      </c>
      <c r="E947" t="s">
        <v>74</v>
      </c>
      <c r="F947" t="s">
        <v>18328</v>
      </c>
      <c r="G947" t="s">
        <v>74</v>
      </c>
      <c r="H947" t="s">
        <v>74</v>
      </c>
      <c r="I947" t="s">
        <v>18329</v>
      </c>
      <c r="J947" t="s">
        <v>18330</v>
      </c>
      <c r="K947" t="s">
        <v>74</v>
      </c>
      <c r="L947" t="s">
        <v>74</v>
      </c>
      <c r="M947" t="s">
        <v>78</v>
      </c>
      <c r="N947" t="s">
        <v>79</v>
      </c>
      <c r="O947" t="s">
        <v>74</v>
      </c>
      <c r="P947" t="s">
        <v>74</v>
      </c>
      <c r="Q947" t="s">
        <v>74</v>
      </c>
      <c r="R947" t="s">
        <v>74</v>
      </c>
      <c r="S947" t="s">
        <v>74</v>
      </c>
      <c r="T947" t="s">
        <v>18331</v>
      </c>
      <c r="U947" t="s">
        <v>18332</v>
      </c>
      <c r="V947" t="s">
        <v>18333</v>
      </c>
      <c r="W947" t="s">
        <v>18334</v>
      </c>
      <c r="X947" t="s">
        <v>18335</v>
      </c>
      <c r="Y947" t="s">
        <v>18336</v>
      </c>
      <c r="Z947" t="s">
        <v>18337</v>
      </c>
      <c r="AA947" t="s">
        <v>18338</v>
      </c>
      <c r="AB947" t="s">
        <v>74</v>
      </c>
      <c r="AC947" t="s">
        <v>18339</v>
      </c>
      <c r="AD947" t="s">
        <v>18340</v>
      </c>
      <c r="AE947" t="s">
        <v>18341</v>
      </c>
      <c r="AF947" t="s">
        <v>74</v>
      </c>
      <c r="AG947">
        <v>55</v>
      </c>
      <c r="AH947">
        <v>9</v>
      </c>
      <c r="AI947">
        <v>9</v>
      </c>
      <c r="AJ947">
        <v>2</v>
      </c>
      <c r="AK947">
        <v>17</v>
      </c>
      <c r="AL947" t="s">
        <v>1058</v>
      </c>
      <c r="AM947" t="s">
        <v>891</v>
      </c>
      <c r="AN947" t="s">
        <v>1059</v>
      </c>
      <c r="AO947" t="s">
        <v>18342</v>
      </c>
      <c r="AP947" t="s">
        <v>74</v>
      </c>
      <c r="AQ947" t="s">
        <v>74</v>
      </c>
      <c r="AR947" t="s">
        <v>18343</v>
      </c>
      <c r="AS947" t="s">
        <v>18344</v>
      </c>
      <c r="AT947" t="s">
        <v>15943</v>
      </c>
      <c r="AU947">
        <v>2021</v>
      </c>
      <c r="AV947">
        <v>169</v>
      </c>
      <c r="AW947" t="s">
        <v>74</v>
      </c>
      <c r="AX947" t="s">
        <v>74</v>
      </c>
      <c r="AY947" t="s">
        <v>74</v>
      </c>
      <c r="AZ947" t="s">
        <v>803</v>
      </c>
      <c r="BA947" t="s">
        <v>74</v>
      </c>
      <c r="BB947" t="s">
        <v>74</v>
      </c>
      <c r="BC947" t="s">
        <v>74</v>
      </c>
      <c r="BD947">
        <v>109963</v>
      </c>
      <c r="BE947" t="s">
        <v>18345</v>
      </c>
      <c r="BF947" t="str">
        <f>HYPERLINK("http://dx.doi.org/10.1016/j.paid.2020.109963","http://dx.doi.org/10.1016/j.paid.2020.109963")</f>
        <v>http://dx.doi.org/10.1016/j.paid.2020.109963</v>
      </c>
      <c r="BG947" t="s">
        <v>74</v>
      </c>
      <c r="BH947" t="s">
        <v>74</v>
      </c>
      <c r="BI947">
        <v>6</v>
      </c>
      <c r="BJ947" t="s">
        <v>18346</v>
      </c>
      <c r="BK947" t="s">
        <v>3246</v>
      </c>
      <c r="BL947" t="s">
        <v>18347</v>
      </c>
      <c r="BM947" t="s">
        <v>18348</v>
      </c>
      <c r="BN947" t="s">
        <v>74</v>
      </c>
      <c r="BO947" t="s">
        <v>74</v>
      </c>
      <c r="BP947" t="s">
        <v>74</v>
      </c>
      <c r="BQ947" t="s">
        <v>74</v>
      </c>
      <c r="BR947" t="s">
        <v>104</v>
      </c>
      <c r="BS947" t="s">
        <v>18349</v>
      </c>
      <c r="BT947" t="str">
        <f>HYPERLINK("https%3A%2F%2Fwww.webofscience.com%2Fwos%2Fwoscc%2Ffull-record%2FWOS:000600676300022","View Full Record in Web of Science")</f>
        <v>View Full Record in Web of Science</v>
      </c>
    </row>
    <row r="948" spans="1:72" x14ac:dyDescent="0.15">
      <c r="A948" t="s">
        <v>72</v>
      </c>
      <c r="B948" t="s">
        <v>18350</v>
      </c>
      <c r="C948" t="s">
        <v>74</v>
      </c>
      <c r="D948" t="s">
        <v>74</v>
      </c>
      <c r="E948" t="s">
        <v>74</v>
      </c>
      <c r="F948" t="s">
        <v>18351</v>
      </c>
      <c r="G948" t="s">
        <v>74</v>
      </c>
      <c r="H948" t="s">
        <v>74</v>
      </c>
      <c r="I948" t="s">
        <v>18352</v>
      </c>
      <c r="J948" t="s">
        <v>18353</v>
      </c>
      <c r="K948" t="s">
        <v>74</v>
      </c>
      <c r="L948" t="s">
        <v>74</v>
      </c>
      <c r="M948" t="s">
        <v>78</v>
      </c>
      <c r="N948" t="s">
        <v>79</v>
      </c>
      <c r="O948" t="s">
        <v>74</v>
      </c>
      <c r="P948" t="s">
        <v>74</v>
      </c>
      <c r="Q948" t="s">
        <v>74</v>
      </c>
      <c r="R948" t="s">
        <v>74</v>
      </c>
      <c r="S948" t="s">
        <v>74</v>
      </c>
      <c r="T948" t="s">
        <v>18354</v>
      </c>
      <c r="U948" t="s">
        <v>18355</v>
      </c>
      <c r="V948" t="s">
        <v>18356</v>
      </c>
      <c r="W948" t="s">
        <v>18357</v>
      </c>
      <c r="X948" t="s">
        <v>18358</v>
      </c>
      <c r="Y948" t="s">
        <v>18359</v>
      </c>
      <c r="Z948" t="s">
        <v>18360</v>
      </c>
      <c r="AA948" t="s">
        <v>18361</v>
      </c>
      <c r="AB948" t="s">
        <v>18362</v>
      </c>
      <c r="AC948" t="s">
        <v>18363</v>
      </c>
      <c r="AD948" t="s">
        <v>18364</v>
      </c>
      <c r="AE948" t="s">
        <v>18365</v>
      </c>
      <c r="AF948" t="s">
        <v>74</v>
      </c>
      <c r="AG948">
        <v>108</v>
      </c>
      <c r="AH948">
        <v>3</v>
      </c>
      <c r="AI948">
        <v>3</v>
      </c>
      <c r="AJ948">
        <v>1</v>
      </c>
      <c r="AK948">
        <v>6</v>
      </c>
      <c r="AL948" t="s">
        <v>12198</v>
      </c>
      <c r="AM948" t="s">
        <v>1909</v>
      </c>
      <c r="AN948" t="s">
        <v>12199</v>
      </c>
      <c r="AO948" t="s">
        <v>18366</v>
      </c>
      <c r="AP948" t="s">
        <v>18367</v>
      </c>
      <c r="AQ948" t="s">
        <v>74</v>
      </c>
      <c r="AR948" t="s">
        <v>18368</v>
      </c>
      <c r="AS948" t="s">
        <v>18369</v>
      </c>
      <c r="AT948" t="s">
        <v>1091</v>
      </c>
      <c r="AU948">
        <v>2021</v>
      </c>
      <c r="AV948">
        <v>118</v>
      </c>
      <c r="AW948" t="s">
        <v>74</v>
      </c>
      <c r="AX948" t="s">
        <v>74</v>
      </c>
      <c r="AY948" t="s">
        <v>74</v>
      </c>
      <c r="AZ948" t="s">
        <v>74</v>
      </c>
      <c r="BA948" t="s">
        <v>74</v>
      </c>
      <c r="BB948" t="s">
        <v>74</v>
      </c>
      <c r="BC948" t="s">
        <v>74</v>
      </c>
      <c r="BD948">
        <v>104664</v>
      </c>
      <c r="BE948" t="s">
        <v>18370</v>
      </c>
      <c r="BF948" t="str">
        <f>HYPERLINK("http://dx.doi.org/10.1016/j.cretres.2020.104664","http://dx.doi.org/10.1016/j.cretres.2020.104664")</f>
        <v>http://dx.doi.org/10.1016/j.cretres.2020.104664</v>
      </c>
      <c r="BG948" t="s">
        <v>74</v>
      </c>
      <c r="BH948" t="s">
        <v>74</v>
      </c>
      <c r="BI948">
        <v>15</v>
      </c>
      <c r="BJ948" t="s">
        <v>18371</v>
      </c>
      <c r="BK948" t="s">
        <v>101</v>
      </c>
      <c r="BL948" t="s">
        <v>18371</v>
      </c>
      <c r="BM948" t="s">
        <v>18372</v>
      </c>
      <c r="BN948" t="s">
        <v>74</v>
      </c>
      <c r="BO948" t="s">
        <v>74</v>
      </c>
      <c r="BP948" t="s">
        <v>74</v>
      </c>
      <c r="BQ948" t="s">
        <v>74</v>
      </c>
      <c r="BR948" t="s">
        <v>104</v>
      </c>
      <c r="BS948" t="s">
        <v>18373</v>
      </c>
      <c r="BT948" t="str">
        <f>HYPERLINK("https%3A%2F%2Fwww.webofscience.com%2Fwos%2Fwoscc%2Ffull-record%2FWOS:000595936500008","View Full Record in Web of Science")</f>
        <v>View Full Record in Web of Science</v>
      </c>
    </row>
    <row r="949" spans="1:72" x14ac:dyDescent="0.15">
      <c r="A949" t="s">
        <v>72</v>
      </c>
      <c r="B949" t="s">
        <v>18374</v>
      </c>
      <c r="C949" t="s">
        <v>74</v>
      </c>
      <c r="D949" t="s">
        <v>74</v>
      </c>
      <c r="E949" t="s">
        <v>74</v>
      </c>
      <c r="F949" t="s">
        <v>18375</v>
      </c>
      <c r="G949" t="s">
        <v>74</v>
      </c>
      <c r="H949" t="s">
        <v>74</v>
      </c>
      <c r="I949" t="s">
        <v>18376</v>
      </c>
      <c r="J949" t="s">
        <v>563</v>
      </c>
      <c r="K949" t="s">
        <v>74</v>
      </c>
      <c r="L949" t="s">
        <v>74</v>
      </c>
      <c r="M949" t="s">
        <v>78</v>
      </c>
      <c r="N949" t="s">
        <v>79</v>
      </c>
      <c r="O949" t="s">
        <v>74</v>
      </c>
      <c r="P949" t="s">
        <v>74</v>
      </c>
      <c r="Q949" t="s">
        <v>74</v>
      </c>
      <c r="R949" t="s">
        <v>74</v>
      </c>
      <c r="S949" t="s">
        <v>74</v>
      </c>
      <c r="T949" t="s">
        <v>18377</v>
      </c>
      <c r="U949" t="s">
        <v>18378</v>
      </c>
      <c r="V949" t="s">
        <v>18379</v>
      </c>
      <c r="W949" t="s">
        <v>18380</v>
      </c>
      <c r="X949" t="s">
        <v>18381</v>
      </c>
      <c r="Y949" t="s">
        <v>18382</v>
      </c>
      <c r="Z949" t="s">
        <v>18383</v>
      </c>
      <c r="AA949" t="s">
        <v>18384</v>
      </c>
      <c r="AB949" t="s">
        <v>18385</v>
      </c>
      <c r="AC949" t="s">
        <v>18386</v>
      </c>
      <c r="AD949" t="s">
        <v>18387</v>
      </c>
      <c r="AE949" t="s">
        <v>18388</v>
      </c>
      <c r="AF949" t="s">
        <v>74</v>
      </c>
      <c r="AG949">
        <v>63</v>
      </c>
      <c r="AH949">
        <v>15</v>
      </c>
      <c r="AI949">
        <v>22</v>
      </c>
      <c r="AJ949">
        <v>13</v>
      </c>
      <c r="AK949">
        <v>109</v>
      </c>
      <c r="AL949" t="s">
        <v>576</v>
      </c>
      <c r="AM949" t="s">
        <v>577</v>
      </c>
      <c r="AN949" t="s">
        <v>578</v>
      </c>
      <c r="AO949" t="s">
        <v>579</v>
      </c>
      <c r="AP949" t="s">
        <v>580</v>
      </c>
      <c r="AQ949" t="s">
        <v>74</v>
      </c>
      <c r="AR949" t="s">
        <v>581</v>
      </c>
      <c r="AS949" t="s">
        <v>582</v>
      </c>
      <c r="AT949" t="s">
        <v>15943</v>
      </c>
      <c r="AU949">
        <v>2021</v>
      </c>
      <c r="AV949">
        <v>754</v>
      </c>
      <c r="AW949" t="s">
        <v>74</v>
      </c>
      <c r="AX949" t="s">
        <v>74</v>
      </c>
      <c r="AY949" t="s">
        <v>74</v>
      </c>
      <c r="AZ949" t="s">
        <v>74</v>
      </c>
      <c r="BA949" t="s">
        <v>74</v>
      </c>
      <c r="BB949" t="s">
        <v>74</v>
      </c>
      <c r="BC949" t="s">
        <v>74</v>
      </c>
      <c r="BD949">
        <v>142248</v>
      </c>
      <c r="BE949" t="s">
        <v>18389</v>
      </c>
      <c r="BF949" t="str">
        <f>HYPERLINK("http://dx.doi.org/10.1016/j.scitotenv.2020.142248","http://dx.doi.org/10.1016/j.scitotenv.2020.142248")</f>
        <v>http://dx.doi.org/10.1016/j.scitotenv.2020.142248</v>
      </c>
      <c r="BG949" t="s">
        <v>74</v>
      </c>
      <c r="BH949" t="s">
        <v>74</v>
      </c>
      <c r="BI949">
        <v>9</v>
      </c>
      <c r="BJ949" t="s">
        <v>224</v>
      </c>
      <c r="BK949" t="s">
        <v>101</v>
      </c>
      <c r="BL949" t="s">
        <v>225</v>
      </c>
      <c r="BM949" t="s">
        <v>18390</v>
      </c>
      <c r="BN949">
        <v>33254884</v>
      </c>
      <c r="BO949" t="s">
        <v>663</v>
      </c>
      <c r="BP949" t="s">
        <v>74</v>
      </c>
      <c r="BQ949" t="s">
        <v>74</v>
      </c>
      <c r="BR949" t="s">
        <v>104</v>
      </c>
      <c r="BS949" t="s">
        <v>18391</v>
      </c>
      <c r="BT949" t="str">
        <f>HYPERLINK("https%3A%2F%2Fwww.webofscience.com%2Fwos%2Fwoscc%2Ffull-record%2FWOS:000593903500003","View Full Record in Web of Science")</f>
        <v>View Full Record in Web of Science</v>
      </c>
    </row>
    <row r="950" spans="1:72" x14ac:dyDescent="0.15">
      <c r="A950" t="s">
        <v>72</v>
      </c>
      <c r="B950" t="s">
        <v>18392</v>
      </c>
      <c r="C950" t="s">
        <v>74</v>
      </c>
      <c r="D950" t="s">
        <v>74</v>
      </c>
      <c r="E950" t="s">
        <v>74</v>
      </c>
      <c r="F950" t="s">
        <v>18393</v>
      </c>
      <c r="G950" t="s">
        <v>74</v>
      </c>
      <c r="H950" t="s">
        <v>74</v>
      </c>
      <c r="I950" t="s">
        <v>18394</v>
      </c>
      <c r="J950" t="s">
        <v>563</v>
      </c>
      <c r="K950" t="s">
        <v>74</v>
      </c>
      <c r="L950" t="s">
        <v>74</v>
      </c>
      <c r="M950" t="s">
        <v>78</v>
      </c>
      <c r="N950" t="s">
        <v>79</v>
      </c>
      <c r="O950" t="s">
        <v>74</v>
      </c>
      <c r="P950" t="s">
        <v>74</v>
      </c>
      <c r="Q950" t="s">
        <v>74</v>
      </c>
      <c r="R950" t="s">
        <v>74</v>
      </c>
      <c r="S950" t="s">
        <v>74</v>
      </c>
      <c r="T950" t="s">
        <v>18395</v>
      </c>
      <c r="U950" t="s">
        <v>18396</v>
      </c>
      <c r="V950" t="s">
        <v>18397</v>
      </c>
      <c r="W950" t="s">
        <v>18398</v>
      </c>
      <c r="X950" t="s">
        <v>18399</v>
      </c>
      <c r="Y950" t="s">
        <v>18400</v>
      </c>
      <c r="Z950" t="s">
        <v>18401</v>
      </c>
      <c r="AA950" t="s">
        <v>18402</v>
      </c>
      <c r="AB950" t="s">
        <v>18403</v>
      </c>
      <c r="AC950" t="s">
        <v>18404</v>
      </c>
      <c r="AD950" t="s">
        <v>18405</v>
      </c>
      <c r="AE950" t="s">
        <v>18406</v>
      </c>
      <c r="AF950" t="s">
        <v>74</v>
      </c>
      <c r="AG950">
        <v>136</v>
      </c>
      <c r="AH950">
        <v>2</v>
      </c>
      <c r="AI950">
        <v>2</v>
      </c>
      <c r="AJ950">
        <v>3</v>
      </c>
      <c r="AK950">
        <v>30</v>
      </c>
      <c r="AL950" t="s">
        <v>576</v>
      </c>
      <c r="AM950" t="s">
        <v>577</v>
      </c>
      <c r="AN950" t="s">
        <v>578</v>
      </c>
      <c r="AO950" t="s">
        <v>579</v>
      </c>
      <c r="AP950" t="s">
        <v>580</v>
      </c>
      <c r="AQ950" t="s">
        <v>74</v>
      </c>
      <c r="AR950" t="s">
        <v>581</v>
      </c>
      <c r="AS950" t="s">
        <v>582</v>
      </c>
      <c r="AT950" t="s">
        <v>15943</v>
      </c>
      <c r="AU950">
        <v>2021</v>
      </c>
      <c r="AV950">
        <v>754</v>
      </c>
      <c r="AW950" t="s">
        <v>74</v>
      </c>
      <c r="AX950" t="s">
        <v>74</v>
      </c>
      <c r="AY950" t="s">
        <v>74</v>
      </c>
      <c r="AZ950" t="s">
        <v>74</v>
      </c>
      <c r="BA950" t="s">
        <v>74</v>
      </c>
      <c r="BB950" t="s">
        <v>74</v>
      </c>
      <c r="BC950" t="s">
        <v>74</v>
      </c>
      <c r="BD950">
        <v>142247</v>
      </c>
      <c r="BE950" t="s">
        <v>18407</v>
      </c>
      <c r="BF950" t="str">
        <f>HYPERLINK("http://dx.doi.org/10.1016/j.scitotenv.2020.142247","http://dx.doi.org/10.1016/j.scitotenv.2020.142247")</f>
        <v>http://dx.doi.org/10.1016/j.scitotenv.2020.142247</v>
      </c>
      <c r="BG950" t="s">
        <v>74</v>
      </c>
      <c r="BH950" t="s">
        <v>74</v>
      </c>
      <c r="BI950">
        <v>11</v>
      </c>
      <c r="BJ950" t="s">
        <v>224</v>
      </c>
      <c r="BK950" t="s">
        <v>101</v>
      </c>
      <c r="BL950" t="s">
        <v>225</v>
      </c>
      <c r="BM950" t="s">
        <v>18390</v>
      </c>
      <c r="BN950">
        <v>33254952</v>
      </c>
      <c r="BO950" t="s">
        <v>2726</v>
      </c>
      <c r="BP950" t="s">
        <v>74</v>
      </c>
      <c r="BQ950" t="s">
        <v>74</v>
      </c>
      <c r="BR950" t="s">
        <v>104</v>
      </c>
      <c r="BS950" t="s">
        <v>18408</v>
      </c>
      <c r="BT950" t="str">
        <f>HYPERLINK("https%3A%2F%2Fwww.webofscience.com%2Fwos%2Fwoscc%2Ffull-record%2FWOS:000593903500005","View Full Record in Web of Science")</f>
        <v>View Full Record in Web of Science</v>
      </c>
    </row>
    <row r="951" spans="1:72" x14ac:dyDescent="0.15">
      <c r="A951" t="s">
        <v>72</v>
      </c>
      <c r="B951" t="s">
        <v>18409</v>
      </c>
      <c r="C951" t="s">
        <v>74</v>
      </c>
      <c r="D951" t="s">
        <v>74</v>
      </c>
      <c r="E951" t="s">
        <v>74</v>
      </c>
      <c r="F951" t="s">
        <v>18410</v>
      </c>
      <c r="G951" t="s">
        <v>74</v>
      </c>
      <c r="H951" t="s">
        <v>74</v>
      </c>
      <c r="I951" t="s">
        <v>18411</v>
      </c>
      <c r="J951" t="s">
        <v>563</v>
      </c>
      <c r="K951" t="s">
        <v>74</v>
      </c>
      <c r="L951" t="s">
        <v>74</v>
      </c>
      <c r="M951" t="s">
        <v>78</v>
      </c>
      <c r="N951" t="s">
        <v>79</v>
      </c>
      <c r="O951" t="s">
        <v>74</v>
      </c>
      <c r="P951" t="s">
        <v>74</v>
      </c>
      <c r="Q951" t="s">
        <v>74</v>
      </c>
      <c r="R951" t="s">
        <v>74</v>
      </c>
      <c r="S951" t="s">
        <v>74</v>
      </c>
      <c r="T951" t="s">
        <v>18412</v>
      </c>
      <c r="U951" t="s">
        <v>18413</v>
      </c>
      <c r="V951" t="s">
        <v>18414</v>
      </c>
      <c r="W951" t="s">
        <v>18415</v>
      </c>
      <c r="X951" t="s">
        <v>18416</v>
      </c>
      <c r="Y951" t="s">
        <v>18417</v>
      </c>
      <c r="Z951" t="s">
        <v>18418</v>
      </c>
      <c r="AA951" t="s">
        <v>18419</v>
      </c>
      <c r="AB951" t="s">
        <v>18420</v>
      </c>
      <c r="AC951" t="s">
        <v>18421</v>
      </c>
      <c r="AD951" t="s">
        <v>18422</v>
      </c>
      <c r="AE951" t="s">
        <v>18423</v>
      </c>
      <c r="AF951" t="s">
        <v>74</v>
      </c>
      <c r="AG951">
        <v>91</v>
      </c>
      <c r="AH951">
        <v>11</v>
      </c>
      <c r="AI951">
        <v>11</v>
      </c>
      <c r="AJ951">
        <v>6</v>
      </c>
      <c r="AK951">
        <v>35</v>
      </c>
      <c r="AL951" t="s">
        <v>576</v>
      </c>
      <c r="AM951" t="s">
        <v>577</v>
      </c>
      <c r="AN951" t="s">
        <v>578</v>
      </c>
      <c r="AO951" t="s">
        <v>579</v>
      </c>
      <c r="AP951" t="s">
        <v>580</v>
      </c>
      <c r="AQ951" t="s">
        <v>74</v>
      </c>
      <c r="AR951" t="s">
        <v>581</v>
      </c>
      <c r="AS951" t="s">
        <v>582</v>
      </c>
      <c r="AT951" t="s">
        <v>15943</v>
      </c>
      <c r="AU951">
        <v>2021</v>
      </c>
      <c r="AV951">
        <v>754</v>
      </c>
      <c r="AW951" t="s">
        <v>74</v>
      </c>
      <c r="AX951" t="s">
        <v>74</v>
      </c>
      <c r="AY951" t="s">
        <v>74</v>
      </c>
      <c r="AZ951" t="s">
        <v>74</v>
      </c>
      <c r="BA951" t="s">
        <v>74</v>
      </c>
      <c r="BB951" t="s">
        <v>74</v>
      </c>
      <c r="BC951" t="s">
        <v>74</v>
      </c>
      <c r="BD951">
        <v>141947</v>
      </c>
      <c r="BE951" t="s">
        <v>18424</v>
      </c>
      <c r="BF951" t="str">
        <f>HYPERLINK("http://dx.doi.org/10.1016/j.scitotenv.2020.141947","http://dx.doi.org/10.1016/j.scitotenv.2020.141947")</f>
        <v>http://dx.doi.org/10.1016/j.scitotenv.2020.141947</v>
      </c>
      <c r="BG951" t="s">
        <v>74</v>
      </c>
      <c r="BH951" t="s">
        <v>74</v>
      </c>
      <c r="BI951">
        <v>9</v>
      </c>
      <c r="BJ951" t="s">
        <v>224</v>
      </c>
      <c r="BK951" t="s">
        <v>101</v>
      </c>
      <c r="BL951" t="s">
        <v>225</v>
      </c>
      <c r="BM951" t="s">
        <v>18425</v>
      </c>
      <c r="BN951">
        <v>32916487</v>
      </c>
      <c r="BO951" t="s">
        <v>74</v>
      </c>
      <c r="BP951" t="s">
        <v>74</v>
      </c>
      <c r="BQ951" t="s">
        <v>74</v>
      </c>
      <c r="BR951" t="s">
        <v>104</v>
      </c>
      <c r="BS951" t="s">
        <v>18426</v>
      </c>
      <c r="BT951" t="str">
        <f>HYPERLINK("https%3A%2F%2Fwww.webofscience.com%2Fwos%2Fwoscc%2Ffull-record%2FWOS:000593987700008","View Full Record in Web of Science")</f>
        <v>View Full Record in Web of Science</v>
      </c>
    </row>
    <row r="952" spans="1:72" x14ac:dyDescent="0.15">
      <c r="A952" t="s">
        <v>72</v>
      </c>
      <c r="B952" t="s">
        <v>18427</v>
      </c>
      <c r="C952" t="s">
        <v>74</v>
      </c>
      <c r="D952" t="s">
        <v>74</v>
      </c>
      <c r="E952" t="s">
        <v>74</v>
      </c>
      <c r="F952" t="s">
        <v>18428</v>
      </c>
      <c r="G952" t="s">
        <v>74</v>
      </c>
      <c r="H952" t="s">
        <v>74</v>
      </c>
      <c r="I952" t="s">
        <v>18429</v>
      </c>
      <c r="J952" t="s">
        <v>18430</v>
      </c>
      <c r="K952" t="s">
        <v>74</v>
      </c>
      <c r="L952" t="s">
        <v>74</v>
      </c>
      <c r="M952" t="s">
        <v>78</v>
      </c>
      <c r="N952" t="s">
        <v>79</v>
      </c>
      <c r="O952" t="s">
        <v>74</v>
      </c>
      <c r="P952" t="s">
        <v>74</v>
      </c>
      <c r="Q952" t="s">
        <v>74</v>
      </c>
      <c r="R952" t="s">
        <v>74</v>
      </c>
      <c r="S952" t="s">
        <v>74</v>
      </c>
      <c r="T952" t="s">
        <v>18431</v>
      </c>
      <c r="U952" t="s">
        <v>18432</v>
      </c>
      <c r="V952" t="s">
        <v>18433</v>
      </c>
      <c r="W952" t="s">
        <v>18434</v>
      </c>
      <c r="X952" t="s">
        <v>5506</v>
      </c>
      <c r="Y952" t="s">
        <v>18435</v>
      </c>
      <c r="Z952" t="s">
        <v>18436</v>
      </c>
      <c r="AA952" t="s">
        <v>18437</v>
      </c>
      <c r="AB952" t="s">
        <v>18438</v>
      </c>
      <c r="AC952" t="s">
        <v>74</v>
      </c>
      <c r="AD952" t="s">
        <v>74</v>
      </c>
      <c r="AE952" t="s">
        <v>74</v>
      </c>
      <c r="AF952" t="s">
        <v>74</v>
      </c>
      <c r="AG952">
        <v>67</v>
      </c>
      <c r="AH952">
        <v>0</v>
      </c>
      <c r="AI952">
        <v>0</v>
      </c>
      <c r="AJ952">
        <v>0</v>
      </c>
      <c r="AK952">
        <v>3</v>
      </c>
      <c r="AL952" t="s">
        <v>166</v>
      </c>
      <c r="AM952" t="s">
        <v>167</v>
      </c>
      <c r="AN952" t="s">
        <v>168</v>
      </c>
      <c r="AO952" t="s">
        <v>18439</v>
      </c>
      <c r="AP952" t="s">
        <v>18440</v>
      </c>
      <c r="AQ952" t="s">
        <v>74</v>
      </c>
      <c r="AR952" t="s">
        <v>18441</v>
      </c>
      <c r="AS952" t="s">
        <v>18442</v>
      </c>
      <c r="AT952" t="s">
        <v>18443</v>
      </c>
      <c r="AU952">
        <v>2021</v>
      </c>
      <c r="AV952">
        <v>25</v>
      </c>
      <c r="AW952">
        <v>1</v>
      </c>
      <c r="AX952" t="s">
        <v>74</v>
      </c>
      <c r="AY952" t="s">
        <v>74</v>
      </c>
      <c r="AZ952" t="s">
        <v>74</v>
      </c>
      <c r="BA952" t="s">
        <v>74</v>
      </c>
      <c r="BB952" t="s">
        <v>74</v>
      </c>
      <c r="BC952" t="s">
        <v>74</v>
      </c>
      <c r="BD952">
        <v>21</v>
      </c>
      <c r="BE952" t="s">
        <v>18444</v>
      </c>
      <c r="BF952" t="str">
        <f>HYPERLINK("http://dx.doi.org/10.1007/s11852-021-00805-8","http://dx.doi.org/10.1007/s11852-021-00805-8")</f>
        <v>http://dx.doi.org/10.1007/s11852-021-00805-8</v>
      </c>
      <c r="BG952" t="s">
        <v>74</v>
      </c>
      <c r="BH952" t="s">
        <v>74</v>
      </c>
      <c r="BI952">
        <v>10</v>
      </c>
      <c r="BJ952" t="s">
        <v>18445</v>
      </c>
      <c r="BK952" t="s">
        <v>101</v>
      </c>
      <c r="BL952" t="s">
        <v>18446</v>
      </c>
      <c r="BM952" t="s">
        <v>18447</v>
      </c>
      <c r="BN952" t="s">
        <v>74</v>
      </c>
      <c r="BO952" t="s">
        <v>74</v>
      </c>
      <c r="BP952" t="s">
        <v>74</v>
      </c>
      <c r="BQ952" t="s">
        <v>74</v>
      </c>
      <c r="BR952" t="s">
        <v>104</v>
      </c>
      <c r="BS952" t="s">
        <v>18448</v>
      </c>
      <c r="BT952" t="str">
        <f>HYPERLINK("https%3A%2F%2Fwww.webofscience.com%2Fwos%2Fwoscc%2Ffull-record%2FWOS:000616185000001","View Full Record in Web of Science")</f>
        <v>View Full Record in Web of Science</v>
      </c>
    </row>
    <row r="953" spans="1:72" x14ac:dyDescent="0.15">
      <c r="A953" t="s">
        <v>72</v>
      </c>
      <c r="B953" t="s">
        <v>18449</v>
      </c>
      <c r="C953" t="s">
        <v>74</v>
      </c>
      <c r="D953" t="s">
        <v>74</v>
      </c>
      <c r="E953" t="s">
        <v>74</v>
      </c>
      <c r="F953" t="s">
        <v>18450</v>
      </c>
      <c r="G953" t="s">
        <v>74</v>
      </c>
      <c r="H953" t="s">
        <v>74</v>
      </c>
      <c r="I953" t="s">
        <v>18451</v>
      </c>
      <c r="J953" t="s">
        <v>1798</v>
      </c>
      <c r="K953" t="s">
        <v>74</v>
      </c>
      <c r="L953" t="s">
        <v>74</v>
      </c>
      <c r="M953" t="s">
        <v>78</v>
      </c>
      <c r="N953" t="s">
        <v>3616</v>
      </c>
      <c r="O953" t="s">
        <v>74</v>
      </c>
      <c r="P953" t="s">
        <v>74</v>
      </c>
      <c r="Q953" t="s">
        <v>74</v>
      </c>
      <c r="R953" t="s">
        <v>74</v>
      </c>
      <c r="S953" t="s">
        <v>74</v>
      </c>
      <c r="T953" t="s">
        <v>74</v>
      </c>
      <c r="U953" t="s">
        <v>74</v>
      </c>
      <c r="V953" t="s">
        <v>74</v>
      </c>
      <c r="W953" t="s">
        <v>18452</v>
      </c>
      <c r="X953" t="s">
        <v>18453</v>
      </c>
      <c r="Y953" t="s">
        <v>18454</v>
      </c>
      <c r="Z953" t="s">
        <v>18455</v>
      </c>
      <c r="AA953" t="s">
        <v>18456</v>
      </c>
      <c r="AB953" t="s">
        <v>18457</v>
      </c>
      <c r="AC953" t="s">
        <v>74</v>
      </c>
      <c r="AD953" t="s">
        <v>74</v>
      </c>
      <c r="AE953" t="s">
        <v>74</v>
      </c>
      <c r="AF953" t="s">
        <v>74</v>
      </c>
      <c r="AG953">
        <v>1</v>
      </c>
      <c r="AH953">
        <v>1</v>
      </c>
      <c r="AI953">
        <v>1</v>
      </c>
      <c r="AJ953">
        <v>0</v>
      </c>
      <c r="AK953">
        <v>6</v>
      </c>
      <c r="AL953" t="s">
        <v>166</v>
      </c>
      <c r="AM953" t="s">
        <v>192</v>
      </c>
      <c r="AN953" t="s">
        <v>193</v>
      </c>
      <c r="AO953" t="s">
        <v>1805</v>
      </c>
      <c r="AP953" t="s">
        <v>1806</v>
      </c>
      <c r="AQ953" t="s">
        <v>74</v>
      </c>
      <c r="AR953" t="s">
        <v>1807</v>
      </c>
      <c r="AS953" t="s">
        <v>1808</v>
      </c>
      <c r="AT953" t="s">
        <v>1809</v>
      </c>
      <c r="AU953">
        <v>2022</v>
      </c>
      <c r="AV953">
        <v>32</v>
      </c>
      <c r="AW953">
        <v>1</v>
      </c>
      <c r="AX953" t="s">
        <v>74</v>
      </c>
      <c r="AY953" t="s">
        <v>74</v>
      </c>
      <c r="AZ953" t="s">
        <v>803</v>
      </c>
      <c r="BA953" t="s">
        <v>74</v>
      </c>
      <c r="BB953">
        <v>37</v>
      </c>
      <c r="BC953">
        <v>37</v>
      </c>
      <c r="BD953" t="s">
        <v>74</v>
      </c>
      <c r="BE953" t="s">
        <v>18458</v>
      </c>
      <c r="BF953" t="str">
        <f>HYPERLINK("http://dx.doi.org/10.1007/s11160-021-09635-1","http://dx.doi.org/10.1007/s11160-021-09635-1")</f>
        <v>http://dx.doi.org/10.1007/s11160-021-09635-1</v>
      </c>
      <c r="BG953" t="s">
        <v>74</v>
      </c>
      <c r="BH953" t="s">
        <v>18459</v>
      </c>
      <c r="BI953">
        <v>1</v>
      </c>
      <c r="BJ953" t="s">
        <v>1811</v>
      </c>
      <c r="BK953" t="s">
        <v>101</v>
      </c>
      <c r="BL953" t="s">
        <v>1811</v>
      </c>
      <c r="BM953" t="s">
        <v>1812</v>
      </c>
      <c r="BN953" t="s">
        <v>74</v>
      </c>
      <c r="BO953" t="s">
        <v>148</v>
      </c>
      <c r="BP953" t="s">
        <v>74</v>
      </c>
      <c r="BQ953" t="s">
        <v>74</v>
      </c>
      <c r="BR953" t="s">
        <v>104</v>
      </c>
      <c r="BS953" t="s">
        <v>18460</v>
      </c>
      <c r="BT953" t="str">
        <f>HYPERLINK("https%3A%2F%2Fwww.webofscience.com%2Fwos%2Fwoscc%2Ffull-record%2FWOS:000613167900001","View Full Record in Web of Science")</f>
        <v>View Full Record in Web of Science</v>
      </c>
    </row>
    <row r="954" spans="1:72" x14ac:dyDescent="0.15">
      <c r="A954" t="s">
        <v>72</v>
      </c>
      <c r="B954" t="s">
        <v>18461</v>
      </c>
      <c r="C954" t="s">
        <v>74</v>
      </c>
      <c r="D954" t="s">
        <v>74</v>
      </c>
      <c r="E954" t="s">
        <v>74</v>
      </c>
      <c r="F954" t="s">
        <v>18462</v>
      </c>
      <c r="G954" t="s">
        <v>74</v>
      </c>
      <c r="H954" t="s">
        <v>74</v>
      </c>
      <c r="I954" t="s">
        <v>18463</v>
      </c>
      <c r="J954" t="s">
        <v>18464</v>
      </c>
      <c r="K954" t="s">
        <v>74</v>
      </c>
      <c r="L954" t="s">
        <v>74</v>
      </c>
      <c r="M954" t="s">
        <v>78</v>
      </c>
      <c r="N954" t="s">
        <v>79</v>
      </c>
      <c r="O954" t="s">
        <v>74</v>
      </c>
      <c r="P954" t="s">
        <v>74</v>
      </c>
      <c r="Q954" t="s">
        <v>74</v>
      </c>
      <c r="R954" t="s">
        <v>74</v>
      </c>
      <c r="S954" t="s">
        <v>74</v>
      </c>
      <c r="T954" t="s">
        <v>18465</v>
      </c>
      <c r="U954" t="s">
        <v>18466</v>
      </c>
      <c r="V954" t="s">
        <v>18467</v>
      </c>
      <c r="W954" t="s">
        <v>18468</v>
      </c>
      <c r="X954" t="s">
        <v>18469</v>
      </c>
      <c r="Y954" t="s">
        <v>18470</v>
      </c>
      <c r="Z954" t="s">
        <v>18471</v>
      </c>
      <c r="AA954" t="s">
        <v>18472</v>
      </c>
      <c r="AB954" t="s">
        <v>18473</v>
      </c>
      <c r="AC954" t="s">
        <v>18474</v>
      </c>
      <c r="AD954" t="s">
        <v>18475</v>
      </c>
      <c r="AE954" t="s">
        <v>18476</v>
      </c>
      <c r="AF954" t="s">
        <v>74</v>
      </c>
      <c r="AG954">
        <v>45</v>
      </c>
      <c r="AH954">
        <v>9</v>
      </c>
      <c r="AI954">
        <v>9</v>
      </c>
      <c r="AJ954">
        <v>0</v>
      </c>
      <c r="AK954">
        <v>8</v>
      </c>
      <c r="AL954" t="s">
        <v>576</v>
      </c>
      <c r="AM954" t="s">
        <v>577</v>
      </c>
      <c r="AN954" t="s">
        <v>578</v>
      </c>
      <c r="AO954" t="s">
        <v>18477</v>
      </c>
      <c r="AP954" t="s">
        <v>18478</v>
      </c>
      <c r="AQ954" t="s">
        <v>74</v>
      </c>
      <c r="AR954" t="s">
        <v>18464</v>
      </c>
      <c r="AS954" t="s">
        <v>18479</v>
      </c>
      <c r="AT954" t="s">
        <v>9514</v>
      </c>
      <c r="AU954">
        <v>2021</v>
      </c>
      <c r="AV954">
        <v>802</v>
      </c>
      <c r="AW954" t="s">
        <v>74</v>
      </c>
      <c r="AX954" t="s">
        <v>74</v>
      </c>
      <c r="AY954" t="s">
        <v>74</v>
      </c>
      <c r="AZ954" t="s">
        <v>74</v>
      </c>
      <c r="BA954" t="s">
        <v>74</v>
      </c>
      <c r="BB954" t="s">
        <v>74</v>
      </c>
      <c r="BC954" t="s">
        <v>74</v>
      </c>
      <c r="BD954">
        <v>228744</v>
      </c>
      <c r="BE954" t="s">
        <v>18480</v>
      </c>
      <c r="BF954" t="str">
        <f>HYPERLINK("http://dx.doi.org/10.1016/j.tecto.2021.228744","http://dx.doi.org/10.1016/j.tecto.2021.228744")</f>
        <v>http://dx.doi.org/10.1016/j.tecto.2021.228744</v>
      </c>
      <c r="BG954" t="s">
        <v>74</v>
      </c>
      <c r="BH954" t="s">
        <v>18459</v>
      </c>
      <c r="BI954">
        <v>12</v>
      </c>
      <c r="BJ954" t="s">
        <v>1066</v>
      </c>
      <c r="BK954" t="s">
        <v>101</v>
      </c>
      <c r="BL954" t="s">
        <v>1066</v>
      </c>
      <c r="BM954" t="s">
        <v>18481</v>
      </c>
      <c r="BN954" t="s">
        <v>74</v>
      </c>
      <c r="BO954" t="s">
        <v>5474</v>
      </c>
      <c r="BP954" t="s">
        <v>74</v>
      </c>
      <c r="BQ954" t="s">
        <v>74</v>
      </c>
      <c r="BR954" t="s">
        <v>104</v>
      </c>
      <c r="BS954" t="s">
        <v>18482</v>
      </c>
      <c r="BT954" t="str">
        <f>HYPERLINK("https%3A%2F%2Fwww.webofscience.com%2Fwos%2Fwoscc%2Ffull-record%2FWOS:000674642400004","View Full Record in Web of Science")</f>
        <v>View Full Record in Web of Science</v>
      </c>
    </row>
    <row r="955" spans="1:72" x14ac:dyDescent="0.15">
      <c r="A955" t="s">
        <v>72</v>
      </c>
      <c r="B955" t="s">
        <v>18483</v>
      </c>
      <c r="C955" t="s">
        <v>74</v>
      </c>
      <c r="D955" t="s">
        <v>74</v>
      </c>
      <c r="E955" t="s">
        <v>74</v>
      </c>
      <c r="F955" t="s">
        <v>18484</v>
      </c>
      <c r="G955" t="s">
        <v>74</v>
      </c>
      <c r="H955" t="s">
        <v>74</v>
      </c>
      <c r="I955" t="s">
        <v>18485</v>
      </c>
      <c r="J955" t="s">
        <v>2779</v>
      </c>
      <c r="K955" t="s">
        <v>74</v>
      </c>
      <c r="L955" t="s">
        <v>74</v>
      </c>
      <c r="M955" t="s">
        <v>78</v>
      </c>
      <c r="N955" t="s">
        <v>79</v>
      </c>
      <c r="O955" t="s">
        <v>74</v>
      </c>
      <c r="P955" t="s">
        <v>74</v>
      </c>
      <c r="Q955" t="s">
        <v>74</v>
      </c>
      <c r="R955" t="s">
        <v>74</v>
      </c>
      <c r="S955" t="s">
        <v>74</v>
      </c>
      <c r="T955" t="s">
        <v>18486</v>
      </c>
      <c r="U955" t="s">
        <v>18487</v>
      </c>
      <c r="V955" t="s">
        <v>18488</v>
      </c>
      <c r="W955" t="s">
        <v>18489</v>
      </c>
      <c r="X955" t="s">
        <v>18490</v>
      </c>
      <c r="Y955" t="s">
        <v>18491</v>
      </c>
      <c r="Z955" t="s">
        <v>18492</v>
      </c>
      <c r="AA955" t="s">
        <v>18493</v>
      </c>
      <c r="AB955" t="s">
        <v>18494</v>
      </c>
      <c r="AC955" t="s">
        <v>18495</v>
      </c>
      <c r="AD955" t="s">
        <v>18496</v>
      </c>
      <c r="AE955" t="s">
        <v>18497</v>
      </c>
      <c r="AF955" t="s">
        <v>74</v>
      </c>
      <c r="AG955">
        <v>108</v>
      </c>
      <c r="AH955">
        <v>5</v>
      </c>
      <c r="AI955">
        <v>5</v>
      </c>
      <c r="AJ955">
        <v>3</v>
      </c>
      <c r="AK955">
        <v>21</v>
      </c>
      <c r="AL955" t="s">
        <v>576</v>
      </c>
      <c r="AM955" t="s">
        <v>577</v>
      </c>
      <c r="AN955" t="s">
        <v>578</v>
      </c>
      <c r="AO955" t="s">
        <v>2791</v>
      </c>
      <c r="AP955" t="s">
        <v>2792</v>
      </c>
      <c r="AQ955" t="s">
        <v>74</v>
      </c>
      <c r="AR955" t="s">
        <v>2779</v>
      </c>
      <c r="AS955" t="s">
        <v>2793</v>
      </c>
      <c r="AT955" t="s">
        <v>18498</v>
      </c>
      <c r="AU955">
        <v>2021</v>
      </c>
      <c r="AV955">
        <v>531</v>
      </c>
      <c r="AW955" t="s">
        <v>74</v>
      </c>
      <c r="AX955" t="s">
        <v>74</v>
      </c>
      <c r="AY955" t="s">
        <v>74</v>
      </c>
      <c r="AZ955" t="s">
        <v>74</v>
      </c>
      <c r="BA955" t="s">
        <v>74</v>
      </c>
      <c r="BB955" t="s">
        <v>74</v>
      </c>
      <c r="BC955" t="s">
        <v>74</v>
      </c>
      <c r="BD955">
        <v>735893</v>
      </c>
      <c r="BE955" t="s">
        <v>18499</v>
      </c>
      <c r="BF955" t="str">
        <f>HYPERLINK("http://dx.doi.org/10.1016/j.aquaculture.2020.735893","http://dx.doi.org/10.1016/j.aquaculture.2020.735893")</f>
        <v>http://dx.doi.org/10.1016/j.aquaculture.2020.735893</v>
      </c>
      <c r="BG955" t="s">
        <v>74</v>
      </c>
      <c r="BH955" t="s">
        <v>74</v>
      </c>
      <c r="BI955">
        <v>13</v>
      </c>
      <c r="BJ955" t="s">
        <v>1811</v>
      </c>
      <c r="BK955" t="s">
        <v>101</v>
      </c>
      <c r="BL955" t="s">
        <v>1811</v>
      </c>
      <c r="BM955" t="s">
        <v>18500</v>
      </c>
      <c r="BN955" t="s">
        <v>74</v>
      </c>
      <c r="BO955" t="s">
        <v>712</v>
      </c>
      <c r="BP955" t="s">
        <v>74</v>
      </c>
      <c r="BQ955" t="s">
        <v>74</v>
      </c>
      <c r="BR955" t="s">
        <v>104</v>
      </c>
      <c r="BS955" t="s">
        <v>18501</v>
      </c>
      <c r="BT955" t="str">
        <f>HYPERLINK("https%3A%2F%2Fwww.webofscience.com%2Fwos%2Fwoscc%2Ffull-record%2FWOS:000595052000007","View Full Record in Web of Science")</f>
        <v>View Full Record in Web of Science</v>
      </c>
    </row>
    <row r="956" spans="1:72" x14ac:dyDescent="0.15">
      <c r="A956" t="s">
        <v>72</v>
      </c>
      <c r="B956" t="s">
        <v>18502</v>
      </c>
      <c r="C956" t="s">
        <v>74</v>
      </c>
      <c r="D956" t="s">
        <v>74</v>
      </c>
      <c r="E956" t="s">
        <v>74</v>
      </c>
      <c r="F956" t="s">
        <v>18503</v>
      </c>
      <c r="G956" t="s">
        <v>74</v>
      </c>
      <c r="H956" t="s">
        <v>74</v>
      </c>
      <c r="I956" t="s">
        <v>18504</v>
      </c>
      <c r="J956" t="s">
        <v>2779</v>
      </c>
      <c r="K956" t="s">
        <v>74</v>
      </c>
      <c r="L956" t="s">
        <v>74</v>
      </c>
      <c r="M956" t="s">
        <v>78</v>
      </c>
      <c r="N956" t="s">
        <v>79</v>
      </c>
      <c r="O956" t="s">
        <v>74</v>
      </c>
      <c r="P956" t="s">
        <v>74</v>
      </c>
      <c r="Q956" t="s">
        <v>74</v>
      </c>
      <c r="R956" t="s">
        <v>74</v>
      </c>
      <c r="S956" t="s">
        <v>74</v>
      </c>
      <c r="T956" t="s">
        <v>18505</v>
      </c>
      <c r="U956" t="s">
        <v>18506</v>
      </c>
      <c r="V956" t="s">
        <v>18507</v>
      </c>
      <c r="W956" t="s">
        <v>18508</v>
      </c>
      <c r="X956" t="s">
        <v>5506</v>
      </c>
      <c r="Y956" t="s">
        <v>18509</v>
      </c>
      <c r="Z956" t="s">
        <v>18510</v>
      </c>
      <c r="AA956" t="s">
        <v>18511</v>
      </c>
      <c r="AB956" t="s">
        <v>18512</v>
      </c>
      <c r="AC956" t="s">
        <v>18513</v>
      </c>
      <c r="AD956" t="s">
        <v>18514</v>
      </c>
      <c r="AE956" t="s">
        <v>18515</v>
      </c>
      <c r="AF956" t="s">
        <v>74</v>
      </c>
      <c r="AG956">
        <v>57</v>
      </c>
      <c r="AH956">
        <v>8</v>
      </c>
      <c r="AI956">
        <v>8</v>
      </c>
      <c r="AJ956">
        <v>1</v>
      </c>
      <c r="AK956">
        <v>18</v>
      </c>
      <c r="AL956" t="s">
        <v>576</v>
      </c>
      <c r="AM956" t="s">
        <v>577</v>
      </c>
      <c r="AN956" t="s">
        <v>578</v>
      </c>
      <c r="AO956" t="s">
        <v>2791</v>
      </c>
      <c r="AP956" t="s">
        <v>2792</v>
      </c>
      <c r="AQ956" t="s">
        <v>74</v>
      </c>
      <c r="AR956" t="s">
        <v>2779</v>
      </c>
      <c r="AS956" t="s">
        <v>2793</v>
      </c>
      <c r="AT956" t="s">
        <v>18498</v>
      </c>
      <c r="AU956">
        <v>2021</v>
      </c>
      <c r="AV956">
        <v>531</v>
      </c>
      <c r="AW956" t="s">
        <v>74</v>
      </c>
      <c r="AX956" t="s">
        <v>74</v>
      </c>
      <c r="AY956" t="s">
        <v>74</v>
      </c>
      <c r="AZ956" t="s">
        <v>74</v>
      </c>
      <c r="BA956" t="s">
        <v>74</v>
      </c>
      <c r="BB956" t="s">
        <v>74</v>
      </c>
      <c r="BC956" t="s">
        <v>74</v>
      </c>
      <c r="BD956">
        <v>735924</v>
      </c>
      <c r="BE956" t="s">
        <v>18516</v>
      </c>
      <c r="BF956" t="str">
        <f>HYPERLINK("http://dx.doi.org/10.1016/j.aquaculture.2020.735924","http://dx.doi.org/10.1016/j.aquaculture.2020.735924")</f>
        <v>http://dx.doi.org/10.1016/j.aquaculture.2020.735924</v>
      </c>
      <c r="BG956" t="s">
        <v>74</v>
      </c>
      <c r="BH956" t="s">
        <v>74</v>
      </c>
      <c r="BI956">
        <v>10</v>
      </c>
      <c r="BJ956" t="s">
        <v>1811</v>
      </c>
      <c r="BK956" t="s">
        <v>101</v>
      </c>
      <c r="BL956" t="s">
        <v>1811</v>
      </c>
      <c r="BM956" t="s">
        <v>18517</v>
      </c>
      <c r="BN956" t="s">
        <v>74</v>
      </c>
      <c r="BO956" t="s">
        <v>74</v>
      </c>
      <c r="BP956" t="s">
        <v>74</v>
      </c>
      <c r="BQ956" t="s">
        <v>74</v>
      </c>
      <c r="BR956" t="s">
        <v>104</v>
      </c>
      <c r="BS956" t="s">
        <v>18518</v>
      </c>
      <c r="BT956" t="str">
        <f>HYPERLINK("https%3A%2F%2Fwww.webofscience.com%2Fwos%2Fwoscc%2Ffull-record%2FWOS:000595050100018","View Full Record in Web of Science")</f>
        <v>View Full Record in Web of Science</v>
      </c>
    </row>
    <row r="957" spans="1:72" x14ac:dyDescent="0.15">
      <c r="A957" t="s">
        <v>72</v>
      </c>
      <c r="B957" t="s">
        <v>18519</v>
      </c>
      <c r="C957" t="s">
        <v>74</v>
      </c>
      <c r="D957" t="s">
        <v>74</v>
      </c>
      <c r="E957" t="s">
        <v>74</v>
      </c>
      <c r="F957" t="s">
        <v>18520</v>
      </c>
      <c r="G957" t="s">
        <v>74</v>
      </c>
      <c r="H957" t="s">
        <v>74</v>
      </c>
      <c r="I957" t="s">
        <v>18521</v>
      </c>
      <c r="J957" t="s">
        <v>2779</v>
      </c>
      <c r="K957" t="s">
        <v>74</v>
      </c>
      <c r="L957" t="s">
        <v>74</v>
      </c>
      <c r="M957" t="s">
        <v>78</v>
      </c>
      <c r="N957" t="s">
        <v>79</v>
      </c>
      <c r="O957" t="s">
        <v>74</v>
      </c>
      <c r="P957" t="s">
        <v>74</v>
      </c>
      <c r="Q957" t="s">
        <v>74</v>
      </c>
      <c r="R957" t="s">
        <v>74</v>
      </c>
      <c r="S957" t="s">
        <v>74</v>
      </c>
      <c r="T957" t="s">
        <v>18522</v>
      </c>
      <c r="U957" t="s">
        <v>18523</v>
      </c>
      <c r="V957" t="s">
        <v>18524</v>
      </c>
      <c r="W957" t="s">
        <v>18525</v>
      </c>
      <c r="X957" t="s">
        <v>18526</v>
      </c>
      <c r="Y957" t="s">
        <v>18527</v>
      </c>
      <c r="Z957" t="s">
        <v>18528</v>
      </c>
      <c r="AA957" t="s">
        <v>18529</v>
      </c>
      <c r="AB957" t="s">
        <v>18530</v>
      </c>
      <c r="AC957" t="s">
        <v>18531</v>
      </c>
      <c r="AD957" t="s">
        <v>18532</v>
      </c>
      <c r="AE957" t="s">
        <v>18533</v>
      </c>
      <c r="AF957" t="s">
        <v>74</v>
      </c>
      <c r="AG957">
        <v>68</v>
      </c>
      <c r="AH957">
        <v>12</v>
      </c>
      <c r="AI957">
        <v>12</v>
      </c>
      <c r="AJ957">
        <v>2</v>
      </c>
      <c r="AK957">
        <v>21</v>
      </c>
      <c r="AL957" t="s">
        <v>576</v>
      </c>
      <c r="AM957" t="s">
        <v>577</v>
      </c>
      <c r="AN957" t="s">
        <v>578</v>
      </c>
      <c r="AO957" t="s">
        <v>2791</v>
      </c>
      <c r="AP957" t="s">
        <v>2792</v>
      </c>
      <c r="AQ957" t="s">
        <v>74</v>
      </c>
      <c r="AR957" t="s">
        <v>2779</v>
      </c>
      <c r="AS957" t="s">
        <v>2793</v>
      </c>
      <c r="AT957" t="s">
        <v>18498</v>
      </c>
      <c r="AU957">
        <v>2021</v>
      </c>
      <c r="AV957">
        <v>531</v>
      </c>
      <c r="AW957" t="s">
        <v>74</v>
      </c>
      <c r="AX957" t="s">
        <v>74</v>
      </c>
      <c r="AY957" t="s">
        <v>74</v>
      </c>
      <c r="AZ957" t="s">
        <v>74</v>
      </c>
      <c r="BA957" t="s">
        <v>74</v>
      </c>
      <c r="BB957" t="s">
        <v>74</v>
      </c>
      <c r="BC957" t="s">
        <v>74</v>
      </c>
      <c r="BD957">
        <v>735946</v>
      </c>
      <c r="BE957" t="s">
        <v>18534</v>
      </c>
      <c r="BF957" t="str">
        <f>HYPERLINK("http://dx.doi.org/10.1016/j.aquaculture.2020.735946","http://dx.doi.org/10.1016/j.aquaculture.2020.735946")</f>
        <v>http://dx.doi.org/10.1016/j.aquaculture.2020.735946</v>
      </c>
      <c r="BG957" t="s">
        <v>74</v>
      </c>
      <c r="BH957" t="s">
        <v>74</v>
      </c>
      <c r="BI957">
        <v>9</v>
      </c>
      <c r="BJ957" t="s">
        <v>1811</v>
      </c>
      <c r="BK957" t="s">
        <v>101</v>
      </c>
      <c r="BL957" t="s">
        <v>1811</v>
      </c>
      <c r="BM957" t="s">
        <v>18535</v>
      </c>
      <c r="BN957" t="s">
        <v>74</v>
      </c>
      <c r="BO957" t="s">
        <v>74</v>
      </c>
      <c r="BP957" t="s">
        <v>74</v>
      </c>
      <c r="BQ957" t="s">
        <v>74</v>
      </c>
      <c r="BR957" t="s">
        <v>104</v>
      </c>
      <c r="BS957" t="s">
        <v>18536</v>
      </c>
      <c r="BT957" t="str">
        <f>HYPERLINK("https%3A%2F%2Fwww.webofscience.com%2Fwos%2Fwoscc%2Ffull-record%2FWOS:000595053000013","View Full Record in Web of Science")</f>
        <v>View Full Record in Web of Science</v>
      </c>
    </row>
    <row r="958" spans="1:72" x14ac:dyDescent="0.15">
      <c r="A958" t="s">
        <v>72</v>
      </c>
      <c r="B958" t="s">
        <v>18537</v>
      </c>
      <c r="C958" t="s">
        <v>74</v>
      </c>
      <c r="D958" t="s">
        <v>74</v>
      </c>
      <c r="E958" t="s">
        <v>74</v>
      </c>
      <c r="F958" t="s">
        <v>18538</v>
      </c>
      <c r="G958" t="s">
        <v>74</v>
      </c>
      <c r="H958" t="s">
        <v>74</v>
      </c>
      <c r="I958" t="s">
        <v>18539</v>
      </c>
      <c r="J958" t="s">
        <v>2779</v>
      </c>
      <c r="K958" t="s">
        <v>74</v>
      </c>
      <c r="L958" t="s">
        <v>74</v>
      </c>
      <c r="M958" t="s">
        <v>78</v>
      </c>
      <c r="N958" t="s">
        <v>79</v>
      </c>
      <c r="O958" t="s">
        <v>74</v>
      </c>
      <c r="P958" t="s">
        <v>74</v>
      </c>
      <c r="Q958" t="s">
        <v>74</v>
      </c>
      <c r="R958" t="s">
        <v>74</v>
      </c>
      <c r="S958" t="s">
        <v>74</v>
      </c>
      <c r="T958" t="s">
        <v>74</v>
      </c>
      <c r="U958" t="s">
        <v>18540</v>
      </c>
      <c r="V958" t="s">
        <v>18541</v>
      </c>
      <c r="W958" t="s">
        <v>18542</v>
      </c>
      <c r="X958" t="s">
        <v>18543</v>
      </c>
      <c r="Y958" t="s">
        <v>18544</v>
      </c>
      <c r="Z958" t="s">
        <v>18545</v>
      </c>
      <c r="AA958" t="s">
        <v>18546</v>
      </c>
      <c r="AB958" t="s">
        <v>18547</v>
      </c>
      <c r="AC958" t="s">
        <v>18548</v>
      </c>
      <c r="AD958" t="s">
        <v>18549</v>
      </c>
      <c r="AE958" t="s">
        <v>18550</v>
      </c>
      <c r="AF958" t="s">
        <v>74</v>
      </c>
      <c r="AG958">
        <v>106</v>
      </c>
      <c r="AH958">
        <v>1</v>
      </c>
      <c r="AI958">
        <v>2</v>
      </c>
      <c r="AJ958">
        <v>2</v>
      </c>
      <c r="AK958">
        <v>25</v>
      </c>
      <c r="AL958" t="s">
        <v>576</v>
      </c>
      <c r="AM958" t="s">
        <v>577</v>
      </c>
      <c r="AN958" t="s">
        <v>578</v>
      </c>
      <c r="AO958" t="s">
        <v>2791</v>
      </c>
      <c r="AP958" t="s">
        <v>2792</v>
      </c>
      <c r="AQ958" t="s">
        <v>74</v>
      </c>
      <c r="AR958" t="s">
        <v>2779</v>
      </c>
      <c r="AS958" t="s">
        <v>2793</v>
      </c>
      <c r="AT958" t="s">
        <v>18498</v>
      </c>
      <c r="AU958">
        <v>2021</v>
      </c>
      <c r="AV958">
        <v>531</v>
      </c>
      <c r="AW958" t="s">
        <v>74</v>
      </c>
      <c r="AX958" t="s">
        <v>74</v>
      </c>
      <c r="AY958" t="s">
        <v>74</v>
      </c>
      <c r="AZ958" t="s">
        <v>74</v>
      </c>
      <c r="BA958" t="s">
        <v>74</v>
      </c>
      <c r="BB958" t="s">
        <v>74</v>
      </c>
      <c r="BC958" t="s">
        <v>74</v>
      </c>
      <c r="BD958">
        <v>735971</v>
      </c>
      <c r="BE958" t="s">
        <v>18551</v>
      </c>
      <c r="BF958" t="str">
        <f>HYPERLINK("http://dx.doi.org/10.1016/j.aquaculture.2020.735971","http://dx.doi.org/10.1016/j.aquaculture.2020.735971")</f>
        <v>http://dx.doi.org/10.1016/j.aquaculture.2020.735971</v>
      </c>
      <c r="BG958" t="s">
        <v>74</v>
      </c>
      <c r="BH958" t="s">
        <v>74</v>
      </c>
      <c r="BI958">
        <v>11</v>
      </c>
      <c r="BJ958" t="s">
        <v>1811</v>
      </c>
      <c r="BK958" t="s">
        <v>101</v>
      </c>
      <c r="BL958" t="s">
        <v>1811</v>
      </c>
      <c r="BM958" t="s">
        <v>18535</v>
      </c>
      <c r="BN958" t="s">
        <v>74</v>
      </c>
      <c r="BO958" t="s">
        <v>74</v>
      </c>
      <c r="BP958" t="s">
        <v>74</v>
      </c>
      <c r="BQ958" t="s">
        <v>74</v>
      </c>
      <c r="BR958" t="s">
        <v>104</v>
      </c>
      <c r="BS958" t="s">
        <v>18552</v>
      </c>
      <c r="BT958" t="str">
        <f>HYPERLINK("https%3A%2F%2Fwww.webofscience.com%2Fwos%2Fwoscc%2Ffull-record%2FWOS:000595053000003","View Full Record in Web of Science")</f>
        <v>View Full Record in Web of Science</v>
      </c>
    </row>
    <row r="959" spans="1:72" x14ac:dyDescent="0.15">
      <c r="A959" t="s">
        <v>72</v>
      </c>
      <c r="B959" t="s">
        <v>18553</v>
      </c>
      <c r="C959" t="s">
        <v>74</v>
      </c>
      <c r="D959" t="s">
        <v>74</v>
      </c>
      <c r="E959" t="s">
        <v>74</v>
      </c>
      <c r="F959" t="s">
        <v>18554</v>
      </c>
      <c r="G959" t="s">
        <v>74</v>
      </c>
      <c r="H959" t="s">
        <v>74</v>
      </c>
      <c r="I959" t="s">
        <v>18555</v>
      </c>
      <c r="J959" t="s">
        <v>8961</v>
      </c>
      <c r="K959" t="s">
        <v>74</v>
      </c>
      <c r="L959" t="s">
        <v>74</v>
      </c>
      <c r="M959" t="s">
        <v>78</v>
      </c>
      <c r="N959" t="s">
        <v>79</v>
      </c>
      <c r="O959" t="s">
        <v>74</v>
      </c>
      <c r="P959" t="s">
        <v>74</v>
      </c>
      <c r="Q959" t="s">
        <v>74</v>
      </c>
      <c r="R959" t="s">
        <v>74</v>
      </c>
      <c r="S959" t="s">
        <v>74</v>
      </c>
      <c r="T959" t="s">
        <v>18556</v>
      </c>
      <c r="U959" t="s">
        <v>74</v>
      </c>
      <c r="V959" t="s">
        <v>18557</v>
      </c>
      <c r="W959" t="s">
        <v>18558</v>
      </c>
      <c r="X959" t="s">
        <v>18559</v>
      </c>
      <c r="Y959" t="s">
        <v>18560</v>
      </c>
      <c r="Z959" t="s">
        <v>18561</v>
      </c>
      <c r="AA959" t="s">
        <v>74</v>
      </c>
      <c r="AB959" t="s">
        <v>18562</v>
      </c>
      <c r="AC959" t="s">
        <v>18563</v>
      </c>
      <c r="AD959" t="s">
        <v>18564</v>
      </c>
      <c r="AE959" t="s">
        <v>18565</v>
      </c>
      <c r="AF959" t="s">
        <v>74</v>
      </c>
      <c r="AG959">
        <v>70</v>
      </c>
      <c r="AH959">
        <v>8</v>
      </c>
      <c r="AI959">
        <v>8</v>
      </c>
      <c r="AJ959">
        <v>1</v>
      </c>
      <c r="AK959">
        <v>35</v>
      </c>
      <c r="AL959" t="s">
        <v>3000</v>
      </c>
      <c r="AM959" t="s">
        <v>167</v>
      </c>
      <c r="AN959" t="s">
        <v>3001</v>
      </c>
      <c r="AO959" t="s">
        <v>8972</v>
      </c>
      <c r="AP959" t="s">
        <v>8973</v>
      </c>
      <c r="AQ959" t="s">
        <v>74</v>
      </c>
      <c r="AR959" t="s">
        <v>8974</v>
      </c>
      <c r="AS959" t="s">
        <v>8975</v>
      </c>
      <c r="AT959" t="s">
        <v>127</v>
      </c>
      <c r="AU959">
        <v>2021</v>
      </c>
      <c r="AV959">
        <v>253</v>
      </c>
      <c r="AW959" t="s">
        <v>74</v>
      </c>
      <c r="AX959" t="s">
        <v>74</v>
      </c>
      <c r="AY959" t="s">
        <v>74</v>
      </c>
      <c r="AZ959" t="s">
        <v>74</v>
      </c>
      <c r="BA959" t="s">
        <v>74</v>
      </c>
      <c r="BB959" t="s">
        <v>74</v>
      </c>
      <c r="BC959" t="s">
        <v>74</v>
      </c>
      <c r="BD959">
        <v>105480</v>
      </c>
      <c r="BE959" t="s">
        <v>18566</v>
      </c>
      <c r="BF959" t="str">
        <f>HYPERLINK("http://dx.doi.org/10.1016/j.atmosres.2021.105480","http://dx.doi.org/10.1016/j.atmosres.2021.105480")</f>
        <v>http://dx.doi.org/10.1016/j.atmosres.2021.105480</v>
      </c>
      <c r="BG959" t="s">
        <v>74</v>
      </c>
      <c r="BH959" t="s">
        <v>18459</v>
      </c>
      <c r="BI959">
        <v>11</v>
      </c>
      <c r="BJ959" t="s">
        <v>129</v>
      </c>
      <c r="BK959" t="s">
        <v>101</v>
      </c>
      <c r="BL959" t="s">
        <v>129</v>
      </c>
      <c r="BM959" t="s">
        <v>18567</v>
      </c>
      <c r="BN959" t="s">
        <v>74</v>
      </c>
      <c r="BO959" t="s">
        <v>74</v>
      </c>
      <c r="BP959" t="s">
        <v>74</v>
      </c>
      <c r="BQ959" t="s">
        <v>74</v>
      </c>
      <c r="BR959" t="s">
        <v>104</v>
      </c>
      <c r="BS959" t="s">
        <v>18568</v>
      </c>
      <c r="BT959" t="str">
        <f>HYPERLINK("https%3A%2F%2Fwww.webofscience.com%2Fwos%2Fwoscc%2Ffull-record%2FWOS:000624605600001","View Full Record in Web of Science")</f>
        <v>View Full Record in Web of Science</v>
      </c>
    </row>
    <row r="960" spans="1:72" x14ac:dyDescent="0.15">
      <c r="A960" t="s">
        <v>72</v>
      </c>
      <c r="B960" t="s">
        <v>18569</v>
      </c>
      <c r="C960" t="s">
        <v>74</v>
      </c>
      <c r="D960" t="s">
        <v>74</v>
      </c>
      <c r="E960" t="s">
        <v>74</v>
      </c>
      <c r="F960" t="s">
        <v>18570</v>
      </c>
      <c r="G960" t="s">
        <v>74</v>
      </c>
      <c r="H960" t="s">
        <v>74</v>
      </c>
      <c r="I960" t="s">
        <v>18571</v>
      </c>
      <c r="J960" t="s">
        <v>1045</v>
      </c>
      <c r="K960" t="s">
        <v>74</v>
      </c>
      <c r="L960" t="s">
        <v>74</v>
      </c>
      <c r="M960" t="s">
        <v>78</v>
      </c>
      <c r="N960" t="s">
        <v>79</v>
      </c>
      <c r="O960" t="s">
        <v>74</v>
      </c>
      <c r="P960" t="s">
        <v>74</v>
      </c>
      <c r="Q960" t="s">
        <v>74</v>
      </c>
      <c r="R960" t="s">
        <v>74</v>
      </c>
      <c r="S960" t="s">
        <v>74</v>
      </c>
      <c r="T960" t="s">
        <v>18572</v>
      </c>
      <c r="U960" t="s">
        <v>18573</v>
      </c>
      <c r="V960" t="s">
        <v>18574</v>
      </c>
      <c r="W960" t="s">
        <v>18575</v>
      </c>
      <c r="X960" t="s">
        <v>18576</v>
      </c>
      <c r="Y960" t="s">
        <v>18577</v>
      </c>
      <c r="Z960" t="s">
        <v>18578</v>
      </c>
      <c r="AA960" t="s">
        <v>18579</v>
      </c>
      <c r="AB960" t="s">
        <v>18580</v>
      </c>
      <c r="AC960" t="s">
        <v>18581</v>
      </c>
      <c r="AD960" t="s">
        <v>18582</v>
      </c>
      <c r="AE960" t="s">
        <v>18583</v>
      </c>
      <c r="AF960" t="s">
        <v>74</v>
      </c>
      <c r="AG960">
        <v>99</v>
      </c>
      <c r="AH960">
        <v>8</v>
      </c>
      <c r="AI960">
        <v>8</v>
      </c>
      <c r="AJ960">
        <v>1</v>
      </c>
      <c r="AK960">
        <v>19</v>
      </c>
      <c r="AL960" t="s">
        <v>1058</v>
      </c>
      <c r="AM960" t="s">
        <v>891</v>
      </c>
      <c r="AN960" t="s">
        <v>1059</v>
      </c>
      <c r="AO960" t="s">
        <v>1060</v>
      </c>
      <c r="AP960" t="s">
        <v>1061</v>
      </c>
      <c r="AQ960" t="s">
        <v>74</v>
      </c>
      <c r="AR960" t="s">
        <v>1062</v>
      </c>
      <c r="AS960" t="s">
        <v>1063</v>
      </c>
      <c r="AT960" t="s">
        <v>11445</v>
      </c>
      <c r="AU960">
        <v>2021</v>
      </c>
      <c r="AV960">
        <v>296</v>
      </c>
      <c r="AW960" t="s">
        <v>74</v>
      </c>
      <c r="AX960" t="s">
        <v>74</v>
      </c>
      <c r="AY960" t="s">
        <v>74</v>
      </c>
      <c r="AZ960" t="s">
        <v>74</v>
      </c>
      <c r="BA960" t="s">
        <v>74</v>
      </c>
      <c r="BB960">
        <v>170</v>
      </c>
      <c r="BC960">
        <v>188</v>
      </c>
      <c r="BD960" t="s">
        <v>74</v>
      </c>
      <c r="BE960" t="s">
        <v>18584</v>
      </c>
      <c r="BF960" t="str">
        <f>HYPERLINK("http://dx.doi.org/10.1016/j.gca.2021.01.006","http://dx.doi.org/10.1016/j.gca.2021.01.006")</f>
        <v>http://dx.doi.org/10.1016/j.gca.2021.01.006</v>
      </c>
      <c r="BG960" t="s">
        <v>74</v>
      </c>
      <c r="BH960" t="s">
        <v>18459</v>
      </c>
      <c r="BI960">
        <v>19</v>
      </c>
      <c r="BJ960" t="s">
        <v>1066</v>
      </c>
      <c r="BK960" t="s">
        <v>101</v>
      </c>
      <c r="BL960" t="s">
        <v>1066</v>
      </c>
      <c r="BM960" t="s">
        <v>18585</v>
      </c>
      <c r="BN960" t="s">
        <v>74</v>
      </c>
      <c r="BO960" t="s">
        <v>227</v>
      </c>
      <c r="BP960" t="s">
        <v>74</v>
      </c>
      <c r="BQ960" t="s">
        <v>74</v>
      </c>
      <c r="BR960" t="s">
        <v>104</v>
      </c>
      <c r="BS960" t="s">
        <v>18586</v>
      </c>
      <c r="BT960" t="str">
        <f>HYPERLINK("https%3A%2F%2Fwww.webofscience.com%2Fwos%2Fwoscc%2Ffull-record%2FWOS:000623916400010","View Full Record in Web of Science")</f>
        <v>View Full Record in Web of Science</v>
      </c>
    </row>
    <row r="961" spans="1:72" x14ac:dyDescent="0.15">
      <c r="A961" t="s">
        <v>72</v>
      </c>
      <c r="B961" t="s">
        <v>18587</v>
      </c>
      <c r="C961" t="s">
        <v>74</v>
      </c>
      <c r="D961" t="s">
        <v>74</v>
      </c>
      <c r="E961" t="s">
        <v>74</v>
      </c>
      <c r="F961" t="s">
        <v>18588</v>
      </c>
      <c r="G961" t="s">
        <v>74</v>
      </c>
      <c r="H961" t="s">
        <v>74</v>
      </c>
      <c r="I961" t="s">
        <v>18589</v>
      </c>
      <c r="J961" t="s">
        <v>1520</v>
      </c>
      <c r="K961" t="s">
        <v>74</v>
      </c>
      <c r="L961" t="s">
        <v>74</v>
      </c>
      <c r="M961" t="s">
        <v>78</v>
      </c>
      <c r="N961" t="s">
        <v>79</v>
      </c>
      <c r="O961" t="s">
        <v>74</v>
      </c>
      <c r="P961" t="s">
        <v>74</v>
      </c>
      <c r="Q961" t="s">
        <v>74</v>
      </c>
      <c r="R961" t="s">
        <v>74</v>
      </c>
      <c r="S961" t="s">
        <v>74</v>
      </c>
      <c r="T961" t="s">
        <v>18590</v>
      </c>
      <c r="U961" t="s">
        <v>74</v>
      </c>
      <c r="V961" t="s">
        <v>18591</v>
      </c>
      <c r="W961" t="s">
        <v>18592</v>
      </c>
      <c r="X961" t="s">
        <v>18593</v>
      </c>
      <c r="Y961" t="s">
        <v>18594</v>
      </c>
      <c r="Z961" t="s">
        <v>18595</v>
      </c>
      <c r="AA961" t="s">
        <v>18596</v>
      </c>
      <c r="AB961" t="s">
        <v>18597</v>
      </c>
      <c r="AC961" t="s">
        <v>18598</v>
      </c>
      <c r="AD961" t="s">
        <v>18599</v>
      </c>
      <c r="AE961" t="s">
        <v>18600</v>
      </c>
      <c r="AF961" t="s">
        <v>74</v>
      </c>
      <c r="AG961">
        <v>35</v>
      </c>
      <c r="AH961">
        <v>4</v>
      </c>
      <c r="AI961">
        <v>5</v>
      </c>
      <c r="AJ961">
        <v>1</v>
      </c>
      <c r="AK961">
        <v>3</v>
      </c>
      <c r="AL961" t="s">
        <v>166</v>
      </c>
      <c r="AM961" t="s">
        <v>167</v>
      </c>
      <c r="AN961" t="s">
        <v>168</v>
      </c>
      <c r="AO961" t="s">
        <v>74</v>
      </c>
      <c r="AP961" t="s">
        <v>1533</v>
      </c>
      <c r="AQ961" t="s">
        <v>74</v>
      </c>
      <c r="AR961" t="s">
        <v>1534</v>
      </c>
      <c r="AS961" t="s">
        <v>1535</v>
      </c>
      <c r="AT961" t="s">
        <v>18601</v>
      </c>
      <c r="AU961">
        <v>2021</v>
      </c>
      <c r="AV961">
        <v>73</v>
      </c>
      <c r="AW961">
        <v>1</v>
      </c>
      <c r="AX961" t="s">
        <v>74</v>
      </c>
      <c r="AY961" t="s">
        <v>74</v>
      </c>
      <c r="AZ961" t="s">
        <v>74</v>
      </c>
      <c r="BA961" t="s">
        <v>74</v>
      </c>
      <c r="BB961" t="s">
        <v>74</v>
      </c>
      <c r="BC961" t="s">
        <v>74</v>
      </c>
      <c r="BD961">
        <v>30</v>
      </c>
      <c r="BE961" t="s">
        <v>18602</v>
      </c>
      <c r="BF961" t="str">
        <f>HYPERLINK("http://dx.doi.org/10.1186/s40623-021-01360-0","http://dx.doi.org/10.1186/s40623-021-01360-0")</f>
        <v>http://dx.doi.org/10.1186/s40623-021-01360-0</v>
      </c>
      <c r="BG961" t="s">
        <v>74</v>
      </c>
      <c r="BH961" t="s">
        <v>74</v>
      </c>
      <c r="BI961">
        <v>12</v>
      </c>
      <c r="BJ961" t="s">
        <v>100</v>
      </c>
      <c r="BK961" t="s">
        <v>101</v>
      </c>
      <c r="BL961" t="s">
        <v>102</v>
      </c>
      <c r="BM961" t="s">
        <v>18603</v>
      </c>
      <c r="BN961" t="s">
        <v>74</v>
      </c>
      <c r="BO961" t="s">
        <v>8140</v>
      </c>
      <c r="BP961" t="s">
        <v>74</v>
      </c>
      <c r="BQ961" t="s">
        <v>74</v>
      </c>
      <c r="BR961" t="s">
        <v>104</v>
      </c>
      <c r="BS961" t="s">
        <v>18604</v>
      </c>
      <c r="BT961" t="str">
        <f>HYPERLINK("https%3A%2F%2Fwww.webofscience.com%2Fwos%2Fwoscc%2Ffull-record%2FWOS:000616395100002","View Full Record in Web of Science")</f>
        <v>View Full Record in Web of Science</v>
      </c>
    </row>
    <row r="962" spans="1:72" x14ac:dyDescent="0.15">
      <c r="A962" t="s">
        <v>72</v>
      </c>
      <c r="B962" t="s">
        <v>18605</v>
      </c>
      <c r="C962" t="s">
        <v>74</v>
      </c>
      <c r="D962" t="s">
        <v>74</v>
      </c>
      <c r="E962" t="s">
        <v>74</v>
      </c>
      <c r="F962" t="s">
        <v>18606</v>
      </c>
      <c r="G962" t="s">
        <v>74</v>
      </c>
      <c r="H962" t="s">
        <v>74</v>
      </c>
      <c r="I962" t="s">
        <v>18607</v>
      </c>
      <c r="J962" t="s">
        <v>2687</v>
      </c>
      <c r="K962" t="s">
        <v>74</v>
      </c>
      <c r="L962" t="s">
        <v>74</v>
      </c>
      <c r="M962" t="s">
        <v>78</v>
      </c>
      <c r="N962" t="s">
        <v>1074</v>
      </c>
      <c r="O962" t="s">
        <v>74</v>
      </c>
      <c r="P962" t="s">
        <v>74</v>
      </c>
      <c r="Q962" t="s">
        <v>74</v>
      </c>
      <c r="R962" t="s">
        <v>74</v>
      </c>
      <c r="S962" t="s">
        <v>74</v>
      </c>
      <c r="T962" t="s">
        <v>18608</v>
      </c>
      <c r="U962" t="s">
        <v>18609</v>
      </c>
      <c r="V962" t="s">
        <v>18610</v>
      </c>
      <c r="W962" t="s">
        <v>18611</v>
      </c>
      <c r="X962" t="s">
        <v>18612</v>
      </c>
      <c r="Y962" t="s">
        <v>18613</v>
      </c>
      <c r="Z962" t="s">
        <v>18614</v>
      </c>
      <c r="AA962" t="s">
        <v>18615</v>
      </c>
      <c r="AB962" t="s">
        <v>18616</v>
      </c>
      <c r="AC962" t="s">
        <v>10057</v>
      </c>
      <c r="AD962" t="s">
        <v>5166</v>
      </c>
      <c r="AE962" t="s">
        <v>74</v>
      </c>
      <c r="AF962" t="s">
        <v>74</v>
      </c>
      <c r="AG962">
        <v>182</v>
      </c>
      <c r="AH962">
        <v>66</v>
      </c>
      <c r="AI962">
        <v>69</v>
      </c>
      <c r="AJ962">
        <v>18</v>
      </c>
      <c r="AK962">
        <v>73</v>
      </c>
      <c r="AL962" t="s">
        <v>603</v>
      </c>
      <c r="AM962" t="s">
        <v>604</v>
      </c>
      <c r="AN962" t="s">
        <v>605</v>
      </c>
      <c r="AO962" t="s">
        <v>74</v>
      </c>
      <c r="AP962" t="s">
        <v>2699</v>
      </c>
      <c r="AQ962" t="s">
        <v>74</v>
      </c>
      <c r="AR962" t="s">
        <v>2700</v>
      </c>
      <c r="AS962" t="s">
        <v>2701</v>
      </c>
      <c r="AT962" t="s">
        <v>18601</v>
      </c>
      <c r="AU962">
        <v>2021</v>
      </c>
      <c r="AV962">
        <v>8</v>
      </c>
      <c r="AW962" t="s">
        <v>74</v>
      </c>
      <c r="AX962" t="s">
        <v>74</v>
      </c>
      <c r="AY962" t="s">
        <v>74</v>
      </c>
      <c r="AZ962" t="s">
        <v>74</v>
      </c>
      <c r="BA962" t="s">
        <v>74</v>
      </c>
      <c r="BB962" t="s">
        <v>74</v>
      </c>
      <c r="BC962" t="s">
        <v>74</v>
      </c>
      <c r="BD962">
        <v>584445</v>
      </c>
      <c r="BE962" t="s">
        <v>18617</v>
      </c>
      <c r="BF962" t="str">
        <f>HYPERLINK("http://dx.doi.org/10.3389/fmars.2021.584445","http://dx.doi.org/10.3389/fmars.2021.584445")</f>
        <v>http://dx.doi.org/10.3389/fmars.2021.584445</v>
      </c>
      <c r="BG962" t="s">
        <v>74</v>
      </c>
      <c r="BH962" t="s">
        <v>74</v>
      </c>
      <c r="BI962">
        <v>22</v>
      </c>
      <c r="BJ962" t="s">
        <v>1646</v>
      </c>
      <c r="BK962" t="s">
        <v>101</v>
      </c>
      <c r="BL962" t="s">
        <v>710</v>
      </c>
      <c r="BM962" t="s">
        <v>18618</v>
      </c>
      <c r="BN962" t="s">
        <v>74</v>
      </c>
      <c r="BO962" t="s">
        <v>15680</v>
      </c>
      <c r="BP962" t="s">
        <v>871</v>
      </c>
      <c r="BQ962" t="s">
        <v>872</v>
      </c>
      <c r="BR962" t="s">
        <v>104</v>
      </c>
      <c r="BS962" t="s">
        <v>18619</v>
      </c>
      <c r="BT962" t="str">
        <f>HYPERLINK("https%3A%2F%2Fwww.webofscience.com%2Fwos%2Fwoscc%2Ffull-record%2FWOS:000614143900001","View Full Record in Web of Science")</f>
        <v>View Full Record in Web of Science</v>
      </c>
    </row>
    <row r="963" spans="1:72" x14ac:dyDescent="0.15">
      <c r="A963" t="s">
        <v>72</v>
      </c>
      <c r="B963" t="s">
        <v>18620</v>
      </c>
      <c r="C963" t="s">
        <v>74</v>
      </c>
      <c r="D963" t="s">
        <v>74</v>
      </c>
      <c r="E963" t="s">
        <v>74</v>
      </c>
      <c r="F963" t="s">
        <v>18621</v>
      </c>
      <c r="G963" t="s">
        <v>74</v>
      </c>
      <c r="H963" t="s">
        <v>74</v>
      </c>
      <c r="I963" t="s">
        <v>18622</v>
      </c>
      <c r="J963" t="s">
        <v>2890</v>
      </c>
      <c r="K963" t="s">
        <v>74</v>
      </c>
      <c r="L963" t="s">
        <v>74</v>
      </c>
      <c r="M963" t="s">
        <v>78</v>
      </c>
      <c r="N963" t="s">
        <v>79</v>
      </c>
      <c r="O963" t="s">
        <v>74</v>
      </c>
      <c r="P963" t="s">
        <v>74</v>
      </c>
      <c r="Q963" t="s">
        <v>74</v>
      </c>
      <c r="R963" t="s">
        <v>74</v>
      </c>
      <c r="S963" t="s">
        <v>74</v>
      </c>
      <c r="T963" t="s">
        <v>74</v>
      </c>
      <c r="U963" t="s">
        <v>18623</v>
      </c>
      <c r="V963" t="s">
        <v>18624</v>
      </c>
      <c r="W963" t="s">
        <v>18625</v>
      </c>
      <c r="X963" t="s">
        <v>18626</v>
      </c>
      <c r="Y963" t="s">
        <v>18627</v>
      </c>
      <c r="Z963" t="s">
        <v>18628</v>
      </c>
      <c r="AA963" t="s">
        <v>18629</v>
      </c>
      <c r="AB963" t="s">
        <v>18630</v>
      </c>
      <c r="AC963" t="s">
        <v>18631</v>
      </c>
      <c r="AD963" t="s">
        <v>18632</v>
      </c>
      <c r="AE963" t="s">
        <v>18633</v>
      </c>
      <c r="AF963" t="s">
        <v>74</v>
      </c>
      <c r="AG963">
        <v>96</v>
      </c>
      <c r="AH963">
        <v>8</v>
      </c>
      <c r="AI963">
        <v>8</v>
      </c>
      <c r="AJ963">
        <v>0</v>
      </c>
      <c r="AK963">
        <v>8</v>
      </c>
      <c r="AL963" t="s">
        <v>1269</v>
      </c>
      <c r="AM963" t="s">
        <v>1270</v>
      </c>
      <c r="AN963" t="s">
        <v>1271</v>
      </c>
      <c r="AO963" t="s">
        <v>2902</v>
      </c>
      <c r="AP963" t="s">
        <v>2903</v>
      </c>
      <c r="AQ963" t="s">
        <v>74</v>
      </c>
      <c r="AR963" t="s">
        <v>2904</v>
      </c>
      <c r="AS963" t="s">
        <v>2905</v>
      </c>
      <c r="AT963" t="s">
        <v>18601</v>
      </c>
      <c r="AU963">
        <v>2021</v>
      </c>
      <c r="AV963">
        <v>17</v>
      </c>
      <c r="AW963">
        <v>1</v>
      </c>
      <c r="AX963" t="s">
        <v>74</v>
      </c>
      <c r="AY963" t="s">
        <v>74</v>
      </c>
      <c r="AZ963" t="s">
        <v>74</v>
      </c>
      <c r="BA963" t="s">
        <v>74</v>
      </c>
      <c r="BB963">
        <v>345</v>
      </c>
      <c r="BC963">
        <v>360</v>
      </c>
      <c r="BD963" t="s">
        <v>74</v>
      </c>
      <c r="BE963" t="s">
        <v>18634</v>
      </c>
      <c r="BF963" t="str">
        <f>HYPERLINK("http://dx.doi.org/10.5194/cp-17-345-2021","http://dx.doi.org/10.5194/cp-17-345-2021")</f>
        <v>http://dx.doi.org/10.5194/cp-17-345-2021</v>
      </c>
      <c r="BG963" t="s">
        <v>74</v>
      </c>
      <c r="BH963" t="s">
        <v>74</v>
      </c>
      <c r="BI963">
        <v>16</v>
      </c>
      <c r="BJ963" t="s">
        <v>2907</v>
      </c>
      <c r="BK963" t="s">
        <v>101</v>
      </c>
      <c r="BL963" t="s">
        <v>2908</v>
      </c>
      <c r="BM963" t="s">
        <v>18635</v>
      </c>
      <c r="BN963" t="s">
        <v>74</v>
      </c>
      <c r="BO963" t="s">
        <v>1280</v>
      </c>
      <c r="BP963" t="s">
        <v>74</v>
      </c>
      <c r="BQ963" t="s">
        <v>74</v>
      </c>
      <c r="BR963" t="s">
        <v>104</v>
      </c>
      <c r="BS963" t="s">
        <v>18636</v>
      </c>
      <c r="BT963" t="str">
        <f>HYPERLINK("https%3A%2F%2Fwww.webofscience.com%2Fwos%2Fwoscc%2Ffull-record%2FWOS:000614367200001","View Full Record in Web of Science")</f>
        <v>View Full Record in Web of Science</v>
      </c>
    </row>
    <row r="964" spans="1:72" x14ac:dyDescent="0.15">
      <c r="A964" t="s">
        <v>72</v>
      </c>
      <c r="B964" t="s">
        <v>18637</v>
      </c>
      <c r="C964" t="s">
        <v>74</v>
      </c>
      <c r="D964" t="s">
        <v>74</v>
      </c>
      <c r="E964" t="s">
        <v>74</v>
      </c>
      <c r="F964" t="s">
        <v>18638</v>
      </c>
      <c r="G964" t="s">
        <v>74</v>
      </c>
      <c r="H964" t="s">
        <v>74</v>
      </c>
      <c r="I964" t="s">
        <v>18639</v>
      </c>
      <c r="J964" t="s">
        <v>590</v>
      </c>
      <c r="K964" t="s">
        <v>74</v>
      </c>
      <c r="L964" t="s">
        <v>74</v>
      </c>
      <c r="M964" t="s">
        <v>78</v>
      </c>
      <c r="N964" t="s">
        <v>79</v>
      </c>
      <c r="O964" t="s">
        <v>74</v>
      </c>
      <c r="P964" t="s">
        <v>74</v>
      </c>
      <c r="Q964" t="s">
        <v>74</v>
      </c>
      <c r="R964" t="s">
        <v>74</v>
      </c>
      <c r="S964" t="s">
        <v>74</v>
      </c>
      <c r="T964" t="s">
        <v>18640</v>
      </c>
      <c r="U964" t="s">
        <v>18641</v>
      </c>
      <c r="V964" t="s">
        <v>18642</v>
      </c>
      <c r="W964" t="s">
        <v>18643</v>
      </c>
      <c r="X964" t="s">
        <v>18644</v>
      </c>
      <c r="Y964" t="s">
        <v>18645</v>
      </c>
      <c r="Z964" t="s">
        <v>18646</v>
      </c>
      <c r="AA964" t="s">
        <v>18647</v>
      </c>
      <c r="AB964" t="s">
        <v>18648</v>
      </c>
      <c r="AC964" t="s">
        <v>18649</v>
      </c>
      <c r="AD964" t="s">
        <v>18650</v>
      </c>
      <c r="AE964" t="s">
        <v>18651</v>
      </c>
      <c r="AF964" t="s">
        <v>74</v>
      </c>
      <c r="AG964">
        <v>68</v>
      </c>
      <c r="AH964">
        <v>3</v>
      </c>
      <c r="AI964">
        <v>3</v>
      </c>
      <c r="AJ964">
        <v>0</v>
      </c>
      <c r="AK964">
        <v>1</v>
      </c>
      <c r="AL964" t="s">
        <v>603</v>
      </c>
      <c r="AM964" t="s">
        <v>604</v>
      </c>
      <c r="AN964" t="s">
        <v>605</v>
      </c>
      <c r="AO964" t="s">
        <v>74</v>
      </c>
      <c r="AP964" t="s">
        <v>606</v>
      </c>
      <c r="AQ964" t="s">
        <v>74</v>
      </c>
      <c r="AR964" t="s">
        <v>607</v>
      </c>
      <c r="AS964" t="s">
        <v>608</v>
      </c>
      <c r="AT964" t="s">
        <v>18601</v>
      </c>
      <c r="AU964">
        <v>2021</v>
      </c>
      <c r="AV964">
        <v>8</v>
      </c>
      <c r="AW964" t="s">
        <v>74</v>
      </c>
      <c r="AX964" t="s">
        <v>74</v>
      </c>
      <c r="AY964" t="s">
        <v>74</v>
      </c>
      <c r="AZ964" t="s">
        <v>74</v>
      </c>
      <c r="BA964" t="s">
        <v>74</v>
      </c>
      <c r="BB964" t="s">
        <v>74</v>
      </c>
      <c r="BC964" t="s">
        <v>74</v>
      </c>
      <c r="BD964">
        <v>614639</v>
      </c>
      <c r="BE964" t="s">
        <v>18652</v>
      </c>
      <c r="BF964" t="str">
        <f>HYPERLINK("http://dx.doi.org/10.3389/feart.2020.614639","http://dx.doi.org/10.3389/feart.2020.614639")</f>
        <v>http://dx.doi.org/10.3389/feart.2020.614639</v>
      </c>
      <c r="BG964" t="s">
        <v>74</v>
      </c>
      <c r="BH964" t="s">
        <v>74</v>
      </c>
      <c r="BI964">
        <v>15</v>
      </c>
      <c r="BJ964" t="s">
        <v>100</v>
      </c>
      <c r="BK964" t="s">
        <v>101</v>
      </c>
      <c r="BL964" t="s">
        <v>102</v>
      </c>
      <c r="BM964" t="s">
        <v>18653</v>
      </c>
      <c r="BN964" t="s">
        <v>74</v>
      </c>
      <c r="BO964" t="s">
        <v>1319</v>
      </c>
      <c r="BP964" t="s">
        <v>74</v>
      </c>
      <c r="BQ964" t="s">
        <v>74</v>
      </c>
      <c r="BR964" t="s">
        <v>104</v>
      </c>
      <c r="BS964" t="s">
        <v>18654</v>
      </c>
      <c r="BT964" t="str">
        <f>HYPERLINK("https%3A%2F%2Fwww.webofscience.com%2Fwos%2Fwoscc%2Ffull-record%2FWOS:000617050100001","View Full Record in Web of Science")</f>
        <v>View Full Record in Web of Science</v>
      </c>
    </row>
    <row r="965" spans="1:72" x14ac:dyDescent="0.15">
      <c r="A965" t="s">
        <v>72</v>
      </c>
      <c r="B965" t="s">
        <v>18655</v>
      </c>
      <c r="C965" t="s">
        <v>74</v>
      </c>
      <c r="D965" t="s">
        <v>74</v>
      </c>
      <c r="E965" t="s">
        <v>74</v>
      </c>
      <c r="F965" t="s">
        <v>18656</v>
      </c>
      <c r="G965" t="s">
        <v>74</v>
      </c>
      <c r="H965" t="s">
        <v>74</v>
      </c>
      <c r="I965" t="s">
        <v>18657</v>
      </c>
      <c r="J965" t="s">
        <v>7320</v>
      </c>
      <c r="K965" t="s">
        <v>74</v>
      </c>
      <c r="L965" t="s">
        <v>74</v>
      </c>
      <c r="M965" t="s">
        <v>78</v>
      </c>
      <c r="N965" t="s">
        <v>79</v>
      </c>
      <c r="O965" t="s">
        <v>74</v>
      </c>
      <c r="P965" t="s">
        <v>74</v>
      </c>
      <c r="Q965" t="s">
        <v>74</v>
      </c>
      <c r="R965" t="s">
        <v>74</v>
      </c>
      <c r="S965" t="s">
        <v>74</v>
      </c>
      <c r="T965" t="s">
        <v>74</v>
      </c>
      <c r="U965" t="s">
        <v>18658</v>
      </c>
      <c r="V965" t="s">
        <v>18659</v>
      </c>
      <c r="W965" t="s">
        <v>18660</v>
      </c>
      <c r="X965" t="s">
        <v>18661</v>
      </c>
      <c r="Y965" t="s">
        <v>18662</v>
      </c>
      <c r="Z965" t="s">
        <v>18663</v>
      </c>
      <c r="AA965" t="s">
        <v>18664</v>
      </c>
      <c r="AB965" t="s">
        <v>18665</v>
      </c>
      <c r="AC965" t="s">
        <v>18666</v>
      </c>
      <c r="AD965" t="s">
        <v>18667</v>
      </c>
      <c r="AE965" t="s">
        <v>18668</v>
      </c>
      <c r="AF965" t="s">
        <v>74</v>
      </c>
      <c r="AG965">
        <v>82</v>
      </c>
      <c r="AH965">
        <v>13</v>
      </c>
      <c r="AI965">
        <v>13</v>
      </c>
      <c r="AJ965">
        <v>0</v>
      </c>
      <c r="AK965">
        <v>17</v>
      </c>
      <c r="AL965" t="s">
        <v>861</v>
      </c>
      <c r="AM965" t="s">
        <v>862</v>
      </c>
      <c r="AN965" t="s">
        <v>863</v>
      </c>
      <c r="AO965" t="s">
        <v>74</v>
      </c>
      <c r="AP965" t="s">
        <v>7331</v>
      </c>
      <c r="AQ965" t="s">
        <v>74</v>
      </c>
      <c r="AR965" t="s">
        <v>7332</v>
      </c>
      <c r="AS965" t="s">
        <v>7333</v>
      </c>
      <c r="AT965" t="s">
        <v>18601</v>
      </c>
      <c r="AU965">
        <v>2021</v>
      </c>
      <c r="AV965">
        <v>4</v>
      </c>
      <c r="AW965">
        <v>1</v>
      </c>
      <c r="AX965" t="s">
        <v>74</v>
      </c>
      <c r="AY965" t="s">
        <v>74</v>
      </c>
      <c r="AZ965" t="s">
        <v>74</v>
      </c>
      <c r="BA965" t="s">
        <v>74</v>
      </c>
      <c r="BB965" t="s">
        <v>74</v>
      </c>
      <c r="BC965" t="s">
        <v>74</v>
      </c>
      <c r="BD965">
        <v>148</v>
      </c>
      <c r="BE965" t="s">
        <v>18669</v>
      </c>
      <c r="BF965" t="str">
        <f>HYPERLINK("http://dx.doi.org/10.1038/s42003-021-01673-6","http://dx.doi.org/10.1038/s42003-021-01673-6")</f>
        <v>http://dx.doi.org/10.1038/s42003-021-01673-6</v>
      </c>
      <c r="BG965" t="s">
        <v>74</v>
      </c>
      <c r="BH965" t="s">
        <v>74</v>
      </c>
      <c r="BI965">
        <v>11</v>
      </c>
      <c r="BJ965" t="s">
        <v>7335</v>
      </c>
      <c r="BK965" t="s">
        <v>101</v>
      </c>
      <c r="BL965" t="s">
        <v>7336</v>
      </c>
      <c r="BM965" t="s">
        <v>18670</v>
      </c>
      <c r="BN965">
        <v>33514890</v>
      </c>
      <c r="BO965" t="s">
        <v>558</v>
      </c>
      <c r="BP965" t="s">
        <v>74</v>
      </c>
      <c r="BQ965" t="s">
        <v>74</v>
      </c>
      <c r="BR965" t="s">
        <v>104</v>
      </c>
      <c r="BS965" t="s">
        <v>18671</v>
      </c>
      <c r="BT965" t="str">
        <f>HYPERLINK("https%3A%2F%2Fwww.webofscience.com%2Fwos%2Fwoscc%2Ffull-record%2FWOS:000616761400015","View Full Record in Web of Science")</f>
        <v>View Full Record in Web of Science</v>
      </c>
    </row>
    <row r="966" spans="1:72" x14ac:dyDescent="0.15">
      <c r="A966" t="s">
        <v>72</v>
      </c>
      <c r="B966" t="s">
        <v>18672</v>
      </c>
      <c r="C966" t="s">
        <v>74</v>
      </c>
      <c r="D966" t="s">
        <v>74</v>
      </c>
      <c r="E966" t="s">
        <v>74</v>
      </c>
      <c r="F966" t="s">
        <v>18673</v>
      </c>
      <c r="G966" t="s">
        <v>74</v>
      </c>
      <c r="H966" t="s">
        <v>74</v>
      </c>
      <c r="I966" t="s">
        <v>18674</v>
      </c>
      <c r="J966" t="s">
        <v>18675</v>
      </c>
      <c r="K966" t="s">
        <v>74</v>
      </c>
      <c r="L966" t="s">
        <v>74</v>
      </c>
      <c r="M966" t="s">
        <v>78</v>
      </c>
      <c r="N966" t="s">
        <v>79</v>
      </c>
      <c r="O966" t="s">
        <v>74</v>
      </c>
      <c r="P966" t="s">
        <v>74</v>
      </c>
      <c r="Q966" t="s">
        <v>74</v>
      </c>
      <c r="R966" t="s">
        <v>74</v>
      </c>
      <c r="S966" t="s">
        <v>74</v>
      </c>
      <c r="T966" t="s">
        <v>74</v>
      </c>
      <c r="U966" t="s">
        <v>18676</v>
      </c>
      <c r="V966" t="s">
        <v>18677</v>
      </c>
      <c r="W966" t="s">
        <v>18678</v>
      </c>
      <c r="X966" t="s">
        <v>18679</v>
      </c>
      <c r="Y966" t="s">
        <v>18680</v>
      </c>
      <c r="Z966" t="s">
        <v>18681</v>
      </c>
      <c r="AA966" t="s">
        <v>18682</v>
      </c>
      <c r="AB966" t="s">
        <v>18683</v>
      </c>
      <c r="AC966" t="s">
        <v>18684</v>
      </c>
      <c r="AD966" t="s">
        <v>18685</v>
      </c>
      <c r="AE966" t="s">
        <v>18686</v>
      </c>
      <c r="AF966" t="s">
        <v>74</v>
      </c>
      <c r="AG966">
        <v>70</v>
      </c>
      <c r="AH966">
        <v>13</v>
      </c>
      <c r="AI966">
        <v>13</v>
      </c>
      <c r="AJ966">
        <v>1</v>
      </c>
      <c r="AK966">
        <v>11</v>
      </c>
      <c r="AL966" t="s">
        <v>795</v>
      </c>
      <c r="AM966" t="s">
        <v>796</v>
      </c>
      <c r="AN966" t="s">
        <v>797</v>
      </c>
      <c r="AO966" t="s">
        <v>18687</v>
      </c>
      <c r="AP966" t="s">
        <v>18688</v>
      </c>
      <c r="AQ966" t="s">
        <v>74</v>
      </c>
      <c r="AR966" t="s">
        <v>18675</v>
      </c>
      <c r="AS966" t="s">
        <v>18689</v>
      </c>
      <c r="AT966" t="s">
        <v>2859</v>
      </c>
      <c r="AU966">
        <v>2021</v>
      </c>
      <c r="AV966">
        <v>50</v>
      </c>
      <c r="AW966">
        <v>2</v>
      </c>
      <c r="AX966" t="s">
        <v>74</v>
      </c>
      <c r="AY966" t="s">
        <v>74</v>
      </c>
      <c r="AZ966" t="s">
        <v>74</v>
      </c>
      <c r="BA966" t="s">
        <v>74</v>
      </c>
      <c r="BB966">
        <v>606</v>
      </c>
      <c r="BC966">
        <v>618</v>
      </c>
      <c r="BD966" t="s">
        <v>74</v>
      </c>
      <c r="BE966" t="s">
        <v>18690</v>
      </c>
      <c r="BF966" t="str">
        <f>HYPERLINK("http://dx.doi.org/10.1111/bor.12507","http://dx.doi.org/10.1111/bor.12507")</f>
        <v>http://dx.doi.org/10.1111/bor.12507</v>
      </c>
      <c r="BG966" t="s">
        <v>74</v>
      </c>
      <c r="BH966" t="s">
        <v>18459</v>
      </c>
      <c r="BI966">
        <v>13</v>
      </c>
      <c r="BJ966" t="s">
        <v>1685</v>
      </c>
      <c r="BK966" t="s">
        <v>101</v>
      </c>
      <c r="BL966" t="s">
        <v>1686</v>
      </c>
      <c r="BM966" t="s">
        <v>18691</v>
      </c>
      <c r="BN966" t="s">
        <v>74</v>
      </c>
      <c r="BO966" t="s">
        <v>74</v>
      </c>
      <c r="BP966" t="s">
        <v>74</v>
      </c>
      <c r="BQ966" t="s">
        <v>74</v>
      </c>
      <c r="BR966" t="s">
        <v>104</v>
      </c>
      <c r="BS966" t="s">
        <v>18692</v>
      </c>
      <c r="BT966" t="str">
        <f>HYPERLINK("https%3A%2F%2Fwww.webofscience.com%2Fwos%2Fwoscc%2Ffull-record%2FWOS:000612808500001","View Full Record in Web of Science")</f>
        <v>View Full Record in Web of Science</v>
      </c>
    </row>
    <row r="967" spans="1:72" x14ac:dyDescent="0.15">
      <c r="A967" t="s">
        <v>72</v>
      </c>
      <c r="B967" t="s">
        <v>18693</v>
      </c>
      <c r="C967" t="s">
        <v>74</v>
      </c>
      <c r="D967" t="s">
        <v>74</v>
      </c>
      <c r="E967" t="s">
        <v>74</v>
      </c>
      <c r="F967" t="s">
        <v>18694</v>
      </c>
      <c r="G967" t="s">
        <v>74</v>
      </c>
      <c r="H967" t="s">
        <v>74</v>
      </c>
      <c r="I967" t="s">
        <v>18695</v>
      </c>
      <c r="J967" t="s">
        <v>3648</v>
      </c>
      <c r="K967" t="s">
        <v>74</v>
      </c>
      <c r="L967" t="s">
        <v>74</v>
      </c>
      <c r="M967" t="s">
        <v>78</v>
      </c>
      <c r="N967" t="s">
        <v>79</v>
      </c>
      <c r="O967" t="s">
        <v>74</v>
      </c>
      <c r="P967" t="s">
        <v>74</v>
      </c>
      <c r="Q967" t="s">
        <v>74</v>
      </c>
      <c r="R967" t="s">
        <v>74</v>
      </c>
      <c r="S967" t="s">
        <v>74</v>
      </c>
      <c r="T967" t="s">
        <v>18696</v>
      </c>
      <c r="U967" t="s">
        <v>18697</v>
      </c>
      <c r="V967" t="s">
        <v>18698</v>
      </c>
      <c r="W967" t="s">
        <v>18699</v>
      </c>
      <c r="X967" t="s">
        <v>18700</v>
      </c>
      <c r="Y967" t="s">
        <v>18701</v>
      </c>
      <c r="Z967" t="s">
        <v>18702</v>
      </c>
      <c r="AA967" t="s">
        <v>18703</v>
      </c>
      <c r="AB967" t="s">
        <v>18704</v>
      </c>
      <c r="AC967" t="s">
        <v>18705</v>
      </c>
      <c r="AD967" t="s">
        <v>18706</v>
      </c>
      <c r="AE967" t="s">
        <v>18707</v>
      </c>
      <c r="AF967" t="s">
        <v>74</v>
      </c>
      <c r="AG967">
        <v>81</v>
      </c>
      <c r="AH967">
        <v>15</v>
      </c>
      <c r="AI967">
        <v>15</v>
      </c>
      <c r="AJ967">
        <v>1</v>
      </c>
      <c r="AK967">
        <v>6</v>
      </c>
      <c r="AL967" t="s">
        <v>795</v>
      </c>
      <c r="AM967" t="s">
        <v>796</v>
      </c>
      <c r="AN967" t="s">
        <v>797</v>
      </c>
      <c r="AO967" t="s">
        <v>3661</v>
      </c>
      <c r="AP967" t="s">
        <v>74</v>
      </c>
      <c r="AQ967" t="s">
        <v>74</v>
      </c>
      <c r="AR967" t="s">
        <v>3662</v>
      </c>
      <c r="AS967" t="s">
        <v>3663</v>
      </c>
      <c r="AT967" t="s">
        <v>1091</v>
      </c>
      <c r="AU967">
        <v>2021</v>
      </c>
      <c r="AV967">
        <v>11</v>
      </c>
      <c r="AW967">
        <v>4</v>
      </c>
      <c r="AX967" t="s">
        <v>74</v>
      </c>
      <c r="AY967" t="s">
        <v>74</v>
      </c>
      <c r="AZ967" t="s">
        <v>74</v>
      </c>
      <c r="BA967" t="s">
        <v>74</v>
      </c>
      <c r="BB967">
        <v>1620</v>
      </c>
      <c r="BC967">
        <v>1633</v>
      </c>
      <c r="BD967" t="s">
        <v>74</v>
      </c>
      <c r="BE967" t="s">
        <v>18708</v>
      </c>
      <c r="BF967" t="str">
        <f>HYPERLINK("http://dx.doi.org/10.1002/ece3.7147","http://dx.doi.org/10.1002/ece3.7147")</f>
        <v>http://dx.doi.org/10.1002/ece3.7147</v>
      </c>
      <c r="BG967" t="s">
        <v>74</v>
      </c>
      <c r="BH967" t="s">
        <v>18459</v>
      </c>
      <c r="BI967">
        <v>14</v>
      </c>
      <c r="BJ967" t="s">
        <v>3508</v>
      </c>
      <c r="BK967" t="s">
        <v>101</v>
      </c>
      <c r="BL967" t="s">
        <v>3509</v>
      </c>
      <c r="BM967" t="s">
        <v>18709</v>
      </c>
      <c r="BN967">
        <v>33613994</v>
      </c>
      <c r="BO967" t="s">
        <v>1319</v>
      </c>
      <c r="BP967" t="s">
        <v>74</v>
      </c>
      <c r="BQ967" t="s">
        <v>74</v>
      </c>
      <c r="BR967" t="s">
        <v>104</v>
      </c>
      <c r="BS967" t="s">
        <v>18710</v>
      </c>
      <c r="BT967" t="str">
        <f>HYPERLINK("https%3A%2F%2Fwww.webofscience.com%2Fwos%2Fwoscc%2Ffull-record%2FWOS:000612806900001","View Full Record in Web of Science")</f>
        <v>View Full Record in Web of Science</v>
      </c>
    </row>
    <row r="968" spans="1:72" x14ac:dyDescent="0.15">
      <c r="A968" t="s">
        <v>72</v>
      </c>
      <c r="B968" t="s">
        <v>18711</v>
      </c>
      <c r="C968" t="s">
        <v>74</v>
      </c>
      <c r="D968" t="s">
        <v>74</v>
      </c>
      <c r="E968" t="s">
        <v>74</v>
      </c>
      <c r="F968" t="s">
        <v>18712</v>
      </c>
      <c r="G968" t="s">
        <v>74</v>
      </c>
      <c r="H968" t="s">
        <v>74</v>
      </c>
      <c r="I968" t="s">
        <v>18713</v>
      </c>
      <c r="J968" t="s">
        <v>8219</v>
      </c>
      <c r="K968" t="s">
        <v>74</v>
      </c>
      <c r="L968" t="s">
        <v>74</v>
      </c>
      <c r="M968" t="s">
        <v>78</v>
      </c>
      <c r="N968" t="s">
        <v>79</v>
      </c>
      <c r="O968" t="s">
        <v>74</v>
      </c>
      <c r="P968" t="s">
        <v>74</v>
      </c>
      <c r="Q968" t="s">
        <v>74</v>
      </c>
      <c r="R968" t="s">
        <v>74</v>
      </c>
      <c r="S968" t="s">
        <v>74</v>
      </c>
      <c r="T968" t="s">
        <v>18714</v>
      </c>
      <c r="U968" t="s">
        <v>18715</v>
      </c>
      <c r="V968" t="s">
        <v>18716</v>
      </c>
      <c r="W968" t="s">
        <v>18717</v>
      </c>
      <c r="X968" t="s">
        <v>18718</v>
      </c>
      <c r="Y968" t="s">
        <v>18719</v>
      </c>
      <c r="Z968" t="s">
        <v>18720</v>
      </c>
      <c r="AA968" t="s">
        <v>18721</v>
      </c>
      <c r="AB968" t="s">
        <v>18722</v>
      </c>
      <c r="AC968" t="s">
        <v>18723</v>
      </c>
      <c r="AD968" t="s">
        <v>18724</v>
      </c>
      <c r="AE968" t="s">
        <v>18725</v>
      </c>
      <c r="AF968" t="s">
        <v>74</v>
      </c>
      <c r="AG968">
        <v>71</v>
      </c>
      <c r="AH968">
        <v>9</v>
      </c>
      <c r="AI968">
        <v>9</v>
      </c>
      <c r="AJ968">
        <v>1</v>
      </c>
      <c r="AK968">
        <v>15</v>
      </c>
      <c r="AL968" t="s">
        <v>795</v>
      </c>
      <c r="AM968" t="s">
        <v>796</v>
      </c>
      <c r="AN968" t="s">
        <v>797</v>
      </c>
      <c r="AO968" t="s">
        <v>8232</v>
      </c>
      <c r="AP968" t="s">
        <v>8233</v>
      </c>
      <c r="AQ968" t="s">
        <v>74</v>
      </c>
      <c r="AR968" t="s">
        <v>8234</v>
      </c>
      <c r="AS968" t="s">
        <v>8235</v>
      </c>
      <c r="AT968" t="s">
        <v>2859</v>
      </c>
      <c r="AU968">
        <v>2021</v>
      </c>
      <c r="AV968">
        <v>57</v>
      </c>
      <c r="AW968">
        <v>2</v>
      </c>
      <c r="AX968" t="s">
        <v>74</v>
      </c>
      <c r="AY968" t="s">
        <v>74</v>
      </c>
      <c r="AZ968" t="s">
        <v>74</v>
      </c>
      <c r="BA968" t="s">
        <v>74</v>
      </c>
      <c r="BB968">
        <v>541</v>
      </c>
      <c r="BC968">
        <v>550</v>
      </c>
      <c r="BD968" t="s">
        <v>74</v>
      </c>
      <c r="BE968" t="s">
        <v>18726</v>
      </c>
      <c r="BF968" t="str">
        <f>HYPERLINK("http://dx.doi.org/10.1111/jpy.13112","http://dx.doi.org/10.1111/jpy.13112")</f>
        <v>http://dx.doi.org/10.1111/jpy.13112</v>
      </c>
      <c r="BG968" t="s">
        <v>74</v>
      </c>
      <c r="BH968" t="s">
        <v>18459</v>
      </c>
      <c r="BI968">
        <v>10</v>
      </c>
      <c r="BJ968" t="s">
        <v>6897</v>
      </c>
      <c r="BK968" t="s">
        <v>101</v>
      </c>
      <c r="BL968" t="s">
        <v>6897</v>
      </c>
      <c r="BM968" t="s">
        <v>9971</v>
      </c>
      <c r="BN968">
        <v>33283272</v>
      </c>
      <c r="BO968" t="s">
        <v>74</v>
      </c>
      <c r="BP968" t="s">
        <v>74</v>
      </c>
      <c r="BQ968" t="s">
        <v>74</v>
      </c>
      <c r="BR968" t="s">
        <v>104</v>
      </c>
      <c r="BS968" t="s">
        <v>18727</v>
      </c>
      <c r="BT968" t="str">
        <f>HYPERLINK("https%3A%2F%2Fwww.webofscience.com%2Fwos%2Fwoscc%2Ffull-record%2FWOS:000612700300001","View Full Record in Web of Science")</f>
        <v>View Full Record in Web of Science</v>
      </c>
    </row>
    <row r="969" spans="1:72" x14ac:dyDescent="0.15">
      <c r="A969" t="s">
        <v>72</v>
      </c>
      <c r="B969" t="s">
        <v>18728</v>
      </c>
      <c r="C969" t="s">
        <v>74</v>
      </c>
      <c r="D969" t="s">
        <v>74</v>
      </c>
      <c r="E969" t="s">
        <v>74</v>
      </c>
      <c r="F969" t="s">
        <v>18729</v>
      </c>
      <c r="G969" t="s">
        <v>74</v>
      </c>
      <c r="H969" t="s">
        <v>74</v>
      </c>
      <c r="I969" t="s">
        <v>18730</v>
      </c>
      <c r="J969" t="s">
        <v>1421</v>
      </c>
      <c r="K969" t="s">
        <v>74</v>
      </c>
      <c r="L969" t="s">
        <v>74</v>
      </c>
      <c r="M969" t="s">
        <v>78</v>
      </c>
      <c r="N969" t="s">
        <v>79</v>
      </c>
      <c r="O969" t="s">
        <v>74</v>
      </c>
      <c r="P969" t="s">
        <v>74</v>
      </c>
      <c r="Q969" t="s">
        <v>74</v>
      </c>
      <c r="R969" t="s">
        <v>74</v>
      </c>
      <c r="S969" t="s">
        <v>74</v>
      </c>
      <c r="T969" t="s">
        <v>18731</v>
      </c>
      <c r="U969" t="s">
        <v>18732</v>
      </c>
      <c r="V969" t="s">
        <v>18733</v>
      </c>
      <c r="W969" t="s">
        <v>18734</v>
      </c>
      <c r="X969" t="s">
        <v>18735</v>
      </c>
      <c r="Y969" t="s">
        <v>18736</v>
      </c>
      <c r="Z969" t="s">
        <v>18737</v>
      </c>
      <c r="AA969" t="s">
        <v>74</v>
      </c>
      <c r="AB969" t="s">
        <v>18738</v>
      </c>
      <c r="AC969" t="s">
        <v>18739</v>
      </c>
      <c r="AD969" t="s">
        <v>18740</v>
      </c>
      <c r="AE969" t="s">
        <v>18741</v>
      </c>
      <c r="AF969" t="s">
        <v>74</v>
      </c>
      <c r="AG969">
        <v>90</v>
      </c>
      <c r="AH969">
        <v>5</v>
      </c>
      <c r="AI969">
        <v>5</v>
      </c>
      <c r="AJ969">
        <v>2</v>
      </c>
      <c r="AK969">
        <v>12</v>
      </c>
      <c r="AL969" t="s">
        <v>166</v>
      </c>
      <c r="AM969" t="s">
        <v>167</v>
      </c>
      <c r="AN969" t="s">
        <v>168</v>
      </c>
      <c r="AO969" t="s">
        <v>1433</v>
      </c>
      <c r="AP969" t="s">
        <v>1434</v>
      </c>
      <c r="AQ969" t="s">
        <v>74</v>
      </c>
      <c r="AR969" t="s">
        <v>1435</v>
      </c>
      <c r="AS969" t="s">
        <v>1436</v>
      </c>
      <c r="AT969" t="s">
        <v>1091</v>
      </c>
      <c r="AU969">
        <v>2021</v>
      </c>
      <c r="AV969">
        <v>44</v>
      </c>
      <c r="AW969">
        <v>2</v>
      </c>
      <c r="AX969" t="s">
        <v>74</v>
      </c>
      <c r="AY969" t="s">
        <v>74</v>
      </c>
      <c r="AZ969" t="s">
        <v>74</v>
      </c>
      <c r="BA969" t="s">
        <v>74</v>
      </c>
      <c r="BB969">
        <v>433</v>
      </c>
      <c r="BC969">
        <v>450</v>
      </c>
      <c r="BD969" t="s">
        <v>74</v>
      </c>
      <c r="BE969" t="s">
        <v>18742</v>
      </c>
      <c r="BF969" t="str">
        <f>HYPERLINK("http://dx.doi.org/10.1007/s00300-021-02804-9","http://dx.doi.org/10.1007/s00300-021-02804-9")</f>
        <v>http://dx.doi.org/10.1007/s00300-021-02804-9</v>
      </c>
      <c r="BG969" t="s">
        <v>74</v>
      </c>
      <c r="BH969" t="s">
        <v>18459</v>
      </c>
      <c r="BI969">
        <v>18</v>
      </c>
      <c r="BJ969" t="s">
        <v>1438</v>
      </c>
      <c r="BK969" t="s">
        <v>101</v>
      </c>
      <c r="BL969" t="s">
        <v>1439</v>
      </c>
      <c r="BM969" t="s">
        <v>15164</v>
      </c>
      <c r="BN969" t="s">
        <v>74</v>
      </c>
      <c r="BO969" t="s">
        <v>712</v>
      </c>
      <c r="BP969" t="s">
        <v>74</v>
      </c>
      <c r="BQ969" t="s">
        <v>74</v>
      </c>
      <c r="BR969" t="s">
        <v>104</v>
      </c>
      <c r="BS969" t="s">
        <v>18743</v>
      </c>
      <c r="BT969" t="str">
        <f>HYPERLINK("https%3A%2F%2Fwww.webofscience.com%2Fwos%2Fwoscc%2Ffull-record%2FWOS:000612901400001","View Full Record in Web of Science")</f>
        <v>View Full Record in Web of Science</v>
      </c>
    </row>
    <row r="970" spans="1:72" x14ac:dyDescent="0.15">
      <c r="A970" t="s">
        <v>72</v>
      </c>
      <c r="B970" t="s">
        <v>18744</v>
      </c>
      <c r="C970" t="s">
        <v>74</v>
      </c>
      <c r="D970" t="s">
        <v>74</v>
      </c>
      <c r="E970" t="s">
        <v>74</v>
      </c>
      <c r="F970" t="s">
        <v>18745</v>
      </c>
      <c r="G970" t="s">
        <v>74</v>
      </c>
      <c r="H970" t="s">
        <v>74</v>
      </c>
      <c r="I970" t="s">
        <v>18746</v>
      </c>
      <c r="J970" t="s">
        <v>2890</v>
      </c>
      <c r="K970" t="s">
        <v>74</v>
      </c>
      <c r="L970" t="s">
        <v>74</v>
      </c>
      <c r="M970" t="s">
        <v>78</v>
      </c>
      <c r="N970" t="s">
        <v>1074</v>
      </c>
      <c r="O970" t="s">
        <v>74</v>
      </c>
      <c r="P970" t="s">
        <v>74</v>
      </c>
      <c r="Q970" t="s">
        <v>74</v>
      </c>
      <c r="R970" t="s">
        <v>74</v>
      </c>
      <c r="S970" t="s">
        <v>74</v>
      </c>
      <c r="T970" t="s">
        <v>74</v>
      </c>
      <c r="U970" t="s">
        <v>18747</v>
      </c>
      <c r="V970" t="s">
        <v>18748</v>
      </c>
      <c r="W970" t="s">
        <v>18749</v>
      </c>
      <c r="X970" t="s">
        <v>18750</v>
      </c>
      <c r="Y970" t="s">
        <v>18751</v>
      </c>
      <c r="Z970" t="s">
        <v>18752</v>
      </c>
      <c r="AA970" t="s">
        <v>18753</v>
      </c>
      <c r="AB970" t="s">
        <v>18754</v>
      </c>
      <c r="AC970" t="s">
        <v>18755</v>
      </c>
      <c r="AD970" t="s">
        <v>18756</v>
      </c>
      <c r="AE970" t="s">
        <v>18757</v>
      </c>
      <c r="AF970" t="s">
        <v>74</v>
      </c>
      <c r="AG970">
        <v>394</v>
      </c>
      <c r="AH970">
        <v>94</v>
      </c>
      <c r="AI970">
        <v>99</v>
      </c>
      <c r="AJ970">
        <v>11</v>
      </c>
      <c r="AK970">
        <v>71</v>
      </c>
      <c r="AL970" t="s">
        <v>1269</v>
      </c>
      <c r="AM970" t="s">
        <v>1270</v>
      </c>
      <c r="AN970" t="s">
        <v>1271</v>
      </c>
      <c r="AO970" t="s">
        <v>2902</v>
      </c>
      <c r="AP970" t="s">
        <v>2903</v>
      </c>
      <c r="AQ970" t="s">
        <v>74</v>
      </c>
      <c r="AR970" t="s">
        <v>2904</v>
      </c>
      <c r="AS970" t="s">
        <v>2905</v>
      </c>
      <c r="AT970" t="s">
        <v>18758</v>
      </c>
      <c r="AU970">
        <v>2021</v>
      </c>
      <c r="AV970">
        <v>17</v>
      </c>
      <c r="AW970">
        <v>1</v>
      </c>
      <c r="AX970" t="s">
        <v>74</v>
      </c>
      <c r="AY970" t="s">
        <v>74</v>
      </c>
      <c r="AZ970" t="s">
        <v>74</v>
      </c>
      <c r="BA970" t="s">
        <v>74</v>
      </c>
      <c r="BB970">
        <v>269</v>
      </c>
      <c r="BC970">
        <v>315</v>
      </c>
      <c r="BD970" t="s">
        <v>74</v>
      </c>
      <c r="BE970" t="s">
        <v>18759</v>
      </c>
      <c r="BF970" t="str">
        <f>HYPERLINK("http://dx.doi.org/10.5194/cp-17-269-2021","http://dx.doi.org/10.5194/cp-17-269-2021")</f>
        <v>http://dx.doi.org/10.5194/cp-17-269-2021</v>
      </c>
      <c r="BG970" t="s">
        <v>74</v>
      </c>
      <c r="BH970" t="s">
        <v>74</v>
      </c>
      <c r="BI970">
        <v>47</v>
      </c>
      <c r="BJ970" t="s">
        <v>2907</v>
      </c>
      <c r="BK970" t="s">
        <v>101</v>
      </c>
      <c r="BL970" t="s">
        <v>2908</v>
      </c>
      <c r="BM970" t="s">
        <v>18760</v>
      </c>
      <c r="BN970" t="s">
        <v>74</v>
      </c>
      <c r="BO970" t="s">
        <v>18761</v>
      </c>
      <c r="BP970" t="s">
        <v>871</v>
      </c>
      <c r="BQ970" t="s">
        <v>872</v>
      </c>
      <c r="BR970" t="s">
        <v>104</v>
      </c>
      <c r="BS970" t="s">
        <v>18762</v>
      </c>
      <c r="BT970" t="str">
        <f>HYPERLINK("https%3A%2F%2Fwww.webofscience.com%2Fwos%2Fwoscc%2Ffull-record%2FWOS:000614265100001","View Full Record in Web of Science")</f>
        <v>View Full Record in Web of Science</v>
      </c>
    </row>
    <row r="971" spans="1:72" x14ac:dyDescent="0.15">
      <c r="A971" t="s">
        <v>72</v>
      </c>
      <c r="B971" t="s">
        <v>18763</v>
      </c>
      <c r="C971" t="s">
        <v>74</v>
      </c>
      <c r="D971" t="s">
        <v>74</v>
      </c>
      <c r="E971" t="s">
        <v>74</v>
      </c>
      <c r="F971" t="s">
        <v>18764</v>
      </c>
      <c r="G971" t="s">
        <v>74</v>
      </c>
      <c r="H971" t="s">
        <v>74</v>
      </c>
      <c r="I971" t="s">
        <v>18765</v>
      </c>
      <c r="J971" t="s">
        <v>2600</v>
      </c>
      <c r="K971" t="s">
        <v>74</v>
      </c>
      <c r="L971" t="s">
        <v>74</v>
      </c>
      <c r="M971" t="s">
        <v>78</v>
      </c>
      <c r="N971" t="s">
        <v>79</v>
      </c>
      <c r="O971" t="s">
        <v>74</v>
      </c>
      <c r="P971" t="s">
        <v>74</v>
      </c>
      <c r="Q971" t="s">
        <v>74</v>
      </c>
      <c r="R971" t="s">
        <v>74</v>
      </c>
      <c r="S971" t="s">
        <v>74</v>
      </c>
      <c r="T971" t="s">
        <v>18766</v>
      </c>
      <c r="U971" t="s">
        <v>18767</v>
      </c>
      <c r="V971" t="s">
        <v>18768</v>
      </c>
      <c r="W971" t="s">
        <v>18769</v>
      </c>
      <c r="X971" t="s">
        <v>18770</v>
      </c>
      <c r="Y971" t="s">
        <v>18771</v>
      </c>
      <c r="Z971" t="s">
        <v>18772</v>
      </c>
      <c r="AA971" t="s">
        <v>18773</v>
      </c>
      <c r="AB971" t="s">
        <v>18774</v>
      </c>
      <c r="AC971" t="s">
        <v>18775</v>
      </c>
      <c r="AD971" t="s">
        <v>18776</v>
      </c>
      <c r="AE971" t="s">
        <v>18777</v>
      </c>
      <c r="AF971" t="s">
        <v>74</v>
      </c>
      <c r="AG971">
        <v>22</v>
      </c>
      <c r="AH971">
        <v>3</v>
      </c>
      <c r="AI971">
        <v>4</v>
      </c>
      <c r="AJ971">
        <v>0</v>
      </c>
      <c r="AK971">
        <v>5</v>
      </c>
      <c r="AL971" t="s">
        <v>576</v>
      </c>
      <c r="AM971" t="s">
        <v>577</v>
      </c>
      <c r="AN971" t="s">
        <v>578</v>
      </c>
      <c r="AO971" t="s">
        <v>2613</v>
      </c>
      <c r="AP971" t="s">
        <v>2614</v>
      </c>
      <c r="AQ971" t="s">
        <v>74</v>
      </c>
      <c r="AR971" t="s">
        <v>2615</v>
      </c>
      <c r="AS971" t="s">
        <v>2616</v>
      </c>
      <c r="AT971" t="s">
        <v>1091</v>
      </c>
      <c r="AU971">
        <v>2021</v>
      </c>
      <c r="AV971">
        <v>55</v>
      </c>
      <c r="AW971" t="s">
        <v>74</v>
      </c>
      <c r="AX971" t="s">
        <v>74</v>
      </c>
      <c r="AY971" t="s">
        <v>74</v>
      </c>
      <c r="AZ971" t="s">
        <v>74</v>
      </c>
      <c r="BA971" t="s">
        <v>74</v>
      </c>
      <c r="BB971" t="s">
        <v>74</v>
      </c>
      <c r="BC971" t="s">
        <v>74</v>
      </c>
      <c r="BD971">
        <v>100790</v>
      </c>
      <c r="BE971" t="s">
        <v>18778</v>
      </c>
      <c r="BF971" t="str">
        <f>HYPERLINK("http://dx.doi.org/10.1016/j.margen.2020.100790","http://dx.doi.org/10.1016/j.margen.2020.100790")</f>
        <v>http://dx.doi.org/10.1016/j.margen.2020.100790</v>
      </c>
      <c r="BG971" t="s">
        <v>74</v>
      </c>
      <c r="BH971" t="s">
        <v>18459</v>
      </c>
      <c r="BI971">
        <v>4</v>
      </c>
      <c r="BJ971" t="s">
        <v>2618</v>
      </c>
      <c r="BK971" t="s">
        <v>101</v>
      </c>
      <c r="BL971" t="s">
        <v>2618</v>
      </c>
      <c r="BM971" t="s">
        <v>18779</v>
      </c>
      <c r="BN971">
        <v>32563696</v>
      </c>
      <c r="BO971" t="s">
        <v>5474</v>
      </c>
      <c r="BP971" t="s">
        <v>74</v>
      </c>
      <c r="BQ971" t="s">
        <v>74</v>
      </c>
      <c r="BR971" t="s">
        <v>104</v>
      </c>
      <c r="BS971" t="s">
        <v>18780</v>
      </c>
      <c r="BT971" t="str">
        <f>HYPERLINK("https%3A%2F%2Fwww.webofscience.com%2Fwos%2Fwoscc%2Ffull-record%2FWOS:000618706500004","View Full Record in Web of Science")</f>
        <v>View Full Record in Web of Science</v>
      </c>
    </row>
    <row r="972" spans="1:72" x14ac:dyDescent="0.15">
      <c r="A972" t="s">
        <v>72</v>
      </c>
      <c r="B972" t="s">
        <v>18781</v>
      </c>
      <c r="C972" t="s">
        <v>74</v>
      </c>
      <c r="D972" t="s">
        <v>74</v>
      </c>
      <c r="E972" t="s">
        <v>74</v>
      </c>
      <c r="F972" t="s">
        <v>18782</v>
      </c>
      <c r="G972" t="s">
        <v>74</v>
      </c>
      <c r="H972" t="s">
        <v>74</v>
      </c>
      <c r="I972" t="s">
        <v>18783</v>
      </c>
      <c r="J972" t="s">
        <v>904</v>
      </c>
      <c r="K972" t="s">
        <v>74</v>
      </c>
      <c r="L972" t="s">
        <v>74</v>
      </c>
      <c r="M972" t="s">
        <v>78</v>
      </c>
      <c r="N972" t="s">
        <v>79</v>
      </c>
      <c r="O972" t="s">
        <v>74</v>
      </c>
      <c r="P972" t="s">
        <v>74</v>
      </c>
      <c r="Q972" t="s">
        <v>74</v>
      </c>
      <c r="R972" t="s">
        <v>74</v>
      </c>
      <c r="S972" t="s">
        <v>74</v>
      </c>
      <c r="T972" t="s">
        <v>74</v>
      </c>
      <c r="U972" t="s">
        <v>18784</v>
      </c>
      <c r="V972" t="s">
        <v>18785</v>
      </c>
      <c r="W972" t="s">
        <v>18786</v>
      </c>
      <c r="X972" t="s">
        <v>18787</v>
      </c>
      <c r="Y972" t="s">
        <v>18788</v>
      </c>
      <c r="Z972" t="s">
        <v>18789</v>
      </c>
      <c r="AA972" t="s">
        <v>18790</v>
      </c>
      <c r="AB972" t="s">
        <v>18791</v>
      </c>
      <c r="AC972" t="s">
        <v>18792</v>
      </c>
      <c r="AD972" t="s">
        <v>18792</v>
      </c>
      <c r="AE972" t="s">
        <v>18793</v>
      </c>
      <c r="AF972" t="s">
        <v>74</v>
      </c>
      <c r="AG972">
        <v>29</v>
      </c>
      <c r="AH972">
        <v>23</v>
      </c>
      <c r="AI972">
        <v>24</v>
      </c>
      <c r="AJ972">
        <v>3</v>
      </c>
      <c r="AK972">
        <v>28</v>
      </c>
      <c r="AL972" t="s">
        <v>917</v>
      </c>
      <c r="AM972" t="s">
        <v>390</v>
      </c>
      <c r="AN972" t="s">
        <v>918</v>
      </c>
      <c r="AO972" t="s">
        <v>919</v>
      </c>
      <c r="AP972" t="s">
        <v>920</v>
      </c>
      <c r="AQ972" t="s">
        <v>74</v>
      </c>
      <c r="AR972" t="s">
        <v>921</v>
      </c>
      <c r="AS972" t="s">
        <v>922</v>
      </c>
      <c r="AT972" t="s">
        <v>18758</v>
      </c>
      <c r="AU972">
        <v>2021</v>
      </c>
      <c r="AV972">
        <v>48</v>
      </c>
      <c r="AW972">
        <v>2</v>
      </c>
      <c r="AX972" t="s">
        <v>74</v>
      </c>
      <c r="AY972" t="s">
        <v>74</v>
      </c>
      <c r="AZ972" t="s">
        <v>74</v>
      </c>
      <c r="BA972" t="s">
        <v>74</v>
      </c>
      <c r="BB972" t="s">
        <v>74</v>
      </c>
      <c r="BC972" t="s">
        <v>74</v>
      </c>
      <c r="BD972" t="s">
        <v>18794</v>
      </c>
      <c r="BE972" t="s">
        <v>18795</v>
      </c>
      <c r="BF972" t="str">
        <f>HYPERLINK("http://dx.doi.org/10.1029/2020GL090572","http://dx.doi.org/10.1029/2020GL090572")</f>
        <v>http://dx.doi.org/10.1029/2020GL090572</v>
      </c>
      <c r="BG972" t="s">
        <v>74</v>
      </c>
      <c r="BH972" t="s">
        <v>74</v>
      </c>
      <c r="BI972">
        <v>9</v>
      </c>
      <c r="BJ972" t="s">
        <v>100</v>
      </c>
      <c r="BK972" t="s">
        <v>101</v>
      </c>
      <c r="BL972" t="s">
        <v>102</v>
      </c>
      <c r="BM972" t="s">
        <v>18796</v>
      </c>
      <c r="BN972" t="s">
        <v>74</v>
      </c>
      <c r="BO972" t="s">
        <v>712</v>
      </c>
      <c r="BP972" t="s">
        <v>74</v>
      </c>
      <c r="BQ972" t="s">
        <v>74</v>
      </c>
      <c r="BR972" t="s">
        <v>104</v>
      </c>
      <c r="BS972" t="s">
        <v>18797</v>
      </c>
      <c r="BT972" t="str">
        <f>HYPERLINK("https%3A%2F%2Fwww.webofscience.com%2Fwos%2Fwoscc%2Ffull-record%2FWOS:000613648800024","View Full Record in Web of Science")</f>
        <v>View Full Record in Web of Science</v>
      </c>
    </row>
    <row r="973" spans="1:72" x14ac:dyDescent="0.15">
      <c r="A973" t="s">
        <v>72</v>
      </c>
      <c r="B973" t="s">
        <v>18798</v>
      </c>
      <c r="C973" t="s">
        <v>74</v>
      </c>
      <c r="D973" t="s">
        <v>74</v>
      </c>
      <c r="E973" t="s">
        <v>74</v>
      </c>
      <c r="F973" t="s">
        <v>18799</v>
      </c>
      <c r="G973" t="s">
        <v>74</v>
      </c>
      <c r="H973" t="s">
        <v>74</v>
      </c>
      <c r="I973" t="s">
        <v>18800</v>
      </c>
      <c r="J973" t="s">
        <v>904</v>
      </c>
      <c r="K973" t="s">
        <v>74</v>
      </c>
      <c r="L973" t="s">
        <v>74</v>
      </c>
      <c r="M973" t="s">
        <v>78</v>
      </c>
      <c r="N973" t="s">
        <v>79</v>
      </c>
      <c r="O973" t="s">
        <v>74</v>
      </c>
      <c r="P973" t="s">
        <v>74</v>
      </c>
      <c r="Q973" t="s">
        <v>74</v>
      </c>
      <c r="R973" t="s">
        <v>74</v>
      </c>
      <c r="S973" t="s">
        <v>74</v>
      </c>
      <c r="T973" t="s">
        <v>18801</v>
      </c>
      <c r="U973" t="s">
        <v>18802</v>
      </c>
      <c r="V973" t="s">
        <v>18803</v>
      </c>
      <c r="W973" t="s">
        <v>18804</v>
      </c>
      <c r="X973" t="s">
        <v>18805</v>
      </c>
      <c r="Y973" t="s">
        <v>18806</v>
      </c>
      <c r="Z973" t="s">
        <v>18807</v>
      </c>
      <c r="AA973" t="s">
        <v>18808</v>
      </c>
      <c r="AB973" t="s">
        <v>18809</v>
      </c>
      <c r="AC973" t="s">
        <v>18810</v>
      </c>
      <c r="AD973" t="s">
        <v>18811</v>
      </c>
      <c r="AE973" t="s">
        <v>18812</v>
      </c>
      <c r="AF973" t="s">
        <v>74</v>
      </c>
      <c r="AG973">
        <v>79</v>
      </c>
      <c r="AH973">
        <v>1</v>
      </c>
      <c r="AI973">
        <v>1</v>
      </c>
      <c r="AJ973">
        <v>0</v>
      </c>
      <c r="AK973">
        <v>11</v>
      </c>
      <c r="AL973" t="s">
        <v>917</v>
      </c>
      <c r="AM973" t="s">
        <v>390</v>
      </c>
      <c r="AN973" t="s">
        <v>918</v>
      </c>
      <c r="AO973" t="s">
        <v>919</v>
      </c>
      <c r="AP973" t="s">
        <v>920</v>
      </c>
      <c r="AQ973" t="s">
        <v>74</v>
      </c>
      <c r="AR973" t="s">
        <v>921</v>
      </c>
      <c r="AS973" t="s">
        <v>922</v>
      </c>
      <c r="AT973" t="s">
        <v>18758</v>
      </c>
      <c r="AU973">
        <v>2021</v>
      </c>
      <c r="AV973">
        <v>48</v>
      </c>
      <c r="AW973">
        <v>2</v>
      </c>
      <c r="AX973" t="s">
        <v>74</v>
      </c>
      <c r="AY973" t="s">
        <v>74</v>
      </c>
      <c r="AZ973" t="s">
        <v>74</v>
      </c>
      <c r="BA973" t="s">
        <v>74</v>
      </c>
      <c r="BB973" t="s">
        <v>74</v>
      </c>
      <c r="BC973" t="s">
        <v>74</v>
      </c>
      <c r="BD973" t="s">
        <v>18813</v>
      </c>
      <c r="BE973" t="s">
        <v>18814</v>
      </c>
      <c r="BF973" t="str">
        <f>HYPERLINK("http://dx.doi.org/10.1029/2020GL090299","http://dx.doi.org/10.1029/2020GL090299")</f>
        <v>http://dx.doi.org/10.1029/2020GL090299</v>
      </c>
      <c r="BG973" t="s">
        <v>74</v>
      </c>
      <c r="BH973" t="s">
        <v>74</v>
      </c>
      <c r="BI973">
        <v>13</v>
      </c>
      <c r="BJ973" t="s">
        <v>100</v>
      </c>
      <c r="BK973" t="s">
        <v>101</v>
      </c>
      <c r="BL973" t="s">
        <v>102</v>
      </c>
      <c r="BM973" t="s">
        <v>18796</v>
      </c>
      <c r="BN973" t="s">
        <v>74</v>
      </c>
      <c r="BO973" t="s">
        <v>18815</v>
      </c>
      <c r="BP973" t="s">
        <v>74</v>
      </c>
      <c r="BQ973" t="s">
        <v>74</v>
      </c>
      <c r="BR973" t="s">
        <v>104</v>
      </c>
      <c r="BS973" t="s">
        <v>18816</v>
      </c>
      <c r="BT973" t="str">
        <f>HYPERLINK("https%3A%2F%2Fwww.webofscience.com%2Fwos%2Fwoscc%2Ffull-record%2FWOS:000613648800052","View Full Record in Web of Science")</f>
        <v>View Full Record in Web of Science</v>
      </c>
    </row>
    <row r="974" spans="1:72" x14ac:dyDescent="0.15">
      <c r="A974" t="s">
        <v>72</v>
      </c>
      <c r="B974" t="s">
        <v>18817</v>
      </c>
      <c r="C974" t="s">
        <v>74</v>
      </c>
      <c r="D974" t="s">
        <v>74</v>
      </c>
      <c r="E974" t="s">
        <v>74</v>
      </c>
      <c r="F974" t="s">
        <v>18818</v>
      </c>
      <c r="G974" t="s">
        <v>74</v>
      </c>
      <c r="H974" t="s">
        <v>74</v>
      </c>
      <c r="I974" t="s">
        <v>18819</v>
      </c>
      <c r="J974" t="s">
        <v>904</v>
      </c>
      <c r="K974" t="s">
        <v>74</v>
      </c>
      <c r="L974" t="s">
        <v>74</v>
      </c>
      <c r="M974" t="s">
        <v>78</v>
      </c>
      <c r="N974" t="s">
        <v>79</v>
      </c>
      <c r="O974" t="s">
        <v>74</v>
      </c>
      <c r="P974" t="s">
        <v>74</v>
      </c>
      <c r="Q974" t="s">
        <v>74</v>
      </c>
      <c r="R974" t="s">
        <v>74</v>
      </c>
      <c r="S974" t="s">
        <v>74</v>
      </c>
      <c r="T974" t="s">
        <v>18820</v>
      </c>
      <c r="U974" t="s">
        <v>18821</v>
      </c>
      <c r="V974" t="s">
        <v>18822</v>
      </c>
      <c r="W974" t="s">
        <v>18823</v>
      </c>
      <c r="X974" t="s">
        <v>18824</v>
      </c>
      <c r="Y974" t="s">
        <v>18825</v>
      </c>
      <c r="Z974" t="s">
        <v>18826</v>
      </c>
      <c r="AA974" t="s">
        <v>18827</v>
      </c>
      <c r="AB974" t="s">
        <v>18828</v>
      </c>
      <c r="AC974" t="s">
        <v>18829</v>
      </c>
      <c r="AD974" t="s">
        <v>18830</v>
      </c>
      <c r="AE974" t="s">
        <v>18831</v>
      </c>
      <c r="AF974" t="s">
        <v>74</v>
      </c>
      <c r="AG974">
        <v>43</v>
      </c>
      <c r="AH974">
        <v>15</v>
      </c>
      <c r="AI974">
        <v>15</v>
      </c>
      <c r="AJ974">
        <v>0</v>
      </c>
      <c r="AK974">
        <v>7</v>
      </c>
      <c r="AL974" t="s">
        <v>917</v>
      </c>
      <c r="AM974" t="s">
        <v>390</v>
      </c>
      <c r="AN974" t="s">
        <v>918</v>
      </c>
      <c r="AO974" t="s">
        <v>919</v>
      </c>
      <c r="AP974" t="s">
        <v>920</v>
      </c>
      <c r="AQ974" t="s">
        <v>74</v>
      </c>
      <c r="AR974" t="s">
        <v>921</v>
      </c>
      <c r="AS974" t="s">
        <v>922</v>
      </c>
      <c r="AT974" t="s">
        <v>18758</v>
      </c>
      <c r="AU974">
        <v>2021</v>
      </c>
      <c r="AV974">
        <v>48</v>
      </c>
      <c r="AW974">
        <v>2</v>
      </c>
      <c r="AX974" t="s">
        <v>74</v>
      </c>
      <c r="AY974" t="s">
        <v>74</v>
      </c>
      <c r="AZ974" t="s">
        <v>74</v>
      </c>
      <c r="BA974" t="s">
        <v>74</v>
      </c>
      <c r="BB974" t="s">
        <v>74</v>
      </c>
      <c r="BC974" t="s">
        <v>74</v>
      </c>
      <c r="BD974" t="s">
        <v>18832</v>
      </c>
      <c r="BE974" t="s">
        <v>18833</v>
      </c>
      <c r="BF974" t="str">
        <f>HYPERLINK("http://dx.doi.org/10.1029/2020GL088621","http://dx.doi.org/10.1029/2020GL088621")</f>
        <v>http://dx.doi.org/10.1029/2020GL088621</v>
      </c>
      <c r="BG974" t="s">
        <v>74</v>
      </c>
      <c r="BH974" t="s">
        <v>74</v>
      </c>
      <c r="BI974">
        <v>10</v>
      </c>
      <c r="BJ974" t="s">
        <v>100</v>
      </c>
      <c r="BK974" t="s">
        <v>101</v>
      </c>
      <c r="BL974" t="s">
        <v>102</v>
      </c>
      <c r="BM974" t="s">
        <v>18796</v>
      </c>
      <c r="BN974" t="s">
        <v>74</v>
      </c>
      <c r="BO974" t="s">
        <v>74</v>
      </c>
      <c r="BP974" t="s">
        <v>74</v>
      </c>
      <c r="BQ974" t="s">
        <v>74</v>
      </c>
      <c r="BR974" t="s">
        <v>104</v>
      </c>
      <c r="BS974" t="s">
        <v>18834</v>
      </c>
      <c r="BT974" t="str">
        <f>HYPERLINK("https%3A%2F%2Fwww.webofscience.com%2Fwos%2Fwoscc%2Ffull-record%2FWOS:000613648800041","View Full Record in Web of Science")</f>
        <v>View Full Record in Web of Science</v>
      </c>
    </row>
    <row r="975" spans="1:72" x14ac:dyDescent="0.15">
      <c r="A975" t="s">
        <v>72</v>
      </c>
      <c r="B975" t="s">
        <v>18835</v>
      </c>
      <c r="C975" t="s">
        <v>74</v>
      </c>
      <c r="D975" t="s">
        <v>74</v>
      </c>
      <c r="E975" t="s">
        <v>74</v>
      </c>
      <c r="F975" t="s">
        <v>18836</v>
      </c>
      <c r="G975" t="s">
        <v>74</v>
      </c>
      <c r="H975" t="s">
        <v>74</v>
      </c>
      <c r="I975" t="s">
        <v>18837</v>
      </c>
      <c r="J975" t="s">
        <v>904</v>
      </c>
      <c r="K975" t="s">
        <v>74</v>
      </c>
      <c r="L975" t="s">
        <v>74</v>
      </c>
      <c r="M975" t="s">
        <v>78</v>
      </c>
      <c r="N975" t="s">
        <v>79</v>
      </c>
      <c r="O975" t="s">
        <v>74</v>
      </c>
      <c r="P975" t="s">
        <v>74</v>
      </c>
      <c r="Q975" t="s">
        <v>74</v>
      </c>
      <c r="R975" t="s">
        <v>74</v>
      </c>
      <c r="S975" t="s">
        <v>74</v>
      </c>
      <c r="T975" t="s">
        <v>18838</v>
      </c>
      <c r="U975" t="s">
        <v>18839</v>
      </c>
      <c r="V975" t="s">
        <v>18840</v>
      </c>
      <c r="W975" t="s">
        <v>18841</v>
      </c>
      <c r="X975" t="s">
        <v>18842</v>
      </c>
      <c r="Y975" t="s">
        <v>18843</v>
      </c>
      <c r="Z975" t="s">
        <v>18844</v>
      </c>
      <c r="AA975" t="s">
        <v>74</v>
      </c>
      <c r="AB975" t="s">
        <v>18845</v>
      </c>
      <c r="AC975" t="s">
        <v>18846</v>
      </c>
      <c r="AD975" t="s">
        <v>18847</v>
      </c>
      <c r="AE975" t="s">
        <v>18848</v>
      </c>
      <c r="AF975" t="s">
        <v>74</v>
      </c>
      <c r="AG975">
        <v>27</v>
      </c>
      <c r="AH975">
        <v>1</v>
      </c>
      <c r="AI975">
        <v>1</v>
      </c>
      <c r="AJ975">
        <v>0</v>
      </c>
      <c r="AK975">
        <v>7</v>
      </c>
      <c r="AL975" t="s">
        <v>917</v>
      </c>
      <c r="AM975" t="s">
        <v>390</v>
      </c>
      <c r="AN975" t="s">
        <v>918</v>
      </c>
      <c r="AO975" t="s">
        <v>919</v>
      </c>
      <c r="AP975" t="s">
        <v>920</v>
      </c>
      <c r="AQ975" t="s">
        <v>74</v>
      </c>
      <c r="AR975" t="s">
        <v>921</v>
      </c>
      <c r="AS975" t="s">
        <v>922</v>
      </c>
      <c r="AT975" t="s">
        <v>18758</v>
      </c>
      <c r="AU975">
        <v>2021</v>
      </c>
      <c r="AV975">
        <v>48</v>
      </c>
      <c r="AW975">
        <v>2</v>
      </c>
      <c r="AX975" t="s">
        <v>74</v>
      </c>
      <c r="AY975" t="s">
        <v>74</v>
      </c>
      <c r="AZ975" t="s">
        <v>74</v>
      </c>
      <c r="BA975" t="s">
        <v>74</v>
      </c>
      <c r="BB975" t="s">
        <v>74</v>
      </c>
      <c r="BC975" t="s">
        <v>74</v>
      </c>
      <c r="BD975" t="s">
        <v>18849</v>
      </c>
      <c r="BE975" t="s">
        <v>18850</v>
      </c>
      <c r="BF975" t="str">
        <f>HYPERLINK("http://dx.doi.org/10.1029/2020GL090036","http://dx.doi.org/10.1029/2020GL090036")</f>
        <v>http://dx.doi.org/10.1029/2020GL090036</v>
      </c>
      <c r="BG975" t="s">
        <v>74</v>
      </c>
      <c r="BH975" t="s">
        <v>74</v>
      </c>
      <c r="BI975">
        <v>9</v>
      </c>
      <c r="BJ975" t="s">
        <v>100</v>
      </c>
      <c r="BK975" t="s">
        <v>101</v>
      </c>
      <c r="BL975" t="s">
        <v>102</v>
      </c>
      <c r="BM975" t="s">
        <v>18796</v>
      </c>
      <c r="BN975" t="s">
        <v>74</v>
      </c>
      <c r="BO975" t="s">
        <v>74</v>
      </c>
      <c r="BP975" t="s">
        <v>74</v>
      </c>
      <c r="BQ975" t="s">
        <v>74</v>
      </c>
      <c r="BR975" t="s">
        <v>104</v>
      </c>
      <c r="BS975" t="s">
        <v>18851</v>
      </c>
      <c r="BT975" t="str">
        <f>HYPERLINK("https%3A%2F%2Fwww.webofscience.com%2Fwos%2Fwoscc%2Ffull-record%2FWOS:000613648800004","View Full Record in Web of Science")</f>
        <v>View Full Record in Web of Science</v>
      </c>
    </row>
    <row r="976" spans="1:72" x14ac:dyDescent="0.15">
      <c r="A976" t="s">
        <v>72</v>
      </c>
      <c r="B976" t="s">
        <v>18852</v>
      </c>
      <c r="C976" t="s">
        <v>74</v>
      </c>
      <c r="D976" t="s">
        <v>74</v>
      </c>
      <c r="E976" t="s">
        <v>74</v>
      </c>
      <c r="F976" t="s">
        <v>18853</v>
      </c>
      <c r="G976" t="s">
        <v>74</v>
      </c>
      <c r="H976" t="s">
        <v>74</v>
      </c>
      <c r="I976" t="s">
        <v>18854</v>
      </c>
      <c r="J976" t="s">
        <v>18855</v>
      </c>
      <c r="K976" t="s">
        <v>74</v>
      </c>
      <c r="L976" t="s">
        <v>74</v>
      </c>
      <c r="M976" t="s">
        <v>78</v>
      </c>
      <c r="N976" t="s">
        <v>79</v>
      </c>
      <c r="O976" t="s">
        <v>74</v>
      </c>
      <c r="P976" t="s">
        <v>74</v>
      </c>
      <c r="Q976" t="s">
        <v>74</v>
      </c>
      <c r="R976" t="s">
        <v>74</v>
      </c>
      <c r="S976" t="s">
        <v>74</v>
      </c>
      <c r="T976" t="s">
        <v>18856</v>
      </c>
      <c r="U976" t="s">
        <v>18857</v>
      </c>
      <c r="V976" t="s">
        <v>18858</v>
      </c>
      <c r="W976" t="s">
        <v>18859</v>
      </c>
      <c r="X976" t="s">
        <v>18860</v>
      </c>
      <c r="Y976" t="s">
        <v>18861</v>
      </c>
      <c r="Z976" t="s">
        <v>18862</v>
      </c>
      <c r="AA976" t="s">
        <v>18863</v>
      </c>
      <c r="AB976" t="s">
        <v>74</v>
      </c>
      <c r="AC976" t="s">
        <v>18864</v>
      </c>
      <c r="AD976" t="s">
        <v>18865</v>
      </c>
      <c r="AE976" t="s">
        <v>18866</v>
      </c>
      <c r="AF976" t="s">
        <v>74</v>
      </c>
      <c r="AG976">
        <v>58</v>
      </c>
      <c r="AH976">
        <v>4</v>
      </c>
      <c r="AI976">
        <v>5</v>
      </c>
      <c r="AJ976">
        <v>3</v>
      </c>
      <c r="AK976">
        <v>43</v>
      </c>
      <c r="AL976" t="s">
        <v>1408</v>
      </c>
      <c r="AM976" t="s">
        <v>1409</v>
      </c>
      <c r="AN976" t="s">
        <v>1410</v>
      </c>
      <c r="AO976" t="s">
        <v>18867</v>
      </c>
      <c r="AP976" t="s">
        <v>18868</v>
      </c>
      <c r="AQ976" t="s">
        <v>74</v>
      </c>
      <c r="AR976" t="s">
        <v>18869</v>
      </c>
      <c r="AS976" t="s">
        <v>18870</v>
      </c>
      <c r="AT976" t="s">
        <v>2859</v>
      </c>
      <c r="AU976">
        <v>2021</v>
      </c>
      <c r="AV976">
        <v>64</v>
      </c>
      <c r="AW976">
        <v>4</v>
      </c>
      <c r="AX976" t="s">
        <v>74</v>
      </c>
      <c r="AY976" t="s">
        <v>74</v>
      </c>
      <c r="AZ976" t="s">
        <v>74</v>
      </c>
      <c r="BA976" t="s">
        <v>74</v>
      </c>
      <c r="BB976">
        <v>589</v>
      </c>
      <c r="BC976">
        <v>599</v>
      </c>
      <c r="BD976" t="s">
        <v>74</v>
      </c>
      <c r="BE976" t="s">
        <v>18871</v>
      </c>
      <c r="BF976" t="str">
        <f>HYPERLINK("http://dx.doi.org/10.1007/s11430-020-9700-1","http://dx.doi.org/10.1007/s11430-020-9700-1")</f>
        <v>http://dx.doi.org/10.1007/s11430-020-9700-1</v>
      </c>
      <c r="BG976" t="s">
        <v>74</v>
      </c>
      <c r="BH976" t="s">
        <v>18459</v>
      </c>
      <c r="BI976">
        <v>11</v>
      </c>
      <c r="BJ976" t="s">
        <v>100</v>
      </c>
      <c r="BK976" t="s">
        <v>101</v>
      </c>
      <c r="BL976" t="s">
        <v>102</v>
      </c>
      <c r="BM976" t="s">
        <v>18872</v>
      </c>
      <c r="BN976" t="s">
        <v>74</v>
      </c>
      <c r="BO976" t="s">
        <v>74</v>
      </c>
      <c r="BP976" t="s">
        <v>74</v>
      </c>
      <c r="BQ976" t="s">
        <v>74</v>
      </c>
      <c r="BR976" t="s">
        <v>104</v>
      </c>
      <c r="BS976" t="s">
        <v>18873</v>
      </c>
      <c r="BT976" t="str">
        <f>HYPERLINK("https%3A%2F%2Fwww.webofscience.com%2Fwos%2Fwoscc%2Ffull-record%2FWOS:000613047300001","View Full Record in Web of Science")</f>
        <v>View Full Record in Web of Science</v>
      </c>
    </row>
    <row r="977" spans="1:72" x14ac:dyDescent="0.15">
      <c r="A977" t="s">
        <v>72</v>
      </c>
      <c r="B977" t="s">
        <v>18874</v>
      </c>
      <c r="C977" t="s">
        <v>74</v>
      </c>
      <c r="D977" t="s">
        <v>74</v>
      </c>
      <c r="E977" t="s">
        <v>74</v>
      </c>
      <c r="F977" t="s">
        <v>18875</v>
      </c>
      <c r="G977" t="s">
        <v>74</v>
      </c>
      <c r="H977" t="s">
        <v>74</v>
      </c>
      <c r="I977" t="s">
        <v>18876</v>
      </c>
      <c r="J977" t="s">
        <v>1761</v>
      </c>
      <c r="K977" t="s">
        <v>74</v>
      </c>
      <c r="L977" t="s">
        <v>74</v>
      </c>
      <c r="M977" t="s">
        <v>78</v>
      </c>
      <c r="N977" t="s">
        <v>79</v>
      </c>
      <c r="O977" t="s">
        <v>74</v>
      </c>
      <c r="P977" t="s">
        <v>74</v>
      </c>
      <c r="Q977" t="s">
        <v>74</v>
      </c>
      <c r="R977" t="s">
        <v>74</v>
      </c>
      <c r="S977" t="s">
        <v>74</v>
      </c>
      <c r="T977" t="s">
        <v>74</v>
      </c>
      <c r="U977" t="s">
        <v>18877</v>
      </c>
      <c r="V977" t="s">
        <v>18878</v>
      </c>
      <c r="W977" t="s">
        <v>18879</v>
      </c>
      <c r="X977" t="s">
        <v>18880</v>
      </c>
      <c r="Y977" t="s">
        <v>18881</v>
      </c>
      <c r="Z977" t="s">
        <v>18882</v>
      </c>
      <c r="AA977" t="s">
        <v>18883</v>
      </c>
      <c r="AB977" t="s">
        <v>18884</v>
      </c>
      <c r="AC977" t="s">
        <v>18885</v>
      </c>
      <c r="AD977" t="s">
        <v>18886</v>
      </c>
      <c r="AE977" t="s">
        <v>18887</v>
      </c>
      <c r="AF977" t="s">
        <v>74</v>
      </c>
      <c r="AG977">
        <v>84</v>
      </c>
      <c r="AH977">
        <v>5</v>
      </c>
      <c r="AI977">
        <v>6</v>
      </c>
      <c r="AJ977">
        <v>1</v>
      </c>
      <c r="AK977">
        <v>4</v>
      </c>
      <c r="AL977" t="s">
        <v>1269</v>
      </c>
      <c r="AM977" t="s">
        <v>1270</v>
      </c>
      <c r="AN977" t="s">
        <v>1271</v>
      </c>
      <c r="AO977" t="s">
        <v>1773</v>
      </c>
      <c r="AP977" t="s">
        <v>1774</v>
      </c>
      <c r="AQ977" t="s">
        <v>74</v>
      </c>
      <c r="AR977" t="s">
        <v>1761</v>
      </c>
      <c r="AS977" t="s">
        <v>1775</v>
      </c>
      <c r="AT977" t="s">
        <v>18758</v>
      </c>
      <c r="AU977">
        <v>2021</v>
      </c>
      <c r="AV977">
        <v>15</v>
      </c>
      <c r="AW977">
        <v>1</v>
      </c>
      <c r="AX977" t="s">
        <v>74</v>
      </c>
      <c r="AY977" t="s">
        <v>74</v>
      </c>
      <c r="AZ977" t="s">
        <v>74</v>
      </c>
      <c r="BA977" t="s">
        <v>74</v>
      </c>
      <c r="BB977">
        <v>459</v>
      </c>
      <c r="BC977">
        <v>478</v>
      </c>
      <c r="BD977" t="s">
        <v>74</v>
      </c>
      <c r="BE977" t="s">
        <v>18888</v>
      </c>
      <c r="BF977" t="str">
        <f>HYPERLINK("http://dx.doi.org/10.5194/tc-15-459-2021","http://dx.doi.org/10.5194/tc-15-459-2021")</f>
        <v>http://dx.doi.org/10.5194/tc-15-459-2021</v>
      </c>
      <c r="BG977" t="s">
        <v>74</v>
      </c>
      <c r="BH977" t="s">
        <v>74</v>
      </c>
      <c r="BI977">
        <v>20</v>
      </c>
      <c r="BJ977" t="s">
        <v>1685</v>
      </c>
      <c r="BK977" t="s">
        <v>101</v>
      </c>
      <c r="BL977" t="s">
        <v>1686</v>
      </c>
      <c r="BM977" t="s">
        <v>18889</v>
      </c>
      <c r="BN977" t="s">
        <v>74</v>
      </c>
      <c r="BO977" t="s">
        <v>1280</v>
      </c>
      <c r="BP977" t="s">
        <v>74</v>
      </c>
      <c r="BQ977" t="s">
        <v>74</v>
      </c>
      <c r="BR977" t="s">
        <v>104</v>
      </c>
      <c r="BS977" t="s">
        <v>18890</v>
      </c>
      <c r="BT977" t="str">
        <f>HYPERLINK("https%3A%2F%2Fwww.webofscience.com%2Fwos%2Fwoscc%2Ffull-record%2FWOS:000614266000004","View Full Record in Web of Science")</f>
        <v>View Full Record in Web of Science</v>
      </c>
    </row>
    <row r="978" spans="1:72" x14ac:dyDescent="0.15">
      <c r="A978" t="s">
        <v>72</v>
      </c>
      <c r="B978" t="s">
        <v>18891</v>
      </c>
      <c r="C978" t="s">
        <v>74</v>
      </c>
      <c r="D978" t="s">
        <v>74</v>
      </c>
      <c r="E978" t="s">
        <v>74</v>
      </c>
      <c r="F978" t="s">
        <v>18892</v>
      </c>
      <c r="G978" t="s">
        <v>74</v>
      </c>
      <c r="H978" t="s">
        <v>74</v>
      </c>
      <c r="I978" t="s">
        <v>18893</v>
      </c>
      <c r="J978" t="s">
        <v>9391</v>
      </c>
      <c r="K978" t="s">
        <v>74</v>
      </c>
      <c r="L978" t="s">
        <v>74</v>
      </c>
      <c r="M978" t="s">
        <v>78</v>
      </c>
      <c r="N978" t="s">
        <v>79</v>
      </c>
      <c r="O978" t="s">
        <v>74</v>
      </c>
      <c r="P978" t="s">
        <v>74</v>
      </c>
      <c r="Q978" t="s">
        <v>74</v>
      </c>
      <c r="R978" t="s">
        <v>74</v>
      </c>
      <c r="S978" t="s">
        <v>74</v>
      </c>
      <c r="T978" t="s">
        <v>18894</v>
      </c>
      <c r="U978" t="s">
        <v>74</v>
      </c>
      <c r="V978" t="s">
        <v>18895</v>
      </c>
      <c r="W978" t="s">
        <v>18896</v>
      </c>
      <c r="X978" t="s">
        <v>18897</v>
      </c>
      <c r="Y978" t="s">
        <v>18898</v>
      </c>
      <c r="Z978" t="s">
        <v>18899</v>
      </c>
      <c r="AA978" t="s">
        <v>18900</v>
      </c>
      <c r="AB978" t="s">
        <v>18901</v>
      </c>
      <c r="AC978" t="s">
        <v>18902</v>
      </c>
      <c r="AD978" t="s">
        <v>18903</v>
      </c>
      <c r="AE978" t="s">
        <v>18904</v>
      </c>
      <c r="AF978" t="s">
        <v>74</v>
      </c>
      <c r="AG978">
        <v>40</v>
      </c>
      <c r="AH978">
        <v>5</v>
      </c>
      <c r="AI978">
        <v>5</v>
      </c>
      <c r="AJ978">
        <v>1</v>
      </c>
      <c r="AK978">
        <v>6</v>
      </c>
      <c r="AL978" t="s">
        <v>2922</v>
      </c>
      <c r="AM978" t="s">
        <v>2923</v>
      </c>
      <c r="AN978" t="s">
        <v>2924</v>
      </c>
      <c r="AO978" t="s">
        <v>9403</v>
      </c>
      <c r="AP978" t="s">
        <v>74</v>
      </c>
      <c r="AQ978" t="s">
        <v>74</v>
      </c>
      <c r="AR978" t="s">
        <v>9404</v>
      </c>
      <c r="AS978" t="s">
        <v>9405</v>
      </c>
      <c r="AT978" t="s">
        <v>18758</v>
      </c>
      <c r="AU978">
        <v>2021</v>
      </c>
      <c r="AV978">
        <v>17</v>
      </c>
      <c r="AW978">
        <v>2</v>
      </c>
      <c r="AX978" t="s">
        <v>74</v>
      </c>
      <c r="AY978" t="s">
        <v>74</v>
      </c>
      <c r="AZ978" t="s">
        <v>74</v>
      </c>
      <c r="BA978" t="s">
        <v>74</v>
      </c>
      <c r="BB978">
        <v>73</v>
      </c>
      <c r="BC978">
        <v>86</v>
      </c>
      <c r="BD978" t="s">
        <v>74</v>
      </c>
      <c r="BE978" t="s">
        <v>18905</v>
      </c>
      <c r="BF978" t="str">
        <f>HYPERLINK("http://dx.doi.org/10.1080/17445647.2021.1876777","http://dx.doi.org/10.1080/17445647.2021.1876777")</f>
        <v>http://dx.doi.org/10.1080/17445647.2021.1876777</v>
      </c>
      <c r="BG978" t="s">
        <v>74</v>
      </c>
      <c r="BH978" t="s">
        <v>18459</v>
      </c>
      <c r="BI978">
        <v>14</v>
      </c>
      <c r="BJ978" t="s">
        <v>9407</v>
      </c>
      <c r="BK978" t="s">
        <v>1038</v>
      </c>
      <c r="BL978" t="s">
        <v>9408</v>
      </c>
      <c r="BM978" t="s">
        <v>18906</v>
      </c>
      <c r="BN978" t="s">
        <v>74</v>
      </c>
      <c r="BO978" t="s">
        <v>1779</v>
      </c>
      <c r="BP978" t="s">
        <v>74</v>
      </c>
      <c r="BQ978" t="s">
        <v>74</v>
      </c>
      <c r="BR978" t="s">
        <v>104</v>
      </c>
      <c r="BS978" t="s">
        <v>18907</v>
      </c>
      <c r="BT978" t="str">
        <f>HYPERLINK("https%3A%2F%2Fwww.webofscience.com%2Fwos%2Fwoscc%2Ffull-record%2FWOS:000612776600001","View Full Record in Web of Science")</f>
        <v>View Full Record in Web of Science</v>
      </c>
    </row>
    <row r="979" spans="1:72" x14ac:dyDescent="0.15">
      <c r="A979" t="s">
        <v>72</v>
      </c>
      <c r="B979" t="s">
        <v>18908</v>
      </c>
      <c r="C979" t="s">
        <v>74</v>
      </c>
      <c r="D979" t="s">
        <v>74</v>
      </c>
      <c r="E979" t="s">
        <v>74</v>
      </c>
      <c r="F979" t="s">
        <v>18909</v>
      </c>
      <c r="G979" t="s">
        <v>74</v>
      </c>
      <c r="H979" t="s">
        <v>74</v>
      </c>
      <c r="I979" t="s">
        <v>18910</v>
      </c>
      <c r="J979" t="s">
        <v>18911</v>
      </c>
      <c r="K979" t="s">
        <v>74</v>
      </c>
      <c r="L979" t="s">
        <v>74</v>
      </c>
      <c r="M979" t="s">
        <v>78</v>
      </c>
      <c r="N979" t="s">
        <v>3616</v>
      </c>
      <c r="O979" t="s">
        <v>74</v>
      </c>
      <c r="P979" t="s">
        <v>74</v>
      </c>
      <c r="Q979" t="s">
        <v>74</v>
      </c>
      <c r="R979" t="s">
        <v>74</v>
      </c>
      <c r="S979" t="s">
        <v>74</v>
      </c>
      <c r="T979" t="s">
        <v>74</v>
      </c>
      <c r="U979" t="s">
        <v>74</v>
      </c>
      <c r="V979" t="s">
        <v>74</v>
      </c>
      <c r="W979" t="s">
        <v>74</v>
      </c>
      <c r="X979" t="s">
        <v>74</v>
      </c>
      <c r="Y979" t="s">
        <v>74</v>
      </c>
      <c r="Z979" t="s">
        <v>18912</v>
      </c>
      <c r="AA979" t="s">
        <v>17720</v>
      </c>
      <c r="AB979" t="s">
        <v>18913</v>
      </c>
      <c r="AC979" t="s">
        <v>74</v>
      </c>
      <c r="AD979" t="s">
        <v>74</v>
      </c>
      <c r="AE979" t="s">
        <v>74</v>
      </c>
      <c r="AF979" t="s">
        <v>74</v>
      </c>
      <c r="AG979">
        <v>1</v>
      </c>
      <c r="AH979">
        <v>0</v>
      </c>
      <c r="AI979">
        <v>0</v>
      </c>
      <c r="AJ979">
        <v>0</v>
      </c>
      <c r="AK979">
        <v>2</v>
      </c>
      <c r="AL979" t="s">
        <v>4306</v>
      </c>
      <c r="AM979" t="s">
        <v>1909</v>
      </c>
      <c r="AN979" t="s">
        <v>4307</v>
      </c>
      <c r="AO979" t="s">
        <v>18914</v>
      </c>
      <c r="AP979" t="s">
        <v>18915</v>
      </c>
      <c r="AQ979" t="s">
        <v>74</v>
      </c>
      <c r="AR979" t="s">
        <v>18911</v>
      </c>
      <c r="AS979" t="s">
        <v>18916</v>
      </c>
      <c r="AT979" t="s">
        <v>1809</v>
      </c>
      <c r="AU979">
        <v>2021</v>
      </c>
      <c r="AV979">
        <v>126</v>
      </c>
      <c r="AW979">
        <v>3</v>
      </c>
      <c r="AX979" t="s">
        <v>74</v>
      </c>
      <c r="AY979" t="s">
        <v>74</v>
      </c>
      <c r="AZ979" t="s">
        <v>74</v>
      </c>
      <c r="BA979" t="s">
        <v>74</v>
      </c>
      <c r="BB979">
        <v>562</v>
      </c>
      <c r="BC979">
        <v>562</v>
      </c>
      <c r="BD979" t="s">
        <v>74</v>
      </c>
      <c r="BE979" t="s">
        <v>18917</v>
      </c>
      <c r="BF979" t="str">
        <f>HYPERLINK("http://dx.doi.org/10.1038/s41437-020-00399-1","http://dx.doi.org/10.1038/s41437-020-00399-1")</f>
        <v>http://dx.doi.org/10.1038/s41437-020-00399-1</v>
      </c>
      <c r="BG979" t="s">
        <v>74</v>
      </c>
      <c r="BH979" t="s">
        <v>18459</v>
      </c>
      <c r="BI979">
        <v>1</v>
      </c>
      <c r="BJ979" t="s">
        <v>18918</v>
      </c>
      <c r="BK979" t="s">
        <v>101</v>
      </c>
      <c r="BL979" t="s">
        <v>18919</v>
      </c>
      <c r="BM979" t="s">
        <v>18920</v>
      </c>
      <c r="BN979">
        <v>33510470</v>
      </c>
      <c r="BO979" t="s">
        <v>927</v>
      </c>
      <c r="BP979" t="s">
        <v>74</v>
      </c>
      <c r="BQ979" t="s">
        <v>74</v>
      </c>
      <c r="BR979" t="s">
        <v>104</v>
      </c>
      <c r="BS979" t="s">
        <v>18921</v>
      </c>
      <c r="BT979" t="str">
        <f>HYPERLINK("https%3A%2F%2Fwww.webofscience.com%2Fwos%2Fwoscc%2Ffull-record%2FWOS:000612604500006","View Full Record in Web of Science")</f>
        <v>View Full Record in Web of Science</v>
      </c>
    </row>
    <row r="980" spans="1:72" x14ac:dyDescent="0.15">
      <c r="A980" t="s">
        <v>72</v>
      </c>
      <c r="B980" t="s">
        <v>9214</v>
      </c>
      <c r="C980" t="s">
        <v>74</v>
      </c>
      <c r="D980" t="s">
        <v>74</v>
      </c>
      <c r="E980" t="s">
        <v>74</v>
      </c>
      <c r="F980" t="s">
        <v>9215</v>
      </c>
      <c r="G980" t="s">
        <v>74</v>
      </c>
      <c r="H980" t="s">
        <v>74</v>
      </c>
      <c r="I980" t="s">
        <v>18922</v>
      </c>
      <c r="J980" t="s">
        <v>1421</v>
      </c>
      <c r="K980" t="s">
        <v>74</v>
      </c>
      <c r="L980" t="s">
        <v>74</v>
      </c>
      <c r="M980" t="s">
        <v>78</v>
      </c>
      <c r="N980" t="s">
        <v>79</v>
      </c>
      <c r="O980" t="s">
        <v>74</v>
      </c>
      <c r="P980" t="s">
        <v>74</v>
      </c>
      <c r="Q980" t="s">
        <v>74</v>
      </c>
      <c r="R980" t="s">
        <v>74</v>
      </c>
      <c r="S980" t="s">
        <v>74</v>
      </c>
      <c r="T980" t="s">
        <v>18923</v>
      </c>
      <c r="U980" t="s">
        <v>74</v>
      </c>
      <c r="V980" t="s">
        <v>18924</v>
      </c>
      <c r="W980" t="s">
        <v>9219</v>
      </c>
      <c r="X980" t="s">
        <v>7380</v>
      </c>
      <c r="Y980" t="s">
        <v>7381</v>
      </c>
      <c r="Z980" t="s">
        <v>7382</v>
      </c>
      <c r="AA980" t="s">
        <v>74</v>
      </c>
      <c r="AB980" t="s">
        <v>74</v>
      </c>
      <c r="AC980" t="s">
        <v>74</v>
      </c>
      <c r="AD980" t="s">
        <v>74</v>
      </c>
      <c r="AE980" t="s">
        <v>74</v>
      </c>
      <c r="AF980" t="s">
        <v>74</v>
      </c>
      <c r="AG980">
        <v>20</v>
      </c>
      <c r="AH980">
        <v>6</v>
      </c>
      <c r="AI980">
        <v>7</v>
      </c>
      <c r="AJ980">
        <v>0</v>
      </c>
      <c r="AK980">
        <v>1</v>
      </c>
      <c r="AL980" t="s">
        <v>166</v>
      </c>
      <c r="AM980" t="s">
        <v>167</v>
      </c>
      <c r="AN980" t="s">
        <v>168</v>
      </c>
      <c r="AO980" t="s">
        <v>1433</v>
      </c>
      <c r="AP980" t="s">
        <v>1434</v>
      </c>
      <c r="AQ980" t="s">
        <v>74</v>
      </c>
      <c r="AR980" t="s">
        <v>1435</v>
      </c>
      <c r="AS980" t="s">
        <v>1436</v>
      </c>
      <c r="AT980" t="s">
        <v>1091</v>
      </c>
      <c r="AU980">
        <v>2021</v>
      </c>
      <c r="AV980">
        <v>44</v>
      </c>
      <c r="AW980">
        <v>2</v>
      </c>
      <c r="AX980" t="s">
        <v>74</v>
      </c>
      <c r="AY980" t="s">
        <v>74</v>
      </c>
      <c r="AZ980" t="s">
        <v>74</v>
      </c>
      <c r="BA980" t="s">
        <v>74</v>
      </c>
      <c r="BB980">
        <v>451</v>
      </c>
      <c r="BC980">
        <v>454</v>
      </c>
      <c r="BD980" t="s">
        <v>74</v>
      </c>
      <c r="BE980" t="s">
        <v>18925</v>
      </c>
      <c r="BF980" t="str">
        <f>HYPERLINK("http://dx.doi.org/10.1007/s00300-021-02800-z","http://dx.doi.org/10.1007/s00300-021-02800-z")</f>
        <v>http://dx.doi.org/10.1007/s00300-021-02800-z</v>
      </c>
      <c r="BG980" t="s">
        <v>74</v>
      </c>
      <c r="BH980" t="s">
        <v>18459</v>
      </c>
      <c r="BI980">
        <v>4</v>
      </c>
      <c r="BJ980" t="s">
        <v>1438</v>
      </c>
      <c r="BK980" t="s">
        <v>101</v>
      </c>
      <c r="BL980" t="s">
        <v>1439</v>
      </c>
      <c r="BM980" t="s">
        <v>15164</v>
      </c>
      <c r="BN980" t="s">
        <v>74</v>
      </c>
      <c r="BO980" t="s">
        <v>496</v>
      </c>
      <c r="BP980" t="s">
        <v>74</v>
      </c>
      <c r="BQ980" t="s">
        <v>74</v>
      </c>
      <c r="BR980" t="s">
        <v>104</v>
      </c>
      <c r="BS980" t="s">
        <v>18926</v>
      </c>
      <c r="BT980" t="str">
        <f>HYPERLINK("https%3A%2F%2Fwww.webofscience.com%2Fwos%2Fwoscc%2Ffull-record%2FWOS:000612556000002","View Full Record in Web of Science")</f>
        <v>View Full Record in Web of Science</v>
      </c>
    </row>
    <row r="981" spans="1:72" x14ac:dyDescent="0.15">
      <c r="A981" t="s">
        <v>72</v>
      </c>
      <c r="B981" t="s">
        <v>18927</v>
      </c>
      <c r="C981" t="s">
        <v>74</v>
      </c>
      <c r="D981" t="s">
        <v>74</v>
      </c>
      <c r="E981" t="s">
        <v>74</v>
      </c>
      <c r="F981" t="s">
        <v>18928</v>
      </c>
      <c r="G981" t="s">
        <v>74</v>
      </c>
      <c r="H981" t="s">
        <v>74</v>
      </c>
      <c r="I981" t="s">
        <v>18929</v>
      </c>
      <c r="J981" t="s">
        <v>2687</v>
      </c>
      <c r="K981" t="s">
        <v>74</v>
      </c>
      <c r="L981" t="s">
        <v>74</v>
      </c>
      <c r="M981" t="s">
        <v>78</v>
      </c>
      <c r="N981" t="s">
        <v>79</v>
      </c>
      <c r="O981" t="s">
        <v>74</v>
      </c>
      <c r="P981" t="s">
        <v>74</v>
      </c>
      <c r="Q981" t="s">
        <v>74</v>
      </c>
      <c r="R981" t="s">
        <v>74</v>
      </c>
      <c r="S981" t="s">
        <v>74</v>
      </c>
      <c r="T981" t="s">
        <v>18930</v>
      </c>
      <c r="U981" t="s">
        <v>18931</v>
      </c>
      <c r="V981" t="s">
        <v>18932</v>
      </c>
      <c r="W981" t="s">
        <v>18933</v>
      </c>
      <c r="X981" t="s">
        <v>18934</v>
      </c>
      <c r="Y981" t="s">
        <v>18935</v>
      </c>
      <c r="Z981" t="s">
        <v>18936</v>
      </c>
      <c r="AA981" t="s">
        <v>18937</v>
      </c>
      <c r="AB981" t="s">
        <v>18938</v>
      </c>
      <c r="AC981" t="s">
        <v>18939</v>
      </c>
      <c r="AD981" t="s">
        <v>18940</v>
      </c>
      <c r="AE981" t="s">
        <v>18941</v>
      </c>
      <c r="AF981" t="s">
        <v>74</v>
      </c>
      <c r="AG981">
        <v>61</v>
      </c>
      <c r="AH981">
        <v>8</v>
      </c>
      <c r="AI981">
        <v>9</v>
      </c>
      <c r="AJ981">
        <v>1</v>
      </c>
      <c r="AK981">
        <v>18</v>
      </c>
      <c r="AL981" t="s">
        <v>603</v>
      </c>
      <c r="AM981" t="s">
        <v>604</v>
      </c>
      <c r="AN981" t="s">
        <v>605</v>
      </c>
      <c r="AO981" t="s">
        <v>74</v>
      </c>
      <c r="AP981" t="s">
        <v>2699</v>
      </c>
      <c r="AQ981" t="s">
        <v>74</v>
      </c>
      <c r="AR981" t="s">
        <v>2700</v>
      </c>
      <c r="AS981" t="s">
        <v>2701</v>
      </c>
      <c r="AT981" t="s">
        <v>18758</v>
      </c>
      <c r="AU981">
        <v>2021</v>
      </c>
      <c r="AV981">
        <v>8</v>
      </c>
      <c r="AW981" t="s">
        <v>74</v>
      </c>
      <c r="AX981" t="s">
        <v>74</v>
      </c>
      <c r="AY981" t="s">
        <v>74</v>
      </c>
      <c r="AZ981" t="s">
        <v>74</v>
      </c>
      <c r="BA981" t="s">
        <v>74</v>
      </c>
      <c r="BB981" t="s">
        <v>74</v>
      </c>
      <c r="BC981" t="s">
        <v>74</v>
      </c>
      <c r="BD981">
        <v>614496</v>
      </c>
      <c r="BE981" t="s">
        <v>18942</v>
      </c>
      <c r="BF981" t="str">
        <f>HYPERLINK("http://dx.doi.org/10.3389/fmars.2021.614496","http://dx.doi.org/10.3389/fmars.2021.614496")</f>
        <v>http://dx.doi.org/10.3389/fmars.2021.614496</v>
      </c>
      <c r="BG981" t="s">
        <v>74</v>
      </c>
      <c r="BH981" t="s">
        <v>74</v>
      </c>
      <c r="BI981">
        <v>18</v>
      </c>
      <c r="BJ981" t="s">
        <v>1646</v>
      </c>
      <c r="BK981" t="s">
        <v>101</v>
      </c>
      <c r="BL981" t="s">
        <v>710</v>
      </c>
      <c r="BM981" t="s">
        <v>18943</v>
      </c>
      <c r="BN981" t="s">
        <v>74</v>
      </c>
      <c r="BO981" t="s">
        <v>5570</v>
      </c>
      <c r="BP981" t="s">
        <v>74</v>
      </c>
      <c r="BQ981" t="s">
        <v>74</v>
      </c>
      <c r="BR981" t="s">
        <v>104</v>
      </c>
      <c r="BS981" t="s">
        <v>18944</v>
      </c>
      <c r="BT981" t="str">
        <f>HYPERLINK("https%3A%2F%2Fwww.webofscience.com%2Fwos%2Fwoscc%2Ffull-record%2FWOS:000617000300001","View Full Record in Web of Science")</f>
        <v>View Full Record in Web of Science</v>
      </c>
    </row>
    <row r="982" spans="1:72" x14ac:dyDescent="0.15">
      <c r="A982" t="s">
        <v>72</v>
      </c>
      <c r="B982" t="s">
        <v>18945</v>
      </c>
      <c r="C982" t="s">
        <v>74</v>
      </c>
      <c r="D982" t="s">
        <v>74</v>
      </c>
      <c r="E982" t="s">
        <v>74</v>
      </c>
      <c r="F982" t="s">
        <v>18946</v>
      </c>
      <c r="G982" t="s">
        <v>74</v>
      </c>
      <c r="H982" t="s">
        <v>74</v>
      </c>
      <c r="I982" t="s">
        <v>18947</v>
      </c>
      <c r="J982" t="s">
        <v>3615</v>
      </c>
      <c r="K982" t="s">
        <v>74</v>
      </c>
      <c r="L982" t="s">
        <v>74</v>
      </c>
      <c r="M982" t="s">
        <v>78</v>
      </c>
      <c r="N982" t="s">
        <v>79</v>
      </c>
      <c r="O982" t="s">
        <v>74</v>
      </c>
      <c r="P982" t="s">
        <v>74</v>
      </c>
      <c r="Q982" t="s">
        <v>74</v>
      </c>
      <c r="R982" t="s">
        <v>74</v>
      </c>
      <c r="S982" t="s">
        <v>74</v>
      </c>
      <c r="T982" t="s">
        <v>74</v>
      </c>
      <c r="U982" t="s">
        <v>18948</v>
      </c>
      <c r="V982" t="s">
        <v>18949</v>
      </c>
      <c r="W982" t="s">
        <v>18950</v>
      </c>
      <c r="X982" t="s">
        <v>18951</v>
      </c>
      <c r="Y982" t="s">
        <v>18952</v>
      </c>
      <c r="Z982" t="s">
        <v>18953</v>
      </c>
      <c r="AA982" t="s">
        <v>18954</v>
      </c>
      <c r="AB982" t="s">
        <v>18955</v>
      </c>
      <c r="AC982" t="s">
        <v>18956</v>
      </c>
      <c r="AD982" t="s">
        <v>18957</v>
      </c>
      <c r="AE982" t="s">
        <v>18958</v>
      </c>
      <c r="AF982" t="s">
        <v>74</v>
      </c>
      <c r="AG982">
        <v>64</v>
      </c>
      <c r="AH982">
        <v>29</v>
      </c>
      <c r="AI982">
        <v>32</v>
      </c>
      <c r="AJ982">
        <v>3</v>
      </c>
      <c r="AK982">
        <v>63</v>
      </c>
      <c r="AL982" t="s">
        <v>861</v>
      </c>
      <c r="AM982" t="s">
        <v>862</v>
      </c>
      <c r="AN982" t="s">
        <v>863</v>
      </c>
      <c r="AO982" t="s">
        <v>3621</v>
      </c>
      <c r="AP982" t="s">
        <v>3622</v>
      </c>
      <c r="AQ982" t="s">
        <v>74</v>
      </c>
      <c r="AR982" t="s">
        <v>3623</v>
      </c>
      <c r="AS982" t="s">
        <v>3624</v>
      </c>
      <c r="AT982" t="s">
        <v>1809</v>
      </c>
      <c r="AU982">
        <v>2021</v>
      </c>
      <c r="AV982">
        <v>11</v>
      </c>
      <c r="AW982">
        <v>3</v>
      </c>
      <c r="AX982" t="s">
        <v>74</v>
      </c>
      <c r="AY982" t="s">
        <v>74</v>
      </c>
      <c r="AZ982" t="s">
        <v>74</v>
      </c>
      <c r="BA982" t="s">
        <v>74</v>
      </c>
      <c r="BB982" t="s">
        <v>74</v>
      </c>
      <c r="BC982" t="s">
        <v>74</v>
      </c>
      <c r="BD982" t="s">
        <v>74</v>
      </c>
      <c r="BE982" t="s">
        <v>18959</v>
      </c>
      <c r="BF982" t="str">
        <f>HYPERLINK("http://dx.doi.org/10.1038/s41558-020-00967-7","http://dx.doi.org/10.1038/s41558-020-00967-7")</f>
        <v>http://dx.doi.org/10.1038/s41558-020-00967-7</v>
      </c>
      <c r="BG982" t="s">
        <v>74</v>
      </c>
      <c r="BH982" t="s">
        <v>18459</v>
      </c>
      <c r="BI982">
        <v>21</v>
      </c>
      <c r="BJ982" t="s">
        <v>3626</v>
      </c>
      <c r="BK982" t="s">
        <v>1038</v>
      </c>
      <c r="BL982" t="s">
        <v>200</v>
      </c>
      <c r="BM982" t="s">
        <v>18960</v>
      </c>
      <c r="BN982" t="s">
        <v>74</v>
      </c>
      <c r="BO982" t="s">
        <v>74</v>
      </c>
      <c r="BP982" t="s">
        <v>74</v>
      </c>
      <c r="BQ982" t="s">
        <v>74</v>
      </c>
      <c r="BR982" t="s">
        <v>104</v>
      </c>
      <c r="BS982" t="s">
        <v>18961</v>
      </c>
      <c r="BT982" t="str">
        <f>HYPERLINK("https%3A%2F%2Fwww.webofscience.com%2Fwos%2Fwoscc%2Ffull-record%2FWOS:000612576900001","View Full Record in Web of Science")</f>
        <v>View Full Record in Web of Science</v>
      </c>
    </row>
    <row r="983" spans="1:72" x14ac:dyDescent="0.15">
      <c r="A983" t="s">
        <v>72</v>
      </c>
      <c r="B983" t="s">
        <v>18962</v>
      </c>
      <c r="C983" t="s">
        <v>74</v>
      </c>
      <c r="D983" t="s">
        <v>74</v>
      </c>
      <c r="E983" t="s">
        <v>74</v>
      </c>
      <c r="F983" t="s">
        <v>18963</v>
      </c>
      <c r="G983" t="s">
        <v>74</v>
      </c>
      <c r="H983" t="s">
        <v>74</v>
      </c>
      <c r="I983" t="s">
        <v>18964</v>
      </c>
      <c r="J983" t="s">
        <v>694</v>
      </c>
      <c r="K983" t="s">
        <v>74</v>
      </c>
      <c r="L983" t="s">
        <v>74</v>
      </c>
      <c r="M983" t="s">
        <v>78</v>
      </c>
      <c r="N983" t="s">
        <v>79</v>
      </c>
      <c r="O983" t="s">
        <v>74</v>
      </c>
      <c r="P983" t="s">
        <v>74</v>
      </c>
      <c r="Q983" t="s">
        <v>74</v>
      </c>
      <c r="R983" t="s">
        <v>74</v>
      </c>
      <c r="S983" t="s">
        <v>74</v>
      </c>
      <c r="T983" t="s">
        <v>18965</v>
      </c>
      <c r="U983" t="s">
        <v>18966</v>
      </c>
      <c r="V983" t="s">
        <v>18967</v>
      </c>
      <c r="W983" t="s">
        <v>18968</v>
      </c>
      <c r="X983" t="s">
        <v>18969</v>
      </c>
      <c r="Y983" t="s">
        <v>18970</v>
      </c>
      <c r="Z983" t="s">
        <v>18971</v>
      </c>
      <c r="AA983" t="s">
        <v>18972</v>
      </c>
      <c r="AB983" t="s">
        <v>18973</v>
      </c>
      <c r="AC983" t="s">
        <v>18974</v>
      </c>
      <c r="AD983" t="s">
        <v>18974</v>
      </c>
      <c r="AE983" t="s">
        <v>18975</v>
      </c>
      <c r="AF983" t="s">
        <v>74</v>
      </c>
      <c r="AG983">
        <v>83</v>
      </c>
      <c r="AH983">
        <v>7</v>
      </c>
      <c r="AI983">
        <v>7</v>
      </c>
      <c r="AJ983">
        <v>6</v>
      </c>
      <c r="AK983">
        <v>14</v>
      </c>
      <c r="AL983" t="s">
        <v>576</v>
      </c>
      <c r="AM983" t="s">
        <v>577</v>
      </c>
      <c r="AN983" t="s">
        <v>578</v>
      </c>
      <c r="AO983" t="s">
        <v>704</v>
      </c>
      <c r="AP983" t="s">
        <v>74</v>
      </c>
      <c r="AQ983" t="s">
        <v>74</v>
      </c>
      <c r="AR983" t="s">
        <v>705</v>
      </c>
      <c r="AS983" t="s">
        <v>706</v>
      </c>
      <c r="AT983" t="s">
        <v>3960</v>
      </c>
      <c r="AU983">
        <v>2021</v>
      </c>
      <c r="AV983">
        <v>41</v>
      </c>
      <c r="AW983" t="s">
        <v>74</v>
      </c>
      <c r="AX983" t="s">
        <v>74</v>
      </c>
      <c r="AY983" t="s">
        <v>74</v>
      </c>
      <c r="AZ983" t="s">
        <v>74</v>
      </c>
      <c r="BA983" t="s">
        <v>74</v>
      </c>
      <c r="BB983" t="s">
        <v>74</v>
      </c>
      <c r="BC983" t="s">
        <v>74</v>
      </c>
      <c r="BD983">
        <v>101552</v>
      </c>
      <c r="BE983" t="s">
        <v>18976</v>
      </c>
      <c r="BF983" t="str">
        <f>HYPERLINK("http://dx.doi.org/10.1016/j.rsma.2020.101552","http://dx.doi.org/10.1016/j.rsma.2020.101552")</f>
        <v>http://dx.doi.org/10.1016/j.rsma.2020.101552</v>
      </c>
      <c r="BG983" t="s">
        <v>74</v>
      </c>
      <c r="BH983" t="s">
        <v>18459</v>
      </c>
      <c r="BI983">
        <v>12</v>
      </c>
      <c r="BJ983" t="s">
        <v>709</v>
      </c>
      <c r="BK983" t="s">
        <v>101</v>
      </c>
      <c r="BL983" t="s">
        <v>710</v>
      </c>
      <c r="BM983" t="s">
        <v>18977</v>
      </c>
      <c r="BN983" t="s">
        <v>74</v>
      </c>
      <c r="BO983" t="s">
        <v>74</v>
      </c>
      <c r="BP983" t="s">
        <v>74</v>
      </c>
      <c r="BQ983" t="s">
        <v>74</v>
      </c>
      <c r="BR983" t="s">
        <v>104</v>
      </c>
      <c r="BS983" t="s">
        <v>18978</v>
      </c>
      <c r="BT983" t="str">
        <f>HYPERLINK("https%3A%2F%2Fwww.webofscience.com%2Fwos%2Fwoscc%2Ffull-record%2FWOS:000649269800015","View Full Record in Web of Science")</f>
        <v>View Full Record in Web of Science</v>
      </c>
    </row>
    <row r="984" spans="1:72" x14ac:dyDescent="0.15">
      <c r="A984" t="s">
        <v>72</v>
      </c>
      <c r="B984" t="s">
        <v>18979</v>
      </c>
      <c r="C984" t="s">
        <v>74</v>
      </c>
      <c r="D984" t="s">
        <v>74</v>
      </c>
      <c r="E984" t="s">
        <v>74</v>
      </c>
      <c r="F984" t="s">
        <v>18980</v>
      </c>
      <c r="G984" t="s">
        <v>74</v>
      </c>
      <c r="H984" t="s">
        <v>74</v>
      </c>
      <c r="I984" t="s">
        <v>18981</v>
      </c>
      <c r="J984" t="s">
        <v>694</v>
      </c>
      <c r="K984" t="s">
        <v>74</v>
      </c>
      <c r="L984" t="s">
        <v>74</v>
      </c>
      <c r="M984" t="s">
        <v>78</v>
      </c>
      <c r="N984" t="s">
        <v>1074</v>
      </c>
      <c r="O984" t="s">
        <v>74</v>
      </c>
      <c r="P984" t="s">
        <v>74</v>
      </c>
      <c r="Q984" t="s">
        <v>74</v>
      </c>
      <c r="R984" t="s">
        <v>74</v>
      </c>
      <c r="S984" t="s">
        <v>74</v>
      </c>
      <c r="T984" t="s">
        <v>18982</v>
      </c>
      <c r="U984" t="s">
        <v>18983</v>
      </c>
      <c r="V984" t="s">
        <v>18984</v>
      </c>
      <c r="W984" t="s">
        <v>18985</v>
      </c>
      <c r="X984" t="s">
        <v>18986</v>
      </c>
      <c r="Y984" t="s">
        <v>18987</v>
      </c>
      <c r="Z984" t="s">
        <v>18988</v>
      </c>
      <c r="AA984" t="s">
        <v>18989</v>
      </c>
      <c r="AB984" t="s">
        <v>18990</v>
      </c>
      <c r="AC984" t="s">
        <v>74</v>
      </c>
      <c r="AD984" t="s">
        <v>74</v>
      </c>
      <c r="AE984" t="s">
        <v>74</v>
      </c>
      <c r="AF984" t="s">
        <v>74</v>
      </c>
      <c r="AG984">
        <v>315</v>
      </c>
      <c r="AH984">
        <v>35</v>
      </c>
      <c r="AI984">
        <v>36</v>
      </c>
      <c r="AJ984">
        <v>28</v>
      </c>
      <c r="AK984">
        <v>163</v>
      </c>
      <c r="AL984" t="s">
        <v>576</v>
      </c>
      <c r="AM984" t="s">
        <v>577</v>
      </c>
      <c r="AN984" t="s">
        <v>578</v>
      </c>
      <c r="AO984" t="s">
        <v>704</v>
      </c>
      <c r="AP984" t="s">
        <v>74</v>
      </c>
      <c r="AQ984" t="s">
        <v>74</v>
      </c>
      <c r="AR984" t="s">
        <v>705</v>
      </c>
      <c r="AS984" t="s">
        <v>706</v>
      </c>
      <c r="AT984" t="s">
        <v>3960</v>
      </c>
      <c r="AU984">
        <v>2021</v>
      </c>
      <c r="AV984">
        <v>41</v>
      </c>
      <c r="AW984" t="s">
        <v>74</v>
      </c>
      <c r="AX984" t="s">
        <v>74</v>
      </c>
      <c r="AY984" t="s">
        <v>74</v>
      </c>
      <c r="AZ984" t="s">
        <v>74</v>
      </c>
      <c r="BA984" t="s">
        <v>74</v>
      </c>
      <c r="BB984" t="s">
        <v>74</v>
      </c>
      <c r="BC984" t="s">
        <v>74</v>
      </c>
      <c r="BD984">
        <v>101539</v>
      </c>
      <c r="BE984" t="s">
        <v>18991</v>
      </c>
      <c r="BF984" t="str">
        <f>HYPERLINK("http://dx.doi.org/10.1016/j.rsma.2020.101539","http://dx.doi.org/10.1016/j.rsma.2020.101539")</f>
        <v>http://dx.doi.org/10.1016/j.rsma.2020.101539</v>
      </c>
      <c r="BG984" t="s">
        <v>74</v>
      </c>
      <c r="BH984" t="s">
        <v>18459</v>
      </c>
      <c r="BI984">
        <v>19</v>
      </c>
      <c r="BJ984" t="s">
        <v>709</v>
      </c>
      <c r="BK984" t="s">
        <v>101</v>
      </c>
      <c r="BL984" t="s">
        <v>710</v>
      </c>
      <c r="BM984" t="s">
        <v>18977</v>
      </c>
      <c r="BN984" t="s">
        <v>74</v>
      </c>
      <c r="BO984" t="s">
        <v>74</v>
      </c>
      <c r="BP984" t="s">
        <v>74</v>
      </c>
      <c r="BQ984" t="s">
        <v>74</v>
      </c>
      <c r="BR984" t="s">
        <v>104</v>
      </c>
      <c r="BS984" t="s">
        <v>18992</v>
      </c>
      <c r="BT984" t="str">
        <f>HYPERLINK("https%3A%2F%2Fwww.webofscience.com%2Fwos%2Fwoscc%2Ffull-record%2FWOS:000649269800006","View Full Record in Web of Science")</f>
        <v>View Full Record in Web of Science</v>
      </c>
    </row>
    <row r="985" spans="1:72" x14ac:dyDescent="0.15">
      <c r="A985" t="s">
        <v>72</v>
      </c>
      <c r="B985" t="s">
        <v>18993</v>
      </c>
      <c r="C985" t="s">
        <v>74</v>
      </c>
      <c r="D985" t="s">
        <v>74</v>
      </c>
      <c r="E985" t="s">
        <v>74</v>
      </c>
      <c r="F985" t="s">
        <v>18994</v>
      </c>
      <c r="G985" t="s">
        <v>74</v>
      </c>
      <c r="H985" t="s">
        <v>74</v>
      </c>
      <c r="I985" t="s">
        <v>18995</v>
      </c>
      <c r="J985" t="s">
        <v>18996</v>
      </c>
      <c r="K985" t="s">
        <v>74</v>
      </c>
      <c r="L985" t="s">
        <v>74</v>
      </c>
      <c r="M985" t="s">
        <v>78</v>
      </c>
      <c r="N985" t="s">
        <v>79</v>
      </c>
      <c r="O985" t="s">
        <v>74</v>
      </c>
      <c r="P985" t="s">
        <v>74</v>
      </c>
      <c r="Q985" t="s">
        <v>74</v>
      </c>
      <c r="R985" t="s">
        <v>74</v>
      </c>
      <c r="S985" t="s">
        <v>74</v>
      </c>
      <c r="T985" t="s">
        <v>18997</v>
      </c>
      <c r="U985" t="s">
        <v>74</v>
      </c>
      <c r="V985" t="s">
        <v>18998</v>
      </c>
      <c r="W985" t="s">
        <v>18999</v>
      </c>
      <c r="X985" t="s">
        <v>19000</v>
      </c>
      <c r="Y985" t="s">
        <v>19001</v>
      </c>
      <c r="Z985" t="s">
        <v>19002</v>
      </c>
      <c r="AA985" t="s">
        <v>19003</v>
      </c>
      <c r="AB985" t="s">
        <v>19004</v>
      </c>
      <c r="AC985" t="s">
        <v>19005</v>
      </c>
      <c r="AD985" t="s">
        <v>19006</v>
      </c>
      <c r="AE985" t="s">
        <v>19007</v>
      </c>
      <c r="AF985" t="s">
        <v>74</v>
      </c>
      <c r="AG985">
        <v>19</v>
      </c>
      <c r="AH985">
        <v>1</v>
      </c>
      <c r="AI985">
        <v>1</v>
      </c>
      <c r="AJ985">
        <v>0</v>
      </c>
      <c r="AK985">
        <v>6</v>
      </c>
      <c r="AL985" t="s">
        <v>1160</v>
      </c>
      <c r="AM985" t="s">
        <v>891</v>
      </c>
      <c r="AN985" t="s">
        <v>1161</v>
      </c>
      <c r="AO985" t="s">
        <v>19008</v>
      </c>
      <c r="AP985" t="s">
        <v>19009</v>
      </c>
      <c r="AQ985" t="s">
        <v>74</v>
      </c>
      <c r="AR985" t="s">
        <v>19010</v>
      </c>
      <c r="AS985" t="s">
        <v>19011</v>
      </c>
      <c r="AT985" t="s">
        <v>1091</v>
      </c>
      <c r="AU985">
        <v>2021</v>
      </c>
      <c r="AV985">
        <v>73</v>
      </c>
      <c r="AW985">
        <v>1</v>
      </c>
      <c r="AX985" t="s">
        <v>74</v>
      </c>
      <c r="AY985" t="s">
        <v>74</v>
      </c>
      <c r="AZ985" t="s">
        <v>74</v>
      </c>
      <c r="BA985" t="s">
        <v>74</v>
      </c>
      <c r="BB985">
        <v>230</v>
      </c>
      <c r="BC985">
        <v>239</v>
      </c>
      <c r="BD985" t="s">
        <v>74</v>
      </c>
      <c r="BE985" t="s">
        <v>19012</v>
      </c>
      <c r="BF985" t="str">
        <f>HYPERLINK("http://dx.doi.org/10.1093/pasj/psaa117","http://dx.doi.org/10.1093/pasj/psaa117")</f>
        <v>http://dx.doi.org/10.1093/pasj/psaa117</v>
      </c>
      <c r="BG985" t="s">
        <v>74</v>
      </c>
      <c r="BH985" t="s">
        <v>18459</v>
      </c>
      <c r="BI985">
        <v>10</v>
      </c>
      <c r="BJ985" t="s">
        <v>4844</v>
      </c>
      <c r="BK985" t="s">
        <v>101</v>
      </c>
      <c r="BL985" t="s">
        <v>4844</v>
      </c>
      <c r="BM985" t="s">
        <v>19013</v>
      </c>
      <c r="BN985" t="s">
        <v>74</v>
      </c>
      <c r="BO985" t="s">
        <v>74</v>
      </c>
      <c r="BP985" t="s">
        <v>74</v>
      </c>
      <c r="BQ985" t="s">
        <v>74</v>
      </c>
      <c r="BR985" t="s">
        <v>104</v>
      </c>
      <c r="BS985" t="s">
        <v>19014</v>
      </c>
      <c r="BT985" t="str">
        <f>HYPERLINK("https%3A%2F%2Fwww.webofscience.com%2Fwos%2Fwoscc%2Ffull-record%2FWOS:000640917300015","View Full Record in Web of Science")</f>
        <v>View Full Record in Web of Science</v>
      </c>
    </row>
    <row r="986" spans="1:72" x14ac:dyDescent="0.15">
      <c r="A986" t="s">
        <v>72</v>
      </c>
      <c r="B986" t="s">
        <v>19015</v>
      </c>
      <c r="C986" t="s">
        <v>74</v>
      </c>
      <c r="D986" t="s">
        <v>74</v>
      </c>
      <c r="E986" t="s">
        <v>74</v>
      </c>
      <c r="F986" t="s">
        <v>19016</v>
      </c>
      <c r="G986" t="s">
        <v>74</v>
      </c>
      <c r="H986" t="s">
        <v>74</v>
      </c>
      <c r="I986" t="s">
        <v>19017</v>
      </c>
      <c r="J986" t="s">
        <v>2119</v>
      </c>
      <c r="K986" t="s">
        <v>74</v>
      </c>
      <c r="L986" t="s">
        <v>74</v>
      </c>
      <c r="M986" t="s">
        <v>78</v>
      </c>
      <c r="N986" t="s">
        <v>1074</v>
      </c>
      <c r="O986" t="s">
        <v>74</v>
      </c>
      <c r="P986" t="s">
        <v>74</v>
      </c>
      <c r="Q986" t="s">
        <v>74</v>
      </c>
      <c r="R986" t="s">
        <v>74</v>
      </c>
      <c r="S986" t="s">
        <v>74</v>
      </c>
      <c r="T986" t="s">
        <v>19018</v>
      </c>
      <c r="U986" t="s">
        <v>19019</v>
      </c>
      <c r="V986" t="s">
        <v>19020</v>
      </c>
      <c r="W986" t="s">
        <v>19021</v>
      </c>
      <c r="X986" t="s">
        <v>19022</v>
      </c>
      <c r="Y986" t="s">
        <v>19023</v>
      </c>
      <c r="Z986" t="s">
        <v>19024</v>
      </c>
      <c r="AA986" t="s">
        <v>19025</v>
      </c>
      <c r="AB986" t="s">
        <v>19026</v>
      </c>
      <c r="AC986" t="s">
        <v>19027</v>
      </c>
      <c r="AD986" t="s">
        <v>19028</v>
      </c>
      <c r="AE986" t="s">
        <v>19029</v>
      </c>
      <c r="AF986" t="s">
        <v>74</v>
      </c>
      <c r="AG986">
        <v>94</v>
      </c>
      <c r="AH986">
        <v>12</v>
      </c>
      <c r="AI986">
        <v>12</v>
      </c>
      <c r="AJ986">
        <v>4</v>
      </c>
      <c r="AK986">
        <v>43</v>
      </c>
      <c r="AL986" t="s">
        <v>1058</v>
      </c>
      <c r="AM986" t="s">
        <v>891</v>
      </c>
      <c r="AN986" t="s">
        <v>1059</v>
      </c>
      <c r="AO986" t="s">
        <v>2129</v>
      </c>
      <c r="AP986" t="s">
        <v>2130</v>
      </c>
      <c r="AQ986" t="s">
        <v>74</v>
      </c>
      <c r="AR986" t="s">
        <v>2131</v>
      </c>
      <c r="AS986" t="s">
        <v>2132</v>
      </c>
      <c r="AT986" t="s">
        <v>1091</v>
      </c>
      <c r="AU986">
        <v>2021</v>
      </c>
      <c r="AV986">
        <v>191</v>
      </c>
      <c r="AW986" t="s">
        <v>74</v>
      </c>
      <c r="AX986" t="s">
        <v>74</v>
      </c>
      <c r="AY986" t="s">
        <v>74</v>
      </c>
      <c r="AZ986" t="s">
        <v>74</v>
      </c>
      <c r="BA986" t="s">
        <v>74</v>
      </c>
      <c r="BB986" t="s">
        <v>74</v>
      </c>
      <c r="BC986" t="s">
        <v>74</v>
      </c>
      <c r="BD986">
        <v>102510</v>
      </c>
      <c r="BE986" t="s">
        <v>19030</v>
      </c>
      <c r="BF986" t="str">
        <f>HYPERLINK("http://dx.doi.org/10.1016/j.pocean.2020.102510","http://dx.doi.org/10.1016/j.pocean.2020.102510")</f>
        <v>http://dx.doi.org/10.1016/j.pocean.2020.102510</v>
      </c>
      <c r="BG986" t="s">
        <v>74</v>
      </c>
      <c r="BH986" t="s">
        <v>18459</v>
      </c>
      <c r="BI986">
        <v>11</v>
      </c>
      <c r="BJ986" t="s">
        <v>369</v>
      </c>
      <c r="BK986" t="s">
        <v>101</v>
      </c>
      <c r="BL986" t="s">
        <v>369</v>
      </c>
      <c r="BM986" t="s">
        <v>19031</v>
      </c>
      <c r="BN986" t="s">
        <v>74</v>
      </c>
      <c r="BO986" t="s">
        <v>74</v>
      </c>
      <c r="BP986" t="s">
        <v>74</v>
      </c>
      <c r="BQ986" t="s">
        <v>74</v>
      </c>
      <c r="BR986" t="s">
        <v>104</v>
      </c>
      <c r="BS986" t="s">
        <v>19032</v>
      </c>
      <c r="BT986" t="str">
        <f>HYPERLINK("https%3A%2F%2Fwww.webofscience.com%2Fwos%2Fwoscc%2Ffull-record%2FWOS:000618570100001","View Full Record in Web of Science")</f>
        <v>View Full Record in Web of Science</v>
      </c>
    </row>
    <row r="987" spans="1:72" x14ac:dyDescent="0.15">
      <c r="A987" t="s">
        <v>72</v>
      </c>
      <c r="B987" t="s">
        <v>19033</v>
      </c>
      <c r="C987" t="s">
        <v>74</v>
      </c>
      <c r="D987" t="s">
        <v>74</v>
      </c>
      <c r="E987" t="s">
        <v>74</v>
      </c>
      <c r="F987" t="s">
        <v>19034</v>
      </c>
      <c r="G987" t="s">
        <v>74</v>
      </c>
      <c r="H987" t="s">
        <v>74</v>
      </c>
      <c r="I987" t="s">
        <v>19035</v>
      </c>
      <c r="J987" t="s">
        <v>2868</v>
      </c>
      <c r="K987" t="s">
        <v>74</v>
      </c>
      <c r="L987" t="s">
        <v>74</v>
      </c>
      <c r="M987" t="s">
        <v>78</v>
      </c>
      <c r="N987" t="s">
        <v>79</v>
      </c>
      <c r="O987" t="s">
        <v>74</v>
      </c>
      <c r="P987" t="s">
        <v>74</v>
      </c>
      <c r="Q987" t="s">
        <v>74</v>
      </c>
      <c r="R987" t="s">
        <v>74</v>
      </c>
      <c r="S987" t="s">
        <v>74</v>
      </c>
      <c r="T987" t="s">
        <v>19036</v>
      </c>
      <c r="U987" t="s">
        <v>19037</v>
      </c>
      <c r="V987" t="s">
        <v>19038</v>
      </c>
      <c r="W987" t="s">
        <v>19039</v>
      </c>
      <c r="X987" t="s">
        <v>19040</v>
      </c>
      <c r="Y987" t="s">
        <v>19041</v>
      </c>
      <c r="Z987" t="s">
        <v>19042</v>
      </c>
      <c r="AA987" t="s">
        <v>19043</v>
      </c>
      <c r="AB987" t="s">
        <v>19044</v>
      </c>
      <c r="AC987" t="s">
        <v>19045</v>
      </c>
      <c r="AD987" t="s">
        <v>19046</v>
      </c>
      <c r="AE987" t="s">
        <v>19047</v>
      </c>
      <c r="AF987" t="s">
        <v>74</v>
      </c>
      <c r="AG987">
        <v>62</v>
      </c>
      <c r="AH987">
        <v>9</v>
      </c>
      <c r="AI987">
        <v>10</v>
      </c>
      <c r="AJ987">
        <v>3</v>
      </c>
      <c r="AK987">
        <v>35</v>
      </c>
      <c r="AL987" t="s">
        <v>603</v>
      </c>
      <c r="AM987" t="s">
        <v>604</v>
      </c>
      <c r="AN987" t="s">
        <v>605</v>
      </c>
      <c r="AO987" t="s">
        <v>74</v>
      </c>
      <c r="AP987" t="s">
        <v>2881</v>
      </c>
      <c r="AQ987" t="s">
        <v>74</v>
      </c>
      <c r="AR987" t="s">
        <v>2882</v>
      </c>
      <c r="AS987" t="s">
        <v>2883</v>
      </c>
      <c r="AT987" t="s">
        <v>19048</v>
      </c>
      <c r="AU987">
        <v>2021</v>
      </c>
      <c r="AV987">
        <v>12</v>
      </c>
      <c r="AW987" t="s">
        <v>74</v>
      </c>
      <c r="AX987" t="s">
        <v>74</v>
      </c>
      <c r="AY987" t="s">
        <v>74</v>
      </c>
      <c r="AZ987" t="s">
        <v>74</v>
      </c>
      <c r="BA987" t="s">
        <v>74</v>
      </c>
      <c r="BB987" t="s">
        <v>74</v>
      </c>
      <c r="BC987" t="s">
        <v>74</v>
      </c>
      <c r="BD987">
        <v>609393</v>
      </c>
      <c r="BE987" t="s">
        <v>19049</v>
      </c>
      <c r="BF987" t="str">
        <f>HYPERLINK("http://dx.doi.org/10.3389/fmicb.2021.609393","http://dx.doi.org/10.3389/fmicb.2021.609393")</f>
        <v>http://dx.doi.org/10.3389/fmicb.2021.609393</v>
      </c>
      <c r="BG987" t="s">
        <v>74</v>
      </c>
      <c r="BH987" t="s">
        <v>74</v>
      </c>
      <c r="BI987">
        <v>11</v>
      </c>
      <c r="BJ987" t="s">
        <v>396</v>
      </c>
      <c r="BK987" t="s">
        <v>101</v>
      </c>
      <c r="BL987" t="s">
        <v>396</v>
      </c>
      <c r="BM987" t="s">
        <v>19050</v>
      </c>
      <c r="BN987">
        <v>33584613</v>
      </c>
      <c r="BO987" t="s">
        <v>558</v>
      </c>
      <c r="BP987" t="s">
        <v>74</v>
      </c>
      <c r="BQ987" t="s">
        <v>74</v>
      </c>
      <c r="BR987" t="s">
        <v>104</v>
      </c>
      <c r="BS987" t="s">
        <v>19051</v>
      </c>
      <c r="BT987" t="str">
        <f>HYPERLINK("https%3A%2F%2Fwww.webofscience.com%2Fwos%2Fwoscc%2Ffull-record%2FWOS:000616603400001","View Full Record in Web of Science")</f>
        <v>View Full Record in Web of Science</v>
      </c>
    </row>
    <row r="988" spans="1:72" x14ac:dyDescent="0.15">
      <c r="A988" t="s">
        <v>72</v>
      </c>
      <c r="B988" t="s">
        <v>19052</v>
      </c>
      <c r="C988" t="s">
        <v>74</v>
      </c>
      <c r="D988" t="s">
        <v>74</v>
      </c>
      <c r="E988" t="s">
        <v>74</v>
      </c>
      <c r="F988" t="s">
        <v>19053</v>
      </c>
      <c r="G988" t="s">
        <v>74</v>
      </c>
      <c r="H988" t="s">
        <v>74</v>
      </c>
      <c r="I988" t="s">
        <v>19054</v>
      </c>
      <c r="J988" t="s">
        <v>8677</v>
      </c>
      <c r="K988" t="s">
        <v>74</v>
      </c>
      <c r="L988" t="s">
        <v>74</v>
      </c>
      <c r="M988" t="s">
        <v>78</v>
      </c>
      <c r="N988" t="s">
        <v>79</v>
      </c>
      <c r="O988" t="s">
        <v>74</v>
      </c>
      <c r="P988" t="s">
        <v>74</v>
      </c>
      <c r="Q988" t="s">
        <v>74</v>
      </c>
      <c r="R988" t="s">
        <v>74</v>
      </c>
      <c r="S988" t="s">
        <v>74</v>
      </c>
      <c r="T988" t="s">
        <v>19055</v>
      </c>
      <c r="U988" t="s">
        <v>19056</v>
      </c>
      <c r="V988" t="s">
        <v>19057</v>
      </c>
      <c r="W988" t="s">
        <v>19058</v>
      </c>
      <c r="X988" t="s">
        <v>19059</v>
      </c>
      <c r="Y988" t="s">
        <v>19060</v>
      </c>
      <c r="Z988" t="s">
        <v>19061</v>
      </c>
      <c r="AA988" t="s">
        <v>19062</v>
      </c>
      <c r="AB988" t="s">
        <v>19063</v>
      </c>
      <c r="AC988" t="s">
        <v>19064</v>
      </c>
      <c r="AD988" t="s">
        <v>19065</v>
      </c>
      <c r="AE988" t="s">
        <v>19066</v>
      </c>
      <c r="AF988" t="s">
        <v>74</v>
      </c>
      <c r="AG988">
        <v>81</v>
      </c>
      <c r="AH988">
        <v>31</v>
      </c>
      <c r="AI988">
        <v>35</v>
      </c>
      <c r="AJ988">
        <v>9</v>
      </c>
      <c r="AK988">
        <v>142</v>
      </c>
      <c r="AL988" t="s">
        <v>576</v>
      </c>
      <c r="AM988" t="s">
        <v>577</v>
      </c>
      <c r="AN988" t="s">
        <v>578</v>
      </c>
      <c r="AO988" t="s">
        <v>8690</v>
      </c>
      <c r="AP988" t="s">
        <v>8691</v>
      </c>
      <c r="AQ988" t="s">
        <v>74</v>
      </c>
      <c r="AR988" t="s">
        <v>8692</v>
      </c>
      <c r="AS988" t="s">
        <v>8693</v>
      </c>
      <c r="AT988" t="s">
        <v>9514</v>
      </c>
      <c r="AU988">
        <v>2021</v>
      </c>
      <c r="AV988">
        <v>405</v>
      </c>
      <c r="AW988" t="s">
        <v>74</v>
      </c>
      <c r="AX988" t="s">
        <v>74</v>
      </c>
      <c r="AY988" t="s">
        <v>74</v>
      </c>
      <c r="AZ988" t="s">
        <v>74</v>
      </c>
      <c r="BA988" t="s">
        <v>74</v>
      </c>
      <c r="BB988" t="s">
        <v>74</v>
      </c>
      <c r="BC988" t="s">
        <v>74</v>
      </c>
      <c r="BD988">
        <v>124141</v>
      </c>
      <c r="BE988" t="s">
        <v>19067</v>
      </c>
      <c r="BF988" t="str">
        <f>HYPERLINK("http://dx.doi.org/10.1016/j.jhazmat.2020.124141","http://dx.doi.org/10.1016/j.jhazmat.2020.124141")</f>
        <v>http://dx.doi.org/10.1016/j.jhazmat.2020.124141</v>
      </c>
      <c r="BG988" t="s">
        <v>74</v>
      </c>
      <c r="BH988" t="s">
        <v>18459</v>
      </c>
      <c r="BI988">
        <v>13</v>
      </c>
      <c r="BJ988" t="s">
        <v>2483</v>
      </c>
      <c r="BK988" t="s">
        <v>101</v>
      </c>
      <c r="BL988" t="s">
        <v>2484</v>
      </c>
      <c r="BM988" t="s">
        <v>19068</v>
      </c>
      <c r="BN988">
        <v>33087285</v>
      </c>
      <c r="BO988" t="s">
        <v>74</v>
      </c>
      <c r="BP988" t="s">
        <v>74</v>
      </c>
      <c r="BQ988" t="s">
        <v>74</v>
      </c>
      <c r="BR988" t="s">
        <v>104</v>
      </c>
      <c r="BS988" t="s">
        <v>19069</v>
      </c>
      <c r="BT988" t="str">
        <f>HYPERLINK("https%3A%2F%2Fwww.webofscience.com%2Fwos%2Fwoscc%2Ffull-record%2FWOS:000616154800003","View Full Record in Web of Science")</f>
        <v>View Full Record in Web of Science</v>
      </c>
    </row>
    <row r="989" spans="1:72" x14ac:dyDescent="0.15">
      <c r="A989" t="s">
        <v>72</v>
      </c>
      <c r="B989" t="s">
        <v>19070</v>
      </c>
      <c r="C989" t="s">
        <v>74</v>
      </c>
      <c r="D989" t="s">
        <v>74</v>
      </c>
      <c r="E989" t="s">
        <v>74</v>
      </c>
      <c r="F989" t="s">
        <v>19071</v>
      </c>
      <c r="G989" t="s">
        <v>74</v>
      </c>
      <c r="H989" t="s">
        <v>74</v>
      </c>
      <c r="I989" t="s">
        <v>19072</v>
      </c>
      <c r="J989" t="s">
        <v>590</v>
      </c>
      <c r="K989" t="s">
        <v>74</v>
      </c>
      <c r="L989" t="s">
        <v>74</v>
      </c>
      <c r="M989" t="s">
        <v>78</v>
      </c>
      <c r="N989" t="s">
        <v>79</v>
      </c>
      <c r="O989" t="s">
        <v>74</v>
      </c>
      <c r="P989" t="s">
        <v>74</v>
      </c>
      <c r="Q989" t="s">
        <v>74</v>
      </c>
      <c r="R989" t="s">
        <v>74</v>
      </c>
      <c r="S989" t="s">
        <v>74</v>
      </c>
      <c r="T989" t="s">
        <v>19073</v>
      </c>
      <c r="U989" t="s">
        <v>19074</v>
      </c>
      <c r="V989" t="s">
        <v>19075</v>
      </c>
      <c r="W989" t="s">
        <v>19076</v>
      </c>
      <c r="X989" t="s">
        <v>19077</v>
      </c>
      <c r="Y989" t="s">
        <v>19078</v>
      </c>
      <c r="Z989" t="s">
        <v>19079</v>
      </c>
      <c r="AA989" t="s">
        <v>19080</v>
      </c>
      <c r="AB989" t="s">
        <v>19081</v>
      </c>
      <c r="AC989" t="s">
        <v>19082</v>
      </c>
      <c r="AD989" t="s">
        <v>19083</v>
      </c>
      <c r="AE989" t="s">
        <v>19084</v>
      </c>
      <c r="AF989" t="s">
        <v>74</v>
      </c>
      <c r="AG989">
        <v>83</v>
      </c>
      <c r="AH989">
        <v>2</v>
      </c>
      <c r="AI989">
        <v>2</v>
      </c>
      <c r="AJ989">
        <v>1</v>
      </c>
      <c r="AK989">
        <v>6</v>
      </c>
      <c r="AL989" t="s">
        <v>603</v>
      </c>
      <c r="AM989" t="s">
        <v>604</v>
      </c>
      <c r="AN989" t="s">
        <v>605</v>
      </c>
      <c r="AO989" t="s">
        <v>74</v>
      </c>
      <c r="AP989" t="s">
        <v>606</v>
      </c>
      <c r="AQ989" t="s">
        <v>74</v>
      </c>
      <c r="AR989" t="s">
        <v>607</v>
      </c>
      <c r="AS989" t="s">
        <v>608</v>
      </c>
      <c r="AT989" t="s">
        <v>19048</v>
      </c>
      <c r="AU989">
        <v>2021</v>
      </c>
      <c r="AV989">
        <v>8</v>
      </c>
      <c r="AW989" t="s">
        <v>74</v>
      </c>
      <c r="AX989" t="s">
        <v>74</v>
      </c>
      <c r="AY989" t="s">
        <v>74</v>
      </c>
      <c r="AZ989" t="s">
        <v>74</v>
      </c>
      <c r="BA989" t="s">
        <v>74</v>
      </c>
      <c r="BB989" t="s">
        <v>74</v>
      </c>
      <c r="BC989" t="s">
        <v>74</v>
      </c>
      <c r="BD989">
        <v>616105</v>
      </c>
      <c r="BE989" t="s">
        <v>19085</v>
      </c>
      <c r="BF989" t="str">
        <f>HYPERLINK("http://dx.doi.org/10.3389/feart.2020.616105","http://dx.doi.org/10.3389/feart.2020.616105")</f>
        <v>http://dx.doi.org/10.3389/feart.2020.616105</v>
      </c>
      <c r="BG989" t="s">
        <v>74</v>
      </c>
      <c r="BH989" t="s">
        <v>74</v>
      </c>
      <c r="BI989">
        <v>18</v>
      </c>
      <c r="BJ989" t="s">
        <v>100</v>
      </c>
      <c r="BK989" t="s">
        <v>101</v>
      </c>
      <c r="BL989" t="s">
        <v>102</v>
      </c>
      <c r="BM989" t="s">
        <v>19086</v>
      </c>
      <c r="BN989" t="s">
        <v>74</v>
      </c>
      <c r="BO989" t="s">
        <v>558</v>
      </c>
      <c r="BP989" t="s">
        <v>74</v>
      </c>
      <c r="BQ989" t="s">
        <v>74</v>
      </c>
      <c r="BR989" t="s">
        <v>104</v>
      </c>
      <c r="BS989" t="s">
        <v>19087</v>
      </c>
      <c r="BT989" t="str">
        <f>HYPERLINK("https%3A%2F%2Fwww.webofscience.com%2Fwos%2Fwoscc%2Ffull-record%2FWOS:000616514700001","View Full Record in Web of Science")</f>
        <v>View Full Record in Web of Science</v>
      </c>
    </row>
    <row r="990" spans="1:72" x14ac:dyDescent="0.15">
      <c r="A990" t="s">
        <v>72</v>
      </c>
      <c r="B990" t="s">
        <v>19088</v>
      </c>
      <c r="C990" t="s">
        <v>74</v>
      </c>
      <c r="D990" t="s">
        <v>74</v>
      </c>
      <c r="E990" t="s">
        <v>74</v>
      </c>
      <c r="F990" t="s">
        <v>19089</v>
      </c>
      <c r="G990" t="s">
        <v>74</v>
      </c>
      <c r="H990" t="s">
        <v>74</v>
      </c>
      <c r="I990" t="s">
        <v>19090</v>
      </c>
      <c r="J990" t="s">
        <v>19091</v>
      </c>
      <c r="K990" t="s">
        <v>74</v>
      </c>
      <c r="L990" t="s">
        <v>74</v>
      </c>
      <c r="M990" t="s">
        <v>78</v>
      </c>
      <c r="N990" t="s">
        <v>79</v>
      </c>
      <c r="O990" t="s">
        <v>74</v>
      </c>
      <c r="P990" t="s">
        <v>74</v>
      </c>
      <c r="Q990" t="s">
        <v>74</v>
      </c>
      <c r="R990" t="s">
        <v>74</v>
      </c>
      <c r="S990" t="s">
        <v>74</v>
      </c>
      <c r="T990" t="s">
        <v>19092</v>
      </c>
      <c r="U990" t="s">
        <v>19093</v>
      </c>
      <c r="V990" t="s">
        <v>19094</v>
      </c>
      <c r="W990" t="s">
        <v>19095</v>
      </c>
      <c r="X990" t="s">
        <v>19096</v>
      </c>
      <c r="Y990" t="s">
        <v>19097</v>
      </c>
      <c r="Z990" t="s">
        <v>19098</v>
      </c>
      <c r="AA990" t="s">
        <v>19099</v>
      </c>
      <c r="AB990" t="s">
        <v>19100</v>
      </c>
      <c r="AC990" t="s">
        <v>19101</v>
      </c>
      <c r="AD990" t="s">
        <v>19101</v>
      </c>
      <c r="AE990" t="s">
        <v>19102</v>
      </c>
      <c r="AF990" t="s">
        <v>74</v>
      </c>
      <c r="AG990">
        <v>49</v>
      </c>
      <c r="AH990">
        <v>8</v>
      </c>
      <c r="AI990">
        <v>10</v>
      </c>
      <c r="AJ990">
        <v>2</v>
      </c>
      <c r="AK990">
        <v>24</v>
      </c>
      <c r="AL990" t="s">
        <v>3801</v>
      </c>
      <c r="AM990" t="s">
        <v>1909</v>
      </c>
      <c r="AN990" t="s">
        <v>3802</v>
      </c>
      <c r="AO990" t="s">
        <v>19103</v>
      </c>
      <c r="AP990" t="s">
        <v>19104</v>
      </c>
      <c r="AQ990" t="s">
        <v>74</v>
      </c>
      <c r="AR990" t="s">
        <v>19105</v>
      </c>
      <c r="AS990" t="s">
        <v>19106</v>
      </c>
      <c r="AT990" t="s">
        <v>19048</v>
      </c>
      <c r="AU990">
        <v>2021</v>
      </c>
      <c r="AV990">
        <v>17</v>
      </c>
      <c r="AW990">
        <v>1</v>
      </c>
      <c r="AX990" t="s">
        <v>74</v>
      </c>
      <c r="AY990" t="s">
        <v>74</v>
      </c>
      <c r="AZ990" t="s">
        <v>74</v>
      </c>
      <c r="BA990" t="s">
        <v>74</v>
      </c>
      <c r="BB990" t="s">
        <v>74</v>
      </c>
      <c r="BC990" t="s">
        <v>74</v>
      </c>
      <c r="BD990">
        <v>20200708</v>
      </c>
      <c r="BE990" t="s">
        <v>19107</v>
      </c>
      <c r="BF990" t="str">
        <f>HYPERLINK("http://dx.doi.org/10.1098/rsbl.2020.0708","http://dx.doi.org/10.1098/rsbl.2020.0708")</f>
        <v>http://dx.doi.org/10.1098/rsbl.2020.0708</v>
      </c>
      <c r="BG990" t="s">
        <v>74</v>
      </c>
      <c r="BH990" t="s">
        <v>74</v>
      </c>
      <c r="BI990">
        <v>6</v>
      </c>
      <c r="BJ990" t="s">
        <v>6473</v>
      </c>
      <c r="BK990" t="s">
        <v>101</v>
      </c>
      <c r="BL990" t="s">
        <v>6474</v>
      </c>
      <c r="BM990" t="s">
        <v>19108</v>
      </c>
      <c r="BN990">
        <v>33497589</v>
      </c>
      <c r="BO990" t="s">
        <v>227</v>
      </c>
      <c r="BP990" t="s">
        <v>74</v>
      </c>
      <c r="BQ990" t="s">
        <v>74</v>
      </c>
      <c r="BR990" t="s">
        <v>104</v>
      </c>
      <c r="BS990" t="s">
        <v>19109</v>
      </c>
      <c r="BT990" t="str">
        <f>HYPERLINK("https%3A%2F%2Fwww.webofscience.com%2Fwos%2Fwoscc%2Ffull-record%2FWOS:000613728500001","View Full Record in Web of Science")</f>
        <v>View Full Record in Web of Science</v>
      </c>
    </row>
    <row r="991" spans="1:72" x14ac:dyDescent="0.15">
      <c r="A991" t="s">
        <v>72</v>
      </c>
      <c r="B991" t="s">
        <v>19110</v>
      </c>
      <c r="C991" t="s">
        <v>74</v>
      </c>
      <c r="D991" t="s">
        <v>74</v>
      </c>
      <c r="E991" t="s">
        <v>74</v>
      </c>
      <c r="F991" t="s">
        <v>19111</v>
      </c>
      <c r="G991" t="s">
        <v>74</v>
      </c>
      <c r="H991" t="s">
        <v>74</v>
      </c>
      <c r="I991" t="s">
        <v>19112</v>
      </c>
      <c r="J991" t="s">
        <v>1833</v>
      </c>
      <c r="K991" t="s">
        <v>74</v>
      </c>
      <c r="L991" t="s">
        <v>74</v>
      </c>
      <c r="M991" t="s">
        <v>78</v>
      </c>
      <c r="N991" t="s">
        <v>79</v>
      </c>
      <c r="O991" t="s">
        <v>74</v>
      </c>
      <c r="P991" t="s">
        <v>74</v>
      </c>
      <c r="Q991" t="s">
        <v>74</v>
      </c>
      <c r="R991" t="s">
        <v>74</v>
      </c>
      <c r="S991" t="s">
        <v>74</v>
      </c>
      <c r="T991" t="s">
        <v>74</v>
      </c>
      <c r="U991" t="s">
        <v>19113</v>
      </c>
      <c r="V991" t="s">
        <v>19114</v>
      </c>
      <c r="W991" t="s">
        <v>19115</v>
      </c>
      <c r="X991" t="s">
        <v>19116</v>
      </c>
      <c r="Y991" t="s">
        <v>19117</v>
      </c>
      <c r="Z991" t="s">
        <v>19118</v>
      </c>
      <c r="AA991" t="s">
        <v>74</v>
      </c>
      <c r="AB991" t="s">
        <v>19119</v>
      </c>
      <c r="AC991" t="s">
        <v>19120</v>
      </c>
      <c r="AD991" t="s">
        <v>5998</v>
      </c>
      <c r="AE991" t="s">
        <v>19121</v>
      </c>
      <c r="AF991" t="s">
        <v>74</v>
      </c>
      <c r="AG991">
        <v>51</v>
      </c>
      <c r="AH991">
        <v>1</v>
      </c>
      <c r="AI991">
        <v>1</v>
      </c>
      <c r="AJ991">
        <v>3</v>
      </c>
      <c r="AK991">
        <v>5</v>
      </c>
      <c r="AL991" t="s">
        <v>917</v>
      </c>
      <c r="AM991" t="s">
        <v>390</v>
      </c>
      <c r="AN991" t="s">
        <v>918</v>
      </c>
      <c r="AO991" t="s">
        <v>1846</v>
      </c>
      <c r="AP991" t="s">
        <v>1847</v>
      </c>
      <c r="AQ991" t="s">
        <v>74</v>
      </c>
      <c r="AR991" t="s">
        <v>1848</v>
      </c>
      <c r="AS991" t="s">
        <v>1849</v>
      </c>
      <c r="AT991" t="s">
        <v>19048</v>
      </c>
      <c r="AU991">
        <v>2021</v>
      </c>
      <c r="AV991">
        <v>126</v>
      </c>
      <c r="AW991">
        <v>2</v>
      </c>
      <c r="AX991" t="s">
        <v>74</v>
      </c>
      <c r="AY991" t="s">
        <v>74</v>
      </c>
      <c r="AZ991" t="s">
        <v>74</v>
      </c>
      <c r="BA991" t="s">
        <v>74</v>
      </c>
      <c r="BB991" t="s">
        <v>74</v>
      </c>
      <c r="BC991" t="s">
        <v>74</v>
      </c>
      <c r="BD991" t="s">
        <v>19122</v>
      </c>
      <c r="BE991" t="s">
        <v>19123</v>
      </c>
      <c r="BF991" t="str">
        <f>HYPERLINK("http://dx.doi.org/10.1029/2020JD033389","http://dx.doi.org/10.1029/2020JD033389")</f>
        <v>http://dx.doi.org/10.1029/2020JD033389</v>
      </c>
      <c r="BG991" t="s">
        <v>74</v>
      </c>
      <c r="BH991" t="s">
        <v>74</v>
      </c>
      <c r="BI991">
        <v>17</v>
      </c>
      <c r="BJ991" t="s">
        <v>129</v>
      </c>
      <c r="BK991" t="s">
        <v>101</v>
      </c>
      <c r="BL991" t="s">
        <v>129</v>
      </c>
      <c r="BM991" t="s">
        <v>19124</v>
      </c>
      <c r="BN991" t="s">
        <v>74</v>
      </c>
      <c r="BO991" t="s">
        <v>712</v>
      </c>
      <c r="BP991" t="s">
        <v>74</v>
      </c>
      <c r="BQ991" t="s">
        <v>74</v>
      </c>
      <c r="BR991" t="s">
        <v>104</v>
      </c>
      <c r="BS991" t="s">
        <v>19125</v>
      </c>
      <c r="BT991" t="str">
        <f>HYPERLINK("https%3A%2F%2Fwww.webofscience.com%2Fwos%2Fwoscc%2Ffull-record%2FWOS:000613703000011","View Full Record in Web of Science")</f>
        <v>View Full Record in Web of Science</v>
      </c>
    </row>
    <row r="992" spans="1:72" x14ac:dyDescent="0.15">
      <c r="A992" t="s">
        <v>72</v>
      </c>
      <c r="B992" t="s">
        <v>19126</v>
      </c>
      <c r="C992" t="s">
        <v>74</v>
      </c>
      <c r="D992" t="s">
        <v>74</v>
      </c>
      <c r="E992" t="s">
        <v>74</v>
      </c>
      <c r="F992" t="s">
        <v>19127</v>
      </c>
      <c r="G992" t="s">
        <v>74</v>
      </c>
      <c r="H992" t="s">
        <v>74</v>
      </c>
      <c r="I992" t="s">
        <v>19128</v>
      </c>
      <c r="J992" t="s">
        <v>1833</v>
      </c>
      <c r="K992" t="s">
        <v>74</v>
      </c>
      <c r="L992" t="s">
        <v>74</v>
      </c>
      <c r="M992" t="s">
        <v>78</v>
      </c>
      <c r="N992" t="s">
        <v>79</v>
      </c>
      <c r="O992" t="s">
        <v>74</v>
      </c>
      <c r="P992" t="s">
        <v>74</v>
      </c>
      <c r="Q992" t="s">
        <v>74</v>
      </c>
      <c r="R992" t="s">
        <v>74</v>
      </c>
      <c r="S992" t="s">
        <v>74</v>
      </c>
      <c r="T992" t="s">
        <v>19129</v>
      </c>
      <c r="U992" t="s">
        <v>19130</v>
      </c>
      <c r="V992" t="s">
        <v>19131</v>
      </c>
      <c r="W992" t="s">
        <v>19132</v>
      </c>
      <c r="X992" t="s">
        <v>19133</v>
      </c>
      <c r="Y992" t="s">
        <v>19134</v>
      </c>
      <c r="Z992" t="s">
        <v>19135</v>
      </c>
      <c r="AA992" t="s">
        <v>19136</v>
      </c>
      <c r="AB992" t="s">
        <v>19137</v>
      </c>
      <c r="AC992" t="s">
        <v>19138</v>
      </c>
      <c r="AD992" t="s">
        <v>19139</v>
      </c>
      <c r="AE992" t="s">
        <v>19140</v>
      </c>
      <c r="AF992" t="s">
        <v>74</v>
      </c>
      <c r="AG992">
        <v>72</v>
      </c>
      <c r="AH992">
        <v>4</v>
      </c>
      <c r="AI992">
        <v>6</v>
      </c>
      <c r="AJ992">
        <v>3</v>
      </c>
      <c r="AK992">
        <v>26</v>
      </c>
      <c r="AL992" t="s">
        <v>917</v>
      </c>
      <c r="AM992" t="s">
        <v>390</v>
      </c>
      <c r="AN992" t="s">
        <v>918</v>
      </c>
      <c r="AO992" t="s">
        <v>1846</v>
      </c>
      <c r="AP992" t="s">
        <v>1847</v>
      </c>
      <c r="AQ992" t="s">
        <v>74</v>
      </c>
      <c r="AR992" t="s">
        <v>1848</v>
      </c>
      <c r="AS992" t="s">
        <v>1849</v>
      </c>
      <c r="AT992" t="s">
        <v>19048</v>
      </c>
      <c r="AU992">
        <v>2021</v>
      </c>
      <c r="AV992">
        <v>126</v>
      </c>
      <c r="AW992">
        <v>2</v>
      </c>
      <c r="AX992" t="s">
        <v>74</v>
      </c>
      <c r="AY992" t="s">
        <v>74</v>
      </c>
      <c r="AZ992" t="s">
        <v>74</v>
      </c>
      <c r="BA992" t="s">
        <v>74</v>
      </c>
      <c r="BB992" t="s">
        <v>74</v>
      </c>
      <c r="BC992" t="s">
        <v>74</v>
      </c>
      <c r="BD992" t="s">
        <v>19141</v>
      </c>
      <c r="BE992" t="s">
        <v>19142</v>
      </c>
      <c r="BF992" t="str">
        <f>HYPERLINK("http://dx.doi.org/10.1029/2020JD033936","http://dx.doi.org/10.1029/2020JD033936")</f>
        <v>http://dx.doi.org/10.1029/2020JD033936</v>
      </c>
      <c r="BG992" t="s">
        <v>74</v>
      </c>
      <c r="BH992" t="s">
        <v>74</v>
      </c>
      <c r="BI992">
        <v>20</v>
      </c>
      <c r="BJ992" t="s">
        <v>129</v>
      </c>
      <c r="BK992" t="s">
        <v>101</v>
      </c>
      <c r="BL992" t="s">
        <v>129</v>
      </c>
      <c r="BM992" t="s">
        <v>19124</v>
      </c>
      <c r="BN992" t="s">
        <v>74</v>
      </c>
      <c r="BO992" t="s">
        <v>398</v>
      </c>
      <c r="BP992" t="s">
        <v>74</v>
      </c>
      <c r="BQ992" t="s">
        <v>74</v>
      </c>
      <c r="BR992" t="s">
        <v>104</v>
      </c>
      <c r="BS992" t="s">
        <v>19143</v>
      </c>
      <c r="BT992" t="str">
        <f>HYPERLINK("https%3A%2F%2Fwww.webofscience.com%2Fwos%2Fwoscc%2Ffull-record%2FWOS:000613703000003","View Full Record in Web of Science")</f>
        <v>View Full Record in Web of Science</v>
      </c>
    </row>
    <row r="993" spans="1:72" x14ac:dyDescent="0.15">
      <c r="A993" t="s">
        <v>72</v>
      </c>
      <c r="B993" t="s">
        <v>19144</v>
      </c>
      <c r="C993" t="s">
        <v>74</v>
      </c>
      <c r="D993" t="s">
        <v>74</v>
      </c>
      <c r="E993" t="s">
        <v>74</v>
      </c>
      <c r="F993" t="s">
        <v>19145</v>
      </c>
      <c r="G993" t="s">
        <v>74</v>
      </c>
      <c r="H993" t="s">
        <v>74</v>
      </c>
      <c r="I993" t="s">
        <v>19146</v>
      </c>
      <c r="J993" t="s">
        <v>19147</v>
      </c>
      <c r="K993" t="s">
        <v>74</v>
      </c>
      <c r="L993" t="s">
        <v>74</v>
      </c>
      <c r="M993" t="s">
        <v>78</v>
      </c>
      <c r="N993" t="s">
        <v>79</v>
      </c>
      <c r="O993" t="s">
        <v>74</v>
      </c>
      <c r="P993" t="s">
        <v>74</v>
      </c>
      <c r="Q993" t="s">
        <v>74</v>
      </c>
      <c r="R993" t="s">
        <v>74</v>
      </c>
      <c r="S993" t="s">
        <v>74</v>
      </c>
      <c r="T993" t="s">
        <v>19148</v>
      </c>
      <c r="U993" t="s">
        <v>19149</v>
      </c>
      <c r="V993" t="s">
        <v>19150</v>
      </c>
      <c r="W993" t="s">
        <v>19151</v>
      </c>
      <c r="X993" t="s">
        <v>19152</v>
      </c>
      <c r="Y993" t="s">
        <v>19153</v>
      </c>
      <c r="Z993" t="s">
        <v>19154</v>
      </c>
      <c r="AA993" t="s">
        <v>19155</v>
      </c>
      <c r="AB993" t="s">
        <v>19156</v>
      </c>
      <c r="AC993" t="s">
        <v>19157</v>
      </c>
      <c r="AD993" t="s">
        <v>19158</v>
      </c>
      <c r="AE993" t="s">
        <v>19159</v>
      </c>
      <c r="AF993" t="s">
        <v>74</v>
      </c>
      <c r="AG993">
        <v>181</v>
      </c>
      <c r="AH993">
        <v>4</v>
      </c>
      <c r="AI993">
        <v>5</v>
      </c>
      <c r="AJ993">
        <v>4</v>
      </c>
      <c r="AK993">
        <v>20</v>
      </c>
      <c r="AL993" t="s">
        <v>166</v>
      </c>
      <c r="AM993" t="s">
        <v>192</v>
      </c>
      <c r="AN993" t="s">
        <v>193</v>
      </c>
      <c r="AO993" t="s">
        <v>19160</v>
      </c>
      <c r="AP993" t="s">
        <v>19161</v>
      </c>
      <c r="AQ993" t="s">
        <v>74</v>
      </c>
      <c r="AR993" t="s">
        <v>19147</v>
      </c>
      <c r="AS993" t="s">
        <v>19162</v>
      </c>
      <c r="AT993" t="s">
        <v>707</v>
      </c>
      <c r="AU993">
        <v>2021</v>
      </c>
      <c r="AV993">
        <v>50</v>
      </c>
      <c r="AW993">
        <v>6</v>
      </c>
      <c r="AX993" t="s">
        <v>74</v>
      </c>
      <c r="AY993" t="s">
        <v>74</v>
      </c>
      <c r="AZ993" t="s">
        <v>803</v>
      </c>
      <c r="BA993" t="s">
        <v>74</v>
      </c>
      <c r="BB993">
        <v>1184</v>
      </c>
      <c r="BC993">
        <v>1199</v>
      </c>
      <c r="BD993" t="s">
        <v>74</v>
      </c>
      <c r="BE993" t="s">
        <v>19163</v>
      </c>
      <c r="BF993" t="str">
        <f>HYPERLINK("http://dx.doi.org/10.1007/s13280-020-01472-z","http://dx.doi.org/10.1007/s13280-020-01472-z")</f>
        <v>http://dx.doi.org/10.1007/s13280-020-01472-z</v>
      </c>
      <c r="BG993" t="s">
        <v>74</v>
      </c>
      <c r="BH993" t="s">
        <v>18459</v>
      </c>
      <c r="BI993">
        <v>16</v>
      </c>
      <c r="BJ993" t="s">
        <v>2483</v>
      </c>
      <c r="BK993" t="s">
        <v>101</v>
      </c>
      <c r="BL993" t="s">
        <v>2484</v>
      </c>
      <c r="BM993" t="s">
        <v>19164</v>
      </c>
      <c r="BN993">
        <v>33502683</v>
      </c>
      <c r="BO993" t="s">
        <v>227</v>
      </c>
      <c r="BP993" t="s">
        <v>74</v>
      </c>
      <c r="BQ993" t="s">
        <v>74</v>
      </c>
      <c r="BR993" t="s">
        <v>104</v>
      </c>
      <c r="BS993" t="s">
        <v>19165</v>
      </c>
      <c r="BT993" t="str">
        <f>HYPERLINK("https%3A%2F%2Fwww.webofscience.com%2Fwos%2Fwoscc%2Ffull-record%2FWOS:000612253900001","View Full Record in Web of Science")</f>
        <v>View Full Record in Web of Science</v>
      </c>
    </row>
    <row r="994" spans="1:72" x14ac:dyDescent="0.15">
      <c r="A994" t="s">
        <v>72</v>
      </c>
      <c r="B994" t="s">
        <v>19166</v>
      </c>
      <c r="C994" t="s">
        <v>74</v>
      </c>
      <c r="D994" t="s">
        <v>74</v>
      </c>
      <c r="E994" t="s">
        <v>74</v>
      </c>
      <c r="F994" t="s">
        <v>19167</v>
      </c>
      <c r="G994" t="s">
        <v>74</v>
      </c>
      <c r="H994" t="s">
        <v>74</v>
      </c>
      <c r="I994" t="s">
        <v>19168</v>
      </c>
      <c r="J994" t="s">
        <v>2868</v>
      </c>
      <c r="K994" t="s">
        <v>74</v>
      </c>
      <c r="L994" t="s">
        <v>74</v>
      </c>
      <c r="M994" t="s">
        <v>78</v>
      </c>
      <c r="N994" t="s">
        <v>79</v>
      </c>
      <c r="O994" t="s">
        <v>74</v>
      </c>
      <c r="P994" t="s">
        <v>74</v>
      </c>
      <c r="Q994" t="s">
        <v>74</v>
      </c>
      <c r="R994" t="s">
        <v>74</v>
      </c>
      <c r="S994" t="s">
        <v>74</v>
      </c>
      <c r="T994" t="s">
        <v>19169</v>
      </c>
      <c r="U994" t="s">
        <v>19170</v>
      </c>
      <c r="V994" t="s">
        <v>19171</v>
      </c>
      <c r="W994" t="s">
        <v>19172</v>
      </c>
      <c r="X994" t="s">
        <v>19173</v>
      </c>
      <c r="Y994" t="s">
        <v>19174</v>
      </c>
      <c r="Z994" t="s">
        <v>19175</v>
      </c>
      <c r="AA994" t="s">
        <v>19176</v>
      </c>
      <c r="AB994" t="s">
        <v>74</v>
      </c>
      <c r="AC994" t="s">
        <v>19177</v>
      </c>
      <c r="AD994" t="s">
        <v>19178</v>
      </c>
      <c r="AE994" t="s">
        <v>19179</v>
      </c>
      <c r="AF994" t="s">
        <v>74</v>
      </c>
      <c r="AG994">
        <v>85</v>
      </c>
      <c r="AH994">
        <v>12</v>
      </c>
      <c r="AI994">
        <v>15</v>
      </c>
      <c r="AJ994">
        <v>9</v>
      </c>
      <c r="AK994">
        <v>40</v>
      </c>
      <c r="AL994" t="s">
        <v>603</v>
      </c>
      <c r="AM994" t="s">
        <v>604</v>
      </c>
      <c r="AN994" t="s">
        <v>605</v>
      </c>
      <c r="AO994" t="s">
        <v>74</v>
      </c>
      <c r="AP994" t="s">
        <v>2881</v>
      </c>
      <c r="AQ994" t="s">
        <v>74</v>
      </c>
      <c r="AR994" t="s">
        <v>2882</v>
      </c>
      <c r="AS994" t="s">
        <v>2883</v>
      </c>
      <c r="AT994" t="s">
        <v>19048</v>
      </c>
      <c r="AU994">
        <v>2021</v>
      </c>
      <c r="AV994">
        <v>12</v>
      </c>
      <c r="AW994" t="s">
        <v>74</v>
      </c>
      <c r="AX994" t="s">
        <v>74</v>
      </c>
      <c r="AY994" t="s">
        <v>74</v>
      </c>
      <c r="AZ994" t="s">
        <v>74</v>
      </c>
      <c r="BA994" t="s">
        <v>74</v>
      </c>
      <c r="BB994" t="s">
        <v>74</v>
      </c>
      <c r="BC994" t="s">
        <v>74</v>
      </c>
      <c r="BD994">
        <v>616730</v>
      </c>
      <c r="BE994" t="s">
        <v>19180</v>
      </c>
      <c r="BF994" t="str">
        <f>HYPERLINK("http://dx.doi.org/10.3389/fmicb.2021.616730","http://dx.doi.org/10.3389/fmicb.2021.616730")</f>
        <v>http://dx.doi.org/10.3389/fmicb.2021.616730</v>
      </c>
      <c r="BG994" t="s">
        <v>74</v>
      </c>
      <c r="BH994" t="s">
        <v>74</v>
      </c>
      <c r="BI994">
        <v>10</v>
      </c>
      <c r="BJ994" t="s">
        <v>396</v>
      </c>
      <c r="BK994" t="s">
        <v>101</v>
      </c>
      <c r="BL994" t="s">
        <v>396</v>
      </c>
      <c r="BM994" t="s">
        <v>19181</v>
      </c>
      <c r="BN994">
        <v>33584618</v>
      </c>
      <c r="BO994" t="s">
        <v>558</v>
      </c>
      <c r="BP994" t="s">
        <v>74</v>
      </c>
      <c r="BQ994" t="s">
        <v>74</v>
      </c>
      <c r="BR994" t="s">
        <v>104</v>
      </c>
      <c r="BS994" t="s">
        <v>19182</v>
      </c>
      <c r="BT994" t="str">
        <f>HYPERLINK("https%3A%2F%2Fwww.webofscience.com%2Fwos%2Fwoscc%2Ffull-record%2FWOS:000616514400001","View Full Record in Web of Science")</f>
        <v>View Full Record in Web of Science</v>
      </c>
    </row>
    <row r="995" spans="1:72" x14ac:dyDescent="0.15">
      <c r="A995" t="s">
        <v>72</v>
      </c>
      <c r="B995" t="s">
        <v>19183</v>
      </c>
      <c r="C995" t="s">
        <v>74</v>
      </c>
      <c r="D995" t="s">
        <v>74</v>
      </c>
      <c r="E995" t="s">
        <v>74</v>
      </c>
      <c r="F995" t="s">
        <v>19184</v>
      </c>
      <c r="G995" t="s">
        <v>74</v>
      </c>
      <c r="H995" t="s">
        <v>74</v>
      </c>
      <c r="I995" t="s">
        <v>19185</v>
      </c>
      <c r="J995" t="s">
        <v>2021</v>
      </c>
      <c r="K995" t="s">
        <v>74</v>
      </c>
      <c r="L995" t="s">
        <v>74</v>
      </c>
      <c r="M995" t="s">
        <v>78</v>
      </c>
      <c r="N995" t="s">
        <v>79</v>
      </c>
      <c r="O995" t="s">
        <v>74</v>
      </c>
      <c r="P995" t="s">
        <v>74</v>
      </c>
      <c r="Q995" t="s">
        <v>74</v>
      </c>
      <c r="R995" t="s">
        <v>74</v>
      </c>
      <c r="S995" t="s">
        <v>74</v>
      </c>
      <c r="T995" t="s">
        <v>74</v>
      </c>
      <c r="U995" t="s">
        <v>19186</v>
      </c>
      <c r="V995" t="s">
        <v>19187</v>
      </c>
      <c r="W995" t="s">
        <v>19188</v>
      </c>
      <c r="X995" t="s">
        <v>19189</v>
      </c>
      <c r="Y995" t="s">
        <v>19190</v>
      </c>
      <c r="Z995" t="s">
        <v>19191</v>
      </c>
      <c r="AA995" t="s">
        <v>19192</v>
      </c>
      <c r="AB995" t="s">
        <v>19193</v>
      </c>
      <c r="AC995" t="s">
        <v>19194</v>
      </c>
      <c r="AD995" t="s">
        <v>19195</v>
      </c>
      <c r="AE995" t="s">
        <v>19196</v>
      </c>
      <c r="AF995" t="s">
        <v>74</v>
      </c>
      <c r="AG995">
        <v>42</v>
      </c>
      <c r="AH995">
        <v>17</v>
      </c>
      <c r="AI995">
        <v>18</v>
      </c>
      <c r="AJ995">
        <v>2</v>
      </c>
      <c r="AK995">
        <v>8</v>
      </c>
      <c r="AL995" t="s">
        <v>861</v>
      </c>
      <c r="AM995" t="s">
        <v>862</v>
      </c>
      <c r="AN995" t="s">
        <v>863</v>
      </c>
      <c r="AO995" t="s">
        <v>2033</v>
      </c>
      <c r="AP995" t="s">
        <v>74</v>
      </c>
      <c r="AQ995" t="s">
        <v>74</v>
      </c>
      <c r="AR995" t="s">
        <v>2034</v>
      </c>
      <c r="AS995" t="s">
        <v>2035</v>
      </c>
      <c r="AT995" t="s">
        <v>19197</v>
      </c>
      <c r="AU995">
        <v>2021</v>
      </c>
      <c r="AV995">
        <v>11</v>
      </c>
      <c r="AW995">
        <v>1</v>
      </c>
      <c r="AX995" t="s">
        <v>74</v>
      </c>
      <c r="AY995" t="s">
        <v>74</v>
      </c>
      <c r="AZ995" t="s">
        <v>74</v>
      </c>
      <c r="BA995" t="s">
        <v>74</v>
      </c>
      <c r="BB995" t="s">
        <v>74</v>
      </c>
      <c r="BC995" t="s">
        <v>74</v>
      </c>
      <c r="BD995">
        <v>2246</v>
      </c>
      <c r="BE995" t="s">
        <v>19198</v>
      </c>
      <c r="BF995" t="str">
        <f>HYPERLINK("http://dx.doi.org/10.1038/s41598-021-81793-5","http://dx.doi.org/10.1038/s41598-021-81793-5")</f>
        <v>http://dx.doi.org/10.1038/s41598-021-81793-5</v>
      </c>
      <c r="BG995" t="s">
        <v>74</v>
      </c>
      <c r="BH995" t="s">
        <v>74</v>
      </c>
      <c r="BI995">
        <v>11</v>
      </c>
      <c r="BJ995" t="s">
        <v>555</v>
      </c>
      <c r="BK995" t="s">
        <v>101</v>
      </c>
      <c r="BL995" t="s">
        <v>556</v>
      </c>
      <c r="BM995" t="s">
        <v>19199</v>
      </c>
      <c r="BN995">
        <v>33500521</v>
      </c>
      <c r="BO995" t="s">
        <v>558</v>
      </c>
      <c r="BP995" t="s">
        <v>74</v>
      </c>
      <c r="BQ995" t="s">
        <v>74</v>
      </c>
      <c r="BR995" t="s">
        <v>104</v>
      </c>
      <c r="BS995" t="s">
        <v>19200</v>
      </c>
      <c r="BT995" t="str">
        <f>HYPERLINK("https%3A%2F%2Fwww.webofscience.com%2Fwos%2Fwoscc%2Ffull-record%2FWOS:000665064000001","View Full Record in Web of Science")</f>
        <v>View Full Record in Web of Science</v>
      </c>
    </row>
    <row r="996" spans="1:72" x14ac:dyDescent="0.15">
      <c r="A996" t="s">
        <v>72</v>
      </c>
      <c r="B996" t="s">
        <v>19201</v>
      </c>
      <c r="C996" t="s">
        <v>74</v>
      </c>
      <c r="D996" t="s">
        <v>74</v>
      </c>
      <c r="E996" t="s">
        <v>74</v>
      </c>
      <c r="F996" t="s">
        <v>19202</v>
      </c>
      <c r="G996" t="s">
        <v>74</v>
      </c>
      <c r="H996" t="s">
        <v>74</v>
      </c>
      <c r="I996" t="s">
        <v>19203</v>
      </c>
      <c r="J996" t="s">
        <v>19204</v>
      </c>
      <c r="K996" t="s">
        <v>74</v>
      </c>
      <c r="L996" t="s">
        <v>74</v>
      </c>
      <c r="M996" t="s">
        <v>78</v>
      </c>
      <c r="N996" t="s">
        <v>79</v>
      </c>
      <c r="O996" t="s">
        <v>74</v>
      </c>
      <c r="P996" t="s">
        <v>74</v>
      </c>
      <c r="Q996" t="s">
        <v>74</v>
      </c>
      <c r="R996" t="s">
        <v>74</v>
      </c>
      <c r="S996" t="s">
        <v>74</v>
      </c>
      <c r="T996" t="s">
        <v>19205</v>
      </c>
      <c r="U996" t="s">
        <v>19206</v>
      </c>
      <c r="V996" t="s">
        <v>19207</v>
      </c>
      <c r="W996" t="s">
        <v>19208</v>
      </c>
      <c r="X996" t="s">
        <v>19209</v>
      </c>
      <c r="Y996" t="s">
        <v>19210</v>
      </c>
      <c r="Z996" t="s">
        <v>19211</v>
      </c>
      <c r="AA996" t="s">
        <v>19212</v>
      </c>
      <c r="AB996" t="s">
        <v>19213</v>
      </c>
      <c r="AC996" t="s">
        <v>19214</v>
      </c>
      <c r="AD996" t="s">
        <v>19215</v>
      </c>
      <c r="AE996" t="s">
        <v>19216</v>
      </c>
      <c r="AF996" t="s">
        <v>74</v>
      </c>
      <c r="AG996">
        <v>39</v>
      </c>
      <c r="AH996">
        <v>2</v>
      </c>
      <c r="AI996">
        <v>3</v>
      </c>
      <c r="AJ996">
        <v>1</v>
      </c>
      <c r="AK996">
        <v>3</v>
      </c>
      <c r="AL996" t="s">
        <v>19217</v>
      </c>
      <c r="AM996" t="s">
        <v>16747</v>
      </c>
      <c r="AN996" t="s">
        <v>19218</v>
      </c>
      <c r="AO996" t="s">
        <v>74</v>
      </c>
      <c r="AP996" t="s">
        <v>19219</v>
      </c>
      <c r="AQ996" t="s">
        <v>74</v>
      </c>
      <c r="AR996" t="s">
        <v>19220</v>
      </c>
      <c r="AS996" t="s">
        <v>19221</v>
      </c>
      <c r="AT996" t="s">
        <v>19197</v>
      </c>
      <c r="AU996">
        <v>2021</v>
      </c>
      <c r="AV996">
        <v>733</v>
      </c>
      <c r="AW996" t="s">
        <v>74</v>
      </c>
      <c r="AX996" t="s">
        <v>74</v>
      </c>
      <c r="AY996" t="s">
        <v>74</v>
      </c>
      <c r="AZ996" t="s">
        <v>74</v>
      </c>
      <c r="BA996" t="s">
        <v>74</v>
      </c>
      <c r="BB996">
        <v>125</v>
      </c>
      <c r="BC996">
        <v>145</v>
      </c>
      <c r="BD996" t="s">
        <v>74</v>
      </c>
      <c r="BE996" t="s">
        <v>19222</v>
      </c>
      <c r="BF996" t="str">
        <f>HYPERLINK("http://dx.doi.org/10.5852/ejt.2021.733.1227","http://dx.doi.org/10.5852/ejt.2021.733.1227")</f>
        <v>http://dx.doi.org/10.5852/ejt.2021.733.1227</v>
      </c>
      <c r="BG996" t="s">
        <v>74</v>
      </c>
      <c r="BH996" t="s">
        <v>74</v>
      </c>
      <c r="BI996">
        <v>21</v>
      </c>
      <c r="BJ996" t="s">
        <v>19223</v>
      </c>
      <c r="BK996" t="s">
        <v>101</v>
      </c>
      <c r="BL996" t="s">
        <v>19223</v>
      </c>
      <c r="BM996" t="s">
        <v>19224</v>
      </c>
      <c r="BN996" t="s">
        <v>74</v>
      </c>
      <c r="BO996" t="s">
        <v>1280</v>
      </c>
      <c r="BP996" t="s">
        <v>74</v>
      </c>
      <c r="BQ996" t="s">
        <v>74</v>
      </c>
      <c r="BR996" t="s">
        <v>104</v>
      </c>
      <c r="BS996" t="s">
        <v>19225</v>
      </c>
      <c r="BT996" t="str">
        <f>HYPERLINK("https%3A%2F%2Fwww.webofscience.com%2Fwos%2Fwoscc%2Ffull-record%2FWOS:000623641100007","View Full Record in Web of Science")</f>
        <v>View Full Record in Web of Science</v>
      </c>
    </row>
    <row r="997" spans="1:72" x14ac:dyDescent="0.15">
      <c r="A997" t="s">
        <v>72</v>
      </c>
      <c r="B997" t="s">
        <v>19226</v>
      </c>
      <c r="C997" t="s">
        <v>74</v>
      </c>
      <c r="D997" t="s">
        <v>74</v>
      </c>
      <c r="E997" t="s">
        <v>74</v>
      </c>
      <c r="F997" t="s">
        <v>19227</v>
      </c>
      <c r="G997" t="s">
        <v>74</v>
      </c>
      <c r="H997" t="s">
        <v>74</v>
      </c>
      <c r="I997" t="s">
        <v>19228</v>
      </c>
      <c r="J997" t="s">
        <v>8077</v>
      </c>
      <c r="K997" t="s">
        <v>74</v>
      </c>
      <c r="L997" t="s">
        <v>74</v>
      </c>
      <c r="M997" t="s">
        <v>78</v>
      </c>
      <c r="N997" t="s">
        <v>79</v>
      </c>
      <c r="O997" t="s">
        <v>74</v>
      </c>
      <c r="P997" t="s">
        <v>74</v>
      </c>
      <c r="Q997" t="s">
        <v>74</v>
      </c>
      <c r="R997" t="s">
        <v>74</v>
      </c>
      <c r="S997" t="s">
        <v>74</v>
      </c>
      <c r="T997" t="s">
        <v>74</v>
      </c>
      <c r="U997" t="s">
        <v>19229</v>
      </c>
      <c r="V997" t="s">
        <v>19230</v>
      </c>
      <c r="W997" t="s">
        <v>19231</v>
      </c>
      <c r="X997" t="s">
        <v>19232</v>
      </c>
      <c r="Y997" t="s">
        <v>19233</v>
      </c>
      <c r="Z997" t="s">
        <v>19234</v>
      </c>
      <c r="AA997" t="s">
        <v>19235</v>
      </c>
      <c r="AB997" t="s">
        <v>19236</v>
      </c>
      <c r="AC997" t="s">
        <v>19237</v>
      </c>
      <c r="AD997" t="s">
        <v>19238</v>
      </c>
      <c r="AE997" t="s">
        <v>19239</v>
      </c>
      <c r="AF997" t="s">
        <v>74</v>
      </c>
      <c r="AG997">
        <v>116</v>
      </c>
      <c r="AH997">
        <v>21</v>
      </c>
      <c r="AI997">
        <v>23</v>
      </c>
      <c r="AJ997">
        <v>3</v>
      </c>
      <c r="AK997">
        <v>23</v>
      </c>
      <c r="AL997" t="s">
        <v>8089</v>
      </c>
      <c r="AM997" t="s">
        <v>1482</v>
      </c>
      <c r="AN997" t="s">
        <v>8090</v>
      </c>
      <c r="AO997" t="s">
        <v>8091</v>
      </c>
      <c r="AP997" t="s">
        <v>74</v>
      </c>
      <c r="AQ997" t="s">
        <v>74</v>
      </c>
      <c r="AR997" t="s">
        <v>8077</v>
      </c>
      <c r="AS997" t="s">
        <v>8092</v>
      </c>
      <c r="AT997" t="s">
        <v>19197</v>
      </c>
      <c r="AU997">
        <v>2021</v>
      </c>
      <c r="AV997">
        <v>10</v>
      </c>
      <c r="AW997" t="s">
        <v>74</v>
      </c>
      <c r="AX997" t="s">
        <v>74</v>
      </c>
      <c r="AY997" t="s">
        <v>74</v>
      </c>
      <c r="AZ997" t="s">
        <v>74</v>
      </c>
      <c r="BA997" t="s">
        <v>74</v>
      </c>
      <c r="BB997" t="s">
        <v>74</v>
      </c>
      <c r="BC997" t="s">
        <v>74</v>
      </c>
      <c r="BD997" t="s">
        <v>19240</v>
      </c>
      <c r="BE997" t="s">
        <v>19241</v>
      </c>
      <c r="BF997" t="str">
        <f>HYPERLINK("http://dx.doi.org/10.7554/eLife.59162","http://dx.doi.org/10.7554/eLife.59162")</f>
        <v>http://dx.doi.org/10.7554/eLife.59162</v>
      </c>
      <c r="BG997" t="s">
        <v>74</v>
      </c>
      <c r="BH997" t="s">
        <v>74</v>
      </c>
      <c r="BI997">
        <v>30</v>
      </c>
      <c r="BJ997" t="s">
        <v>4618</v>
      </c>
      <c r="BK997" t="s">
        <v>101</v>
      </c>
      <c r="BL997" t="s">
        <v>4619</v>
      </c>
      <c r="BM997" t="s">
        <v>19242</v>
      </c>
      <c r="BN997">
        <v>33496262</v>
      </c>
      <c r="BO997" t="s">
        <v>17600</v>
      </c>
      <c r="BP997" t="s">
        <v>74</v>
      </c>
      <c r="BQ997" t="s">
        <v>74</v>
      </c>
      <c r="BR997" t="s">
        <v>104</v>
      </c>
      <c r="BS997" t="s">
        <v>19243</v>
      </c>
      <c r="BT997" t="str">
        <f>HYPERLINK("https%3A%2F%2Fwww.webofscience.com%2Fwos%2Fwoscc%2Ffull-record%2FWOS:000613735900001","View Full Record in Web of Science")</f>
        <v>View Full Record in Web of Science</v>
      </c>
    </row>
    <row r="998" spans="1:72" x14ac:dyDescent="0.15">
      <c r="A998" t="s">
        <v>72</v>
      </c>
      <c r="B998" t="s">
        <v>19244</v>
      </c>
      <c r="C998" t="s">
        <v>74</v>
      </c>
      <c r="D998" t="s">
        <v>74</v>
      </c>
      <c r="E998" t="s">
        <v>74</v>
      </c>
      <c r="F998" t="s">
        <v>19245</v>
      </c>
      <c r="G998" t="s">
        <v>74</v>
      </c>
      <c r="H998" t="s">
        <v>19246</v>
      </c>
      <c r="I998" t="s">
        <v>19247</v>
      </c>
      <c r="J998" t="s">
        <v>14402</v>
      </c>
      <c r="K998" t="s">
        <v>74</v>
      </c>
      <c r="L998" t="s">
        <v>74</v>
      </c>
      <c r="M998" t="s">
        <v>78</v>
      </c>
      <c r="N998" t="s">
        <v>79</v>
      </c>
      <c r="O998" t="s">
        <v>74</v>
      </c>
      <c r="P998" t="s">
        <v>74</v>
      </c>
      <c r="Q998" t="s">
        <v>74</v>
      </c>
      <c r="R998" t="s">
        <v>74</v>
      </c>
      <c r="S998" t="s">
        <v>74</v>
      </c>
      <c r="T998" t="s">
        <v>74</v>
      </c>
      <c r="U998" t="s">
        <v>19248</v>
      </c>
      <c r="V998" t="s">
        <v>19249</v>
      </c>
      <c r="W998" t="s">
        <v>19250</v>
      </c>
      <c r="X998" t="s">
        <v>19251</v>
      </c>
      <c r="Y998" t="s">
        <v>19252</v>
      </c>
      <c r="Z998" t="s">
        <v>19253</v>
      </c>
      <c r="AA998" t="s">
        <v>19254</v>
      </c>
      <c r="AB998" t="s">
        <v>19255</v>
      </c>
      <c r="AC998" t="s">
        <v>19256</v>
      </c>
      <c r="AD998" t="s">
        <v>19257</v>
      </c>
      <c r="AE998" t="s">
        <v>19258</v>
      </c>
      <c r="AF998" t="s">
        <v>74</v>
      </c>
      <c r="AG998">
        <v>69</v>
      </c>
      <c r="AH998">
        <v>10</v>
      </c>
      <c r="AI998">
        <v>17</v>
      </c>
      <c r="AJ998">
        <v>0</v>
      </c>
      <c r="AK998">
        <v>2</v>
      </c>
      <c r="AL998" t="s">
        <v>12239</v>
      </c>
      <c r="AM998" t="s">
        <v>12240</v>
      </c>
      <c r="AN998" t="s">
        <v>12241</v>
      </c>
      <c r="AO998" t="s">
        <v>14413</v>
      </c>
      <c r="AP998" t="s">
        <v>14414</v>
      </c>
      <c r="AQ998" t="s">
        <v>74</v>
      </c>
      <c r="AR998" t="s">
        <v>14415</v>
      </c>
      <c r="AS998" t="s">
        <v>14416</v>
      </c>
      <c r="AT998" t="s">
        <v>19197</v>
      </c>
      <c r="AU998">
        <v>2021</v>
      </c>
      <c r="AV998">
        <v>103</v>
      </c>
      <c r="AW998">
        <v>2</v>
      </c>
      <c r="AX998" t="s">
        <v>74</v>
      </c>
      <c r="AY998" t="s">
        <v>74</v>
      </c>
      <c r="AZ998" t="s">
        <v>74</v>
      </c>
      <c r="BA998" t="s">
        <v>74</v>
      </c>
      <c r="BB998" t="s">
        <v>74</v>
      </c>
      <c r="BC998" t="s">
        <v>74</v>
      </c>
      <c r="BD998">
        <v>22004</v>
      </c>
      <c r="BE998" t="s">
        <v>19259</v>
      </c>
      <c r="BF998" t="str">
        <f>HYPERLINK("http://dx.doi.org/10.1103/PhysRevD.103.022004","http://dx.doi.org/10.1103/PhysRevD.103.022004")</f>
        <v>http://dx.doi.org/10.1103/PhysRevD.103.022004</v>
      </c>
      <c r="BG998" t="s">
        <v>74</v>
      </c>
      <c r="BH998" t="s">
        <v>74</v>
      </c>
      <c r="BI998">
        <v>23</v>
      </c>
      <c r="BJ998" t="s">
        <v>3049</v>
      </c>
      <c r="BK998" t="s">
        <v>101</v>
      </c>
      <c r="BL998" t="s">
        <v>3050</v>
      </c>
      <c r="BM998" t="s">
        <v>19260</v>
      </c>
      <c r="BN998" t="s">
        <v>74</v>
      </c>
      <c r="BO998" t="s">
        <v>19261</v>
      </c>
      <c r="BP998" t="s">
        <v>74</v>
      </c>
      <c r="BQ998" t="s">
        <v>74</v>
      </c>
      <c r="BR998" t="s">
        <v>104</v>
      </c>
      <c r="BS998" t="s">
        <v>19262</v>
      </c>
      <c r="BT998" t="str">
        <f>HYPERLINK("https%3A%2F%2Fwww.webofscience.com%2Fwos%2Fwoscc%2Ffull-record%2FWOS:000612139800001","View Full Record in Web of Science")</f>
        <v>View Full Record in Web of Science</v>
      </c>
    </row>
    <row r="999" spans="1:72" x14ac:dyDescent="0.15">
      <c r="A999" t="s">
        <v>72</v>
      </c>
      <c r="B999" t="s">
        <v>19263</v>
      </c>
      <c r="C999" t="s">
        <v>74</v>
      </c>
      <c r="D999" t="s">
        <v>74</v>
      </c>
      <c r="E999" t="s">
        <v>74</v>
      </c>
      <c r="F999" t="s">
        <v>19264</v>
      </c>
      <c r="G999" t="s">
        <v>74</v>
      </c>
      <c r="H999" t="s">
        <v>74</v>
      </c>
      <c r="I999" t="s">
        <v>19265</v>
      </c>
      <c r="J999" t="s">
        <v>19266</v>
      </c>
      <c r="K999" t="s">
        <v>74</v>
      </c>
      <c r="L999" t="s">
        <v>74</v>
      </c>
      <c r="M999" t="s">
        <v>78</v>
      </c>
      <c r="N999" t="s">
        <v>79</v>
      </c>
      <c r="O999" t="s">
        <v>74</v>
      </c>
      <c r="P999" t="s">
        <v>74</v>
      </c>
      <c r="Q999" t="s">
        <v>74</v>
      </c>
      <c r="R999" t="s">
        <v>74</v>
      </c>
      <c r="S999" t="s">
        <v>74</v>
      </c>
      <c r="T999" t="s">
        <v>19267</v>
      </c>
      <c r="U999" t="s">
        <v>74</v>
      </c>
      <c r="V999" t="s">
        <v>19268</v>
      </c>
      <c r="W999" t="s">
        <v>19269</v>
      </c>
      <c r="X999" t="s">
        <v>19270</v>
      </c>
      <c r="Y999" t="s">
        <v>19271</v>
      </c>
      <c r="Z999" t="s">
        <v>19272</v>
      </c>
      <c r="AA999" t="s">
        <v>19273</v>
      </c>
      <c r="AB999" t="s">
        <v>19274</v>
      </c>
      <c r="AC999" t="s">
        <v>19275</v>
      </c>
      <c r="AD999" t="s">
        <v>19276</v>
      </c>
      <c r="AE999" t="s">
        <v>19277</v>
      </c>
      <c r="AF999" t="s">
        <v>74</v>
      </c>
      <c r="AG999">
        <v>35</v>
      </c>
      <c r="AH999">
        <v>2</v>
      </c>
      <c r="AI999">
        <v>3</v>
      </c>
      <c r="AJ999">
        <v>2</v>
      </c>
      <c r="AK999">
        <v>3</v>
      </c>
      <c r="AL999" t="s">
        <v>795</v>
      </c>
      <c r="AM999" t="s">
        <v>796</v>
      </c>
      <c r="AN999" t="s">
        <v>797</v>
      </c>
      <c r="AO999" t="s">
        <v>19278</v>
      </c>
      <c r="AP999" t="s">
        <v>19279</v>
      </c>
      <c r="AQ999" t="s">
        <v>74</v>
      </c>
      <c r="AR999" t="s">
        <v>19280</v>
      </c>
      <c r="AS999" t="s">
        <v>19281</v>
      </c>
      <c r="AT999" t="s">
        <v>707</v>
      </c>
      <c r="AU999">
        <v>2021</v>
      </c>
      <c r="AV999">
        <v>56</v>
      </c>
      <c r="AW999">
        <v>6</v>
      </c>
      <c r="AX999" t="s">
        <v>74</v>
      </c>
      <c r="AY999" t="s">
        <v>74</v>
      </c>
      <c r="AZ999" t="s">
        <v>74</v>
      </c>
      <c r="BA999" t="s">
        <v>74</v>
      </c>
      <c r="BB999">
        <v>2950</v>
      </c>
      <c r="BC999">
        <v>2962</v>
      </c>
      <c r="BD999" t="s">
        <v>74</v>
      </c>
      <c r="BE999" t="s">
        <v>19282</v>
      </c>
      <c r="BF999" t="str">
        <f>HYPERLINK("http://dx.doi.org/10.1002/gj.4077","http://dx.doi.org/10.1002/gj.4077")</f>
        <v>http://dx.doi.org/10.1002/gj.4077</v>
      </c>
      <c r="BG999" t="s">
        <v>74</v>
      </c>
      <c r="BH999" t="s">
        <v>18459</v>
      </c>
      <c r="BI999">
        <v>13</v>
      </c>
      <c r="BJ999" t="s">
        <v>100</v>
      </c>
      <c r="BK999" t="s">
        <v>101</v>
      </c>
      <c r="BL999" t="s">
        <v>102</v>
      </c>
      <c r="BM999" t="s">
        <v>19283</v>
      </c>
      <c r="BN999" t="s">
        <v>74</v>
      </c>
      <c r="BO999" t="s">
        <v>74</v>
      </c>
      <c r="BP999" t="s">
        <v>74</v>
      </c>
      <c r="BQ999" t="s">
        <v>74</v>
      </c>
      <c r="BR999" t="s">
        <v>104</v>
      </c>
      <c r="BS999" t="s">
        <v>19284</v>
      </c>
      <c r="BT999" t="str">
        <f>HYPERLINK("https%3A%2F%2Fwww.webofscience.com%2Fwos%2Fwoscc%2Ffull-record%2FWOS:000611803500001","View Full Record in Web of Science")</f>
        <v>View Full Record in Web of Science</v>
      </c>
    </row>
    <row r="1000" spans="1:72" x14ac:dyDescent="0.15">
      <c r="A1000" t="s">
        <v>72</v>
      </c>
      <c r="B1000" t="s">
        <v>19285</v>
      </c>
      <c r="C1000" t="s">
        <v>74</v>
      </c>
      <c r="D1000" t="s">
        <v>74</v>
      </c>
      <c r="E1000" t="s">
        <v>74</v>
      </c>
      <c r="F1000" t="s">
        <v>19286</v>
      </c>
      <c r="G1000" t="s">
        <v>74</v>
      </c>
      <c r="H1000" t="s">
        <v>74</v>
      </c>
      <c r="I1000" t="s">
        <v>19287</v>
      </c>
      <c r="J1000" t="s">
        <v>2868</v>
      </c>
      <c r="K1000" t="s">
        <v>74</v>
      </c>
      <c r="L1000" t="s">
        <v>74</v>
      </c>
      <c r="M1000" t="s">
        <v>78</v>
      </c>
      <c r="N1000" t="s">
        <v>79</v>
      </c>
      <c r="O1000" t="s">
        <v>74</v>
      </c>
      <c r="P1000" t="s">
        <v>74</v>
      </c>
      <c r="Q1000" t="s">
        <v>74</v>
      </c>
      <c r="R1000" t="s">
        <v>74</v>
      </c>
      <c r="S1000" t="s">
        <v>74</v>
      </c>
      <c r="T1000" t="s">
        <v>19288</v>
      </c>
      <c r="U1000" t="s">
        <v>19289</v>
      </c>
      <c r="V1000" t="s">
        <v>19290</v>
      </c>
      <c r="W1000" t="s">
        <v>19291</v>
      </c>
      <c r="X1000" t="s">
        <v>19292</v>
      </c>
      <c r="Y1000" t="s">
        <v>19293</v>
      </c>
      <c r="Z1000" t="s">
        <v>5291</v>
      </c>
      <c r="AA1000" t="s">
        <v>19294</v>
      </c>
      <c r="AB1000" t="s">
        <v>19295</v>
      </c>
      <c r="AC1000" t="s">
        <v>19296</v>
      </c>
      <c r="AD1000" t="s">
        <v>19297</v>
      </c>
      <c r="AE1000" t="s">
        <v>19298</v>
      </c>
      <c r="AF1000" t="s">
        <v>74</v>
      </c>
      <c r="AG1000">
        <v>76</v>
      </c>
      <c r="AH1000">
        <v>18</v>
      </c>
      <c r="AI1000">
        <v>18</v>
      </c>
      <c r="AJ1000">
        <v>2</v>
      </c>
      <c r="AK1000">
        <v>14</v>
      </c>
      <c r="AL1000" t="s">
        <v>603</v>
      </c>
      <c r="AM1000" t="s">
        <v>604</v>
      </c>
      <c r="AN1000" t="s">
        <v>605</v>
      </c>
      <c r="AO1000" t="s">
        <v>74</v>
      </c>
      <c r="AP1000" t="s">
        <v>2881</v>
      </c>
      <c r="AQ1000" t="s">
        <v>74</v>
      </c>
      <c r="AR1000" t="s">
        <v>2882</v>
      </c>
      <c r="AS1000" t="s">
        <v>2883</v>
      </c>
      <c r="AT1000" t="s">
        <v>19197</v>
      </c>
      <c r="AU1000">
        <v>2021</v>
      </c>
      <c r="AV1000">
        <v>11</v>
      </c>
      <c r="AW1000" t="s">
        <v>74</v>
      </c>
      <c r="AX1000" t="s">
        <v>74</v>
      </c>
      <c r="AY1000" t="s">
        <v>74</v>
      </c>
      <c r="AZ1000" t="s">
        <v>74</v>
      </c>
      <c r="BA1000" t="s">
        <v>74</v>
      </c>
      <c r="BB1000" t="s">
        <v>74</v>
      </c>
      <c r="BC1000" t="s">
        <v>74</v>
      </c>
      <c r="BD1000">
        <v>615659</v>
      </c>
      <c r="BE1000" t="s">
        <v>19299</v>
      </c>
      <c r="BF1000" t="str">
        <f>HYPERLINK("http://dx.doi.org/10.3389/fmicb.2020.615659","http://dx.doi.org/10.3389/fmicb.2020.615659")</f>
        <v>http://dx.doi.org/10.3389/fmicb.2020.615659</v>
      </c>
      <c r="BG1000" t="s">
        <v>74</v>
      </c>
      <c r="BH1000" t="s">
        <v>74</v>
      </c>
      <c r="BI1000">
        <v>12</v>
      </c>
      <c r="BJ1000" t="s">
        <v>396</v>
      </c>
      <c r="BK1000" t="s">
        <v>101</v>
      </c>
      <c r="BL1000" t="s">
        <v>396</v>
      </c>
      <c r="BM1000" t="s">
        <v>19300</v>
      </c>
      <c r="BN1000">
        <v>33574801</v>
      </c>
      <c r="BO1000" t="s">
        <v>5570</v>
      </c>
      <c r="BP1000" t="s">
        <v>74</v>
      </c>
      <c r="BQ1000" t="s">
        <v>74</v>
      </c>
      <c r="BR1000" t="s">
        <v>104</v>
      </c>
      <c r="BS1000" t="s">
        <v>19301</v>
      </c>
      <c r="BT1000" t="str">
        <f>HYPERLINK("https%3A%2F%2Fwww.webofscience.com%2Fwos%2Fwoscc%2Ffull-record%2FWOS:000616101600001","View Full Record in Web of Science")</f>
        <v>View Full Record in Web of Science</v>
      </c>
    </row>
    <row r="1001" spans="1:72" x14ac:dyDescent="0.15">
      <c r="A1001" t="s">
        <v>72</v>
      </c>
      <c r="B1001" t="s">
        <v>19302</v>
      </c>
      <c r="C1001" t="s">
        <v>74</v>
      </c>
      <c r="D1001" t="s">
        <v>74</v>
      </c>
      <c r="E1001" t="s">
        <v>74</v>
      </c>
      <c r="F1001" t="s">
        <v>19303</v>
      </c>
      <c r="G1001" t="s">
        <v>74</v>
      </c>
      <c r="H1001" t="s">
        <v>74</v>
      </c>
      <c r="I1001" t="s">
        <v>19304</v>
      </c>
      <c r="J1001" t="s">
        <v>877</v>
      </c>
      <c r="K1001" t="s">
        <v>74</v>
      </c>
      <c r="L1001" t="s">
        <v>74</v>
      </c>
      <c r="M1001" t="s">
        <v>78</v>
      </c>
      <c r="N1001" t="s">
        <v>79</v>
      </c>
      <c r="O1001" t="s">
        <v>74</v>
      </c>
      <c r="P1001" t="s">
        <v>74</v>
      </c>
      <c r="Q1001" t="s">
        <v>74</v>
      </c>
      <c r="R1001" t="s">
        <v>74</v>
      </c>
      <c r="S1001" t="s">
        <v>74</v>
      </c>
      <c r="T1001" t="s">
        <v>19305</v>
      </c>
      <c r="U1001" t="s">
        <v>19306</v>
      </c>
      <c r="V1001" t="s">
        <v>19307</v>
      </c>
      <c r="W1001" t="s">
        <v>19308</v>
      </c>
      <c r="X1001" t="s">
        <v>19309</v>
      </c>
      <c r="Y1001" t="s">
        <v>12932</v>
      </c>
      <c r="Z1001" t="s">
        <v>12933</v>
      </c>
      <c r="AA1001" t="s">
        <v>19310</v>
      </c>
      <c r="AB1001" t="s">
        <v>19311</v>
      </c>
      <c r="AC1001" t="s">
        <v>19312</v>
      </c>
      <c r="AD1001" t="s">
        <v>9865</v>
      </c>
      <c r="AE1001" t="s">
        <v>19313</v>
      </c>
      <c r="AF1001" t="s">
        <v>74</v>
      </c>
      <c r="AG1001">
        <v>43</v>
      </c>
      <c r="AH1001">
        <v>6</v>
      </c>
      <c r="AI1001">
        <v>6</v>
      </c>
      <c r="AJ1001">
        <v>1</v>
      </c>
      <c r="AK1001">
        <v>39</v>
      </c>
      <c r="AL1001" t="s">
        <v>890</v>
      </c>
      <c r="AM1001" t="s">
        <v>891</v>
      </c>
      <c r="AN1001" t="s">
        <v>892</v>
      </c>
      <c r="AO1001" t="s">
        <v>893</v>
      </c>
      <c r="AP1001" t="s">
        <v>894</v>
      </c>
      <c r="AQ1001" t="s">
        <v>74</v>
      </c>
      <c r="AR1001" t="s">
        <v>895</v>
      </c>
      <c r="AS1001" t="s">
        <v>896</v>
      </c>
      <c r="AT1001" t="s">
        <v>8646</v>
      </c>
      <c r="AU1001">
        <v>2021</v>
      </c>
      <c r="AV1001">
        <v>273</v>
      </c>
      <c r="AW1001" t="s">
        <v>74</v>
      </c>
      <c r="AX1001" t="s">
        <v>74</v>
      </c>
      <c r="AY1001" t="s">
        <v>74</v>
      </c>
      <c r="AZ1001" t="s">
        <v>74</v>
      </c>
      <c r="BA1001" t="s">
        <v>74</v>
      </c>
      <c r="BB1001" t="s">
        <v>74</v>
      </c>
      <c r="BC1001" t="s">
        <v>74</v>
      </c>
      <c r="BD1001">
        <v>115720</v>
      </c>
      <c r="BE1001" t="s">
        <v>19314</v>
      </c>
      <c r="BF1001" t="str">
        <f>HYPERLINK("http://dx.doi.org/10.1016/j.envpol.2020.115720","http://dx.doi.org/10.1016/j.envpol.2020.115720")</f>
        <v>http://dx.doi.org/10.1016/j.envpol.2020.115720</v>
      </c>
      <c r="BG1001" t="s">
        <v>74</v>
      </c>
      <c r="BH1001" t="s">
        <v>18459</v>
      </c>
      <c r="BI1001">
        <v>10</v>
      </c>
      <c r="BJ1001" t="s">
        <v>224</v>
      </c>
      <c r="BK1001" t="s">
        <v>101</v>
      </c>
      <c r="BL1001" t="s">
        <v>225</v>
      </c>
      <c r="BM1001" t="s">
        <v>19315</v>
      </c>
      <c r="BN1001">
        <v>33508630</v>
      </c>
      <c r="BO1001" t="s">
        <v>712</v>
      </c>
      <c r="BP1001" t="s">
        <v>74</v>
      </c>
      <c r="BQ1001" t="s">
        <v>74</v>
      </c>
      <c r="BR1001" t="s">
        <v>104</v>
      </c>
      <c r="BS1001" t="s">
        <v>19316</v>
      </c>
      <c r="BT1001" t="str">
        <f>HYPERLINK("https%3A%2F%2Fwww.webofscience.com%2Fwos%2Fwoscc%2Ffull-record%2FWOS:000625376600002","View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2024-07-28T15:23:39Z</dcterms:created>
  <dcterms:modified xsi:type="dcterms:W3CDTF">2024-07-28T15:23:39Z</dcterms:modified>
</cp:coreProperties>
</file>